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600" tabRatio="821" firstSheet="55" activeTab="95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6" sheetId="77" r:id="rId57"/>
    <sheet name="324" sheetId="75" r:id="rId58"/>
    <sheet name="314" sheetId="68" r:id="rId59"/>
    <sheet name="331" sheetId="30" r:id="rId60"/>
    <sheet name="315" sheetId="69" r:id="rId61"/>
    <sheet name="332" sheetId="33" r:id="rId62"/>
    <sheet name="316" sheetId="70" r:id="rId63"/>
    <sheet name="320" sheetId="72" r:id="rId64"/>
    <sheet name="Div 6" sheetId="51" r:id="rId65"/>
    <sheet name="317" sheetId="71" r:id="rId66"/>
    <sheet name="310" sheetId="21" r:id="rId67"/>
    <sheet name="309" sheetId="65" r:id="rId68"/>
    <sheet name="313" sheetId="67" r:id="rId69"/>
    <sheet name="321" sheetId="73" r:id="rId70"/>
    <sheet name="322" sheetId="74" r:id="rId71"/>
    <sheet name="325" sheetId="76" r:id="rId72"/>
    <sheet name="327" sheetId="78" r:id="rId73"/>
    <sheet name="Div 4" sheetId="36" r:id="rId74"/>
    <sheet name="310 &amp; 491" sheetId="39" r:id="rId75"/>
    <sheet name="491" sheetId="42" r:id="rId76"/>
    <sheet name="405" sheetId="79" r:id="rId77"/>
    <sheet name="406" sheetId="80" r:id="rId78"/>
    <sheet name="411" sheetId="81" r:id="rId79"/>
    <sheet name="412" sheetId="82" r:id="rId80"/>
    <sheet name="413" sheetId="83" r:id="rId81"/>
    <sheet name="414" sheetId="84" r:id="rId82"/>
    <sheet name="415" sheetId="85" r:id="rId83"/>
    <sheet name="418" sheetId="86" r:id="rId84"/>
    <sheet name="420" sheetId="87" r:id="rId85"/>
    <sheet name="423" sheetId="88" r:id="rId86"/>
    <sheet name="424" sheetId="89" r:id="rId87"/>
    <sheet name="425" sheetId="90" r:id="rId88"/>
    <sheet name="455" sheetId="96" r:id="rId89"/>
    <sheet name="492" sheetId="45" r:id="rId90"/>
    <sheet name="430" sheetId="91" r:id="rId91"/>
    <sheet name="433" sheetId="92" r:id="rId92"/>
    <sheet name="435" sheetId="93" r:id="rId93"/>
    <sheet name="444" sheetId="94" r:id="rId94"/>
    <sheet name="450" sheetId="95" r:id="rId95"/>
    <sheet name="Div 5" sheetId="48" r:id="rId96"/>
    <sheet name="501" sheetId="97" r:id="rId97"/>
    <sheet name="Dept" sheetId="98" state="hidden" r:id="rId98"/>
    <sheet name="OSR_Dept_Y0WUKY" sheetId="99" state="hidden" r:id="rId99"/>
    <sheet name="OSR_Summary (...56e5d78f_5JEYZH" sheetId="100" state="hidden" r:id="rId100"/>
  </sheets>
  <definedNames>
    <definedName name="OSRRefD13x_0" localSheetId="48">'300'!$D$13:$D$111</definedName>
    <definedName name="OSRRefD13x_0" localSheetId="49">'300 &amp; 317'!$D$13:$D$129</definedName>
    <definedName name="OSRRefD13x_0" localSheetId="53">'307'!$D$13:$D$49</definedName>
    <definedName name="OSRRefD13x_0" localSheetId="54">'308'!$D$13:$D$43</definedName>
    <definedName name="OSRRefD13x_0" localSheetId="67">'309'!$D$13:$D$14</definedName>
    <definedName name="OSRRefD13x_0" localSheetId="66">'310'!$D$13:$D$22</definedName>
    <definedName name="OSRRefD13x_0" localSheetId="74">'310 &amp; 491'!$D$13:$D$29</definedName>
    <definedName name="OSRRefD13x_0" localSheetId="55">'311'!$D$13:$D$42</definedName>
    <definedName name="OSRRefD13x_0" localSheetId="68">'313'!$D$13:$D$19</definedName>
    <definedName name="OSRRefD13x_0" localSheetId="58">'314'!$D$13:$D$33</definedName>
    <definedName name="OSRRefD13x_0" localSheetId="60">'315'!$D$13:$D$51</definedName>
    <definedName name="OSRRefD13x_0" localSheetId="62">'316'!$D$13:$D$29</definedName>
    <definedName name="OSRRefD13x_0" localSheetId="65">'317'!$D$13:$D$37</definedName>
    <definedName name="OSRRefD13x_0" localSheetId="63">'320'!$D$13:$D$16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56">'326'!$D$13:$D$38</definedName>
    <definedName name="OSRRefD13x_0" localSheetId="72">'327'!$D$13</definedName>
    <definedName name="OSRRefD13x_0" localSheetId="52">'330'!$D$13:$D$53</definedName>
    <definedName name="OSRRefD13x_0" localSheetId="59">'331'!$D$13:$D$55</definedName>
    <definedName name="OSRRefD13x_0" localSheetId="61">'332'!$D$13:$D$32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'424'!$D$13:$D$14</definedName>
    <definedName name="OSRRefD13x_0" localSheetId="87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'491'!$D$13:$D$22</definedName>
    <definedName name="OSRRefD13x_0" localSheetId="89">'492'!$D$13:$D$18</definedName>
    <definedName name="OSRRefD13x_0" localSheetId="96">'501'!$D$13</definedName>
    <definedName name="OSRRefD13x_0" localSheetId="47">'Div 3'!$D$13:$D$114</definedName>
    <definedName name="OSRRefD13x_0" localSheetId="73">'Div 4'!$D$13:$D$23</definedName>
    <definedName name="OSRRefD13x_0" localSheetId="95">'Div 5'!$D$13</definedName>
    <definedName name="OSRRefD13x_0" localSheetId="64">'Div 6'!$D$13:$D$37</definedName>
    <definedName name="OSRRefD13x_0" localSheetId="2">Summary!$D$13:$D$140</definedName>
    <definedName name="OSRRefD16x_0" localSheetId="48">'300'!$D$114:$D$164</definedName>
    <definedName name="OSRRefD16x_0" localSheetId="49">'300 &amp; 317'!$D$132:$D$190</definedName>
    <definedName name="OSRRefD16x_0" localSheetId="50">'301'!$D$15</definedName>
    <definedName name="OSRRefD16x_0" localSheetId="53">'307'!$D$52:$D$72</definedName>
    <definedName name="OSRRefD16x_0" localSheetId="54">'308'!$D$46:$D$62</definedName>
    <definedName name="OSRRefD16x_0" localSheetId="67">'309'!$D$17:$D$18</definedName>
    <definedName name="OSRRefD16x_0" localSheetId="66">'310'!$D$25:$D$26</definedName>
    <definedName name="OSRRefD16x_0" localSheetId="74">'310 &amp; 491'!$D$32:$D$33</definedName>
    <definedName name="OSRRefD16x_0" localSheetId="55">'311'!$D$45:$D$61</definedName>
    <definedName name="OSRRefD16x_0" localSheetId="68">'313'!$D$22:$D$23</definedName>
    <definedName name="OSRRefD16x_0" localSheetId="58">'314'!$D$36:$D$50</definedName>
    <definedName name="OSRRefD16x_0" localSheetId="60">'315'!$D$54:$D$78</definedName>
    <definedName name="OSRRefD16x_0" localSheetId="65">'317'!$D$40:$D$55</definedName>
    <definedName name="OSRRefD16x_0" localSheetId="63">'320'!$D$19:$D$23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56">'326'!$D$41:$D$57</definedName>
    <definedName name="OSRRefD16x_0" localSheetId="72">'327'!$D$16:$D$17</definedName>
    <definedName name="OSRRefD16x_0" localSheetId="52">'330'!$D$56:$D$79</definedName>
    <definedName name="OSRRefD16x_0" localSheetId="59">'331'!$D$58:$D$87</definedName>
    <definedName name="OSRRefD16x_0" localSheetId="61">'332'!$D$35:$D$39</definedName>
    <definedName name="OSRRefD16x_0" localSheetId="76">'405'!$D$17:$D$18</definedName>
    <definedName name="OSRRefD16x_0" localSheetId="77">'406'!$D$17:$D$18</definedName>
    <definedName name="OSRRefD16x_0" localSheetId="79">'412'!$D$17:$D$18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'420'!$D$17:$D$18</definedName>
    <definedName name="OSRRefD16x_0" localSheetId="85">'423'!$D$15</definedName>
    <definedName name="OSRRefD16x_0" localSheetId="86">'424'!$D$17:$D$18</definedName>
    <definedName name="OSRRefD16x_0" localSheetId="87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'491'!$D$25:$D$26</definedName>
    <definedName name="OSRRefD16x_0" localSheetId="89">'492'!$D$21:$D$22</definedName>
    <definedName name="OSRRefD16x_0" localSheetId="47">'Div 3'!$D$117:$D$169</definedName>
    <definedName name="OSRRefD16x_0" localSheetId="73">'Div 4'!$D$26:$D$27</definedName>
    <definedName name="OSRRefD16x_0" localSheetId="64">'Div 6'!$D$40:$D$55</definedName>
    <definedName name="OSRRefD16x_0" localSheetId="2">Summary!$D$143:$D$203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'300'!$D$170:$D$179</definedName>
    <definedName name="OSRRefD22_0x_0" localSheetId="49">'300 &amp; 317'!$D$196:$D$205</definedName>
    <definedName name="OSRRefD22_0x_0" localSheetId="50">'301'!$D$21:$D$30</definedName>
    <definedName name="OSRRefD22_0x_0" localSheetId="51">'306'!$D$20:$D$28</definedName>
    <definedName name="OSRRefD22_0x_0" localSheetId="53">'307'!$D$78:$D$85</definedName>
    <definedName name="OSRRefD22_0x_0" localSheetId="54">'308'!$D$68:$D$76</definedName>
    <definedName name="OSRRefD22_0x_0" localSheetId="67">'309'!$D$24:$D$31</definedName>
    <definedName name="OSRRefD22_0x_0" localSheetId="66">'310'!$D$32:$D$39</definedName>
    <definedName name="OSRRefD22_0x_0" localSheetId="74">'310 &amp; 491'!$D$39:$D$47</definedName>
    <definedName name="OSRRefD22_0x_0" localSheetId="55">'311'!$D$67:$D$75</definedName>
    <definedName name="OSRRefD22_0x_0" localSheetId="68">'313'!$D$29:$D$36</definedName>
    <definedName name="OSRRefD22_0x_0" localSheetId="58">'314'!$D$56:$D$64</definedName>
    <definedName name="OSRRefD22_0x_0" localSheetId="60">'315'!$D$84:$D$91</definedName>
    <definedName name="OSRRefD22_0x_0" localSheetId="62">'316'!$D$37:$D$44</definedName>
    <definedName name="OSRRefD22_0x_0" localSheetId="65">'317'!$D$61:$D$69</definedName>
    <definedName name="OSRRefD22_0x_0" localSheetId="63">'320'!$D$29:$D$35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56">'326'!$D$63:$D$70</definedName>
    <definedName name="OSRRefD22_0x_0" localSheetId="72">'327'!$D$23</definedName>
    <definedName name="OSRRefD22_0x_0" localSheetId="52">'330'!$D$85:$D$93</definedName>
    <definedName name="OSRRefD22_0x_0" localSheetId="59">'331'!$D$93:$D$100</definedName>
    <definedName name="OSRRefD22_0x_0" localSheetId="61">'332'!$D$45:$D$52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'412'!$D$24:$D$31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'420'!$D$24:$D$31</definedName>
    <definedName name="OSRRefD22_0x_0" localSheetId="85">'423'!$D$21:$D$28</definedName>
    <definedName name="OSRRefD22_0x_0" localSheetId="86">'424'!$D$24:$D$25</definedName>
    <definedName name="OSRRefD22_0x_0" localSheetId="87">'425'!$D$27:$D$35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'491'!$D$32:$D$40</definedName>
    <definedName name="OSRRefD22_0x_0" localSheetId="89">'492'!$D$28:$D$36</definedName>
    <definedName name="OSRRefD22_0x_0" localSheetId="96">'501'!$D$21:$D$29</definedName>
    <definedName name="OSRRefD22_0x_0" localSheetId="39">'Div 2'!$D$20:$D$30</definedName>
    <definedName name="OSRRefD22_0x_0" localSheetId="47">'Div 3'!$D$175:$D$184</definedName>
    <definedName name="OSRRefD22_0x_0" localSheetId="73">'Div 4'!$D$33:$D$41</definedName>
    <definedName name="OSRRefD22_0x_0" localSheetId="95">'Div 5'!$D$21:$D$29</definedName>
    <definedName name="OSRRefD22_0x_0" localSheetId="64">'Div 6'!$D$61:$D$69</definedName>
    <definedName name="OSRRefD22_0x_0" localSheetId="2">Summary!$D$209:$D$218</definedName>
    <definedName name="OSRRefD22_10x_0" localSheetId="41">'201'!$D$51:$D$53</definedName>
    <definedName name="OSRRefD22_10x_0" localSheetId="42">'202'!$D$54</definedName>
    <definedName name="OSRRefD22_10x_0" localSheetId="43">'203'!$D$55:$D$56</definedName>
    <definedName name="OSRRefD22_10x_0" localSheetId="44">'204'!$D$56:$D$57</definedName>
    <definedName name="OSRRefD22_10x_0" localSheetId="48">'300'!$D$209:$D$210</definedName>
    <definedName name="OSRRefD22_10x_0" localSheetId="49">'300 &amp; 317'!$D$235:$D$236</definedName>
    <definedName name="OSRRefD22_10x_0" localSheetId="50">'301'!$D$60</definedName>
    <definedName name="OSRRefD22_10x_0" localSheetId="53">'307'!$D$114</definedName>
    <definedName name="OSRRefD22_10x_0" localSheetId="54">'308'!$D$106:$D$107</definedName>
    <definedName name="OSRRefD22_10x_0" localSheetId="67">'309'!$D$56:$D$58</definedName>
    <definedName name="OSRRefD22_10x_0" localSheetId="66">'310'!$D$65</definedName>
    <definedName name="OSRRefD22_10x_0" localSheetId="74">'310 &amp; 491'!$D$75:$D$76</definedName>
    <definedName name="OSRRefD22_10x_0" localSheetId="55">'311'!$D$105:$D$106</definedName>
    <definedName name="OSRRefD22_10x_0" localSheetId="68">'313'!$D$63:$D$68</definedName>
    <definedName name="OSRRefD22_10x_0" localSheetId="60">'315'!$D$120:$D$121</definedName>
    <definedName name="OSRRefD22_10x_0" localSheetId="62">'316'!$D$70</definedName>
    <definedName name="OSRRefD22_10x_0" localSheetId="65">'317'!$D$96:$D$100</definedName>
    <definedName name="OSRRefD22_10x_0" localSheetId="69">'321'!$D$59:$D$63</definedName>
    <definedName name="OSRRefD22_10x_0" localSheetId="70">'322'!$D$58:$D$64</definedName>
    <definedName name="OSRRefD22_10x_0" localSheetId="71">'325'!$D$56</definedName>
    <definedName name="OSRRefD22_10x_0" localSheetId="56">'326'!$D$96</definedName>
    <definedName name="OSRRefD22_10x_0" localSheetId="52">'330'!$D$120</definedName>
    <definedName name="OSRRefD22_10x_0" localSheetId="59">'331'!$D$127:$D$128</definedName>
    <definedName name="OSRRefD22_10x_0" localSheetId="61">'332'!$D$79</definedName>
    <definedName name="OSRRefD22_10x_0" localSheetId="76">'405'!$D$55:$D$56</definedName>
    <definedName name="OSRRefD22_10x_0" localSheetId="77">'406'!$D$58:$D$59</definedName>
    <definedName name="OSRRefD22_10x_0" localSheetId="78">'411'!$D$55</definedName>
    <definedName name="OSRRefD22_10x_0" localSheetId="79">'412'!$D$58:$D$60</definedName>
    <definedName name="OSRRefD22_10x_0" localSheetId="80">'413'!$D$64</definedName>
    <definedName name="OSRRefD22_10x_0" localSheetId="81">'414'!$D$57</definedName>
    <definedName name="OSRRefD22_10x_0" localSheetId="82">'415'!$D$57</definedName>
    <definedName name="OSRRefD22_10x_0" localSheetId="83">'418'!$D$57:$D$58</definedName>
    <definedName name="OSRRefD22_10x_0" localSheetId="86">'424'!$D$50</definedName>
    <definedName name="OSRRefD22_10x_0" localSheetId="87">'425'!$D$62</definedName>
    <definedName name="OSRRefD22_10x_0" localSheetId="91">'433'!$D$59</definedName>
    <definedName name="OSRRefD22_10x_0" localSheetId="93">'444'!$D$58</definedName>
    <definedName name="OSRRefD22_10x_0" localSheetId="94">'450'!$D$58</definedName>
    <definedName name="OSRRefD22_10x_0" localSheetId="75">'491'!$D$68</definedName>
    <definedName name="OSRRefD22_10x_0" localSheetId="89">'492'!$D$62</definedName>
    <definedName name="OSRRefD22_10x_0" localSheetId="96">'501'!$D$56</definedName>
    <definedName name="OSRRefD22_10x_0" localSheetId="39">'Div 2'!$D$57</definedName>
    <definedName name="OSRRefD22_10x_0" localSheetId="47">'Div 3'!$D$214:$D$215</definedName>
    <definedName name="OSRRefD22_10x_0" localSheetId="73">'Div 4'!$D$69</definedName>
    <definedName name="OSRRefD22_10x_0" localSheetId="95">'Div 5'!$D$56</definedName>
    <definedName name="OSRRefD22_10x_0" localSheetId="64">'Div 6'!$D$96:$D$100</definedName>
    <definedName name="OSRRefD22_10x_0" localSheetId="2">Summary!$D$249:$D$250</definedName>
    <definedName name="OSRRefD22_11x_0" localSheetId="41">'201'!$D$55</definedName>
    <definedName name="OSRRefD22_11x_0" localSheetId="42">'202'!$D$56</definedName>
    <definedName name="OSRRefD22_11x_0" localSheetId="43">'203'!$D$58</definedName>
    <definedName name="OSRRefD22_11x_0" localSheetId="48">'300'!$D$212</definedName>
    <definedName name="OSRRefD22_11x_0" localSheetId="49">'300 &amp; 317'!$D$238</definedName>
    <definedName name="OSRRefD22_11x_0" localSheetId="50">'301'!$D$62</definedName>
    <definedName name="OSRRefD22_11x_0" localSheetId="53">'307'!$D$116</definedName>
    <definedName name="OSRRefD22_11x_0" localSheetId="54">'308'!$D$109:$D$111</definedName>
    <definedName name="OSRRefD22_11x_0" localSheetId="67">'309'!$D$60:$D$62</definedName>
    <definedName name="OSRRefD22_11x_0" localSheetId="66">'310'!$D$67</definedName>
    <definedName name="OSRRefD22_11x_0" localSheetId="74">'310 &amp; 491'!$D$78:$D$79</definedName>
    <definedName name="OSRRefD22_11x_0" localSheetId="55">'311'!$D$108:$D$110</definedName>
    <definedName name="OSRRefD22_11x_0" localSheetId="68">'313'!$D$70</definedName>
    <definedName name="OSRRefD22_11x_0" localSheetId="60">'315'!$D$123:$D$127</definedName>
    <definedName name="OSRRefD22_11x_0" localSheetId="62">'316'!$D$72:$D$77</definedName>
    <definedName name="OSRRefD22_11x_0" localSheetId="65">'317'!$D$102</definedName>
    <definedName name="OSRRefD22_11x_0" localSheetId="69">'321'!$D$65</definedName>
    <definedName name="OSRRefD22_11x_0" localSheetId="70">'322'!$D$66</definedName>
    <definedName name="OSRRefD22_11x_0" localSheetId="71">'325'!$D$58:$D$60</definedName>
    <definedName name="OSRRefD22_11x_0" localSheetId="56">'326'!$D$98</definedName>
    <definedName name="OSRRefD22_11x_0" localSheetId="52">'330'!$D$122:$D$125</definedName>
    <definedName name="OSRRefD22_11x_0" localSheetId="59">'331'!$D$130</definedName>
    <definedName name="OSRRefD22_11x_0" localSheetId="61">'332'!$D$81</definedName>
    <definedName name="OSRRefD22_11x_0" localSheetId="76">'405'!$D$58</definedName>
    <definedName name="OSRRefD22_11x_0" localSheetId="77">'406'!$D$61:$D$66</definedName>
    <definedName name="OSRRefD22_11x_0" localSheetId="78">'411'!$D$57</definedName>
    <definedName name="OSRRefD22_11x_0" localSheetId="79">'412'!$D$62:$D$67</definedName>
    <definedName name="OSRRefD22_11x_0" localSheetId="80">'413'!$D$66</definedName>
    <definedName name="OSRRefD22_11x_0" localSheetId="81">'414'!$D$59</definedName>
    <definedName name="OSRRefD22_11x_0" localSheetId="82">'415'!$D$59:$D$62</definedName>
    <definedName name="OSRRefD22_11x_0" localSheetId="83">'418'!$D$60:$D$62</definedName>
    <definedName name="OSRRefD22_11x_0" localSheetId="86">'424'!$D$52:$D$56</definedName>
    <definedName name="OSRRefD22_11x_0" localSheetId="87">'425'!$D$64:$D$66</definedName>
    <definedName name="OSRRefD22_11x_0" localSheetId="91">'433'!$D$61:$D$63</definedName>
    <definedName name="OSRRefD22_11x_0" localSheetId="93">'444'!$D$60:$D$62</definedName>
    <definedName name="OSRRefD22_11x_0" localSheetId="94">'450'!$D$60</definedName>
    <definedName name="OSRRefD22_11x_0" localSheetId="75">'491'!$D$70:$D$71</definedName>
    <definedName name="OSRRefD22_11x_0" localSheetId="89">'492'!$D$64</definedName>
    <definedName name="OSRRefD22_11x_0" localSheetId="96">'501'!$D$58:$D$60</definedName>
    <definedName name="OSRRefD22_11x_0" localSheetId="39">'Div 2'!$D$59</definedName>
    <definedName name="OSRRefD22_11x_0" localSheetId="47">'Div 3'!$D$217</definedName>
    <definedName name="OSRRefD22_11x_0" localSheetId="73">'Div 4'!$D$71:$D$72</definedName>
    <definedName name="OSRRefD22_11x_0" localSheetId="95">'Div 5'!$D$58:$D$60</definedName>
    <definedName name="OSRRefD22_11x_0" localSheetId="64">'Div 6'!$D$102</definedName>
    <definedName name="OSRRefD22_11x_0" localSheetId="2">Summary!$D$252:$D$253</definedName>
    <definedName name="OSRRefD22_12x_0" localSheetId="41">'201'!$D$57:$D$60</definedName>
    <definedName name="OSRRefD22_12x_0" localSheetId="42">'202'!$D$58:$D$60</definedName>
    <definedName name="OSRRefD22_12x_0" localSheetId="43">'203'!$D$60:$D$63</definedName>
    <definedName name="OSRRefD22_12x_0" localSheetId="48">'300'!$D$214</definedName>
    <definedName name="OSRRefD22_12x_0" localSheetId="49">'300 &amp; 317'!$D$240</definedName>
    <definedName name="OSRRefD22_12x_0" localSheetId="50">'301'!$D$64</definedName>
    <definedName name="OSRRefD22_12x_0" localSheetId="54">'308'!$D$113:$D$114</definedName>
    <definedName name="OSRRefD22_12x_0" localSheetId="67">'309'!$D$64</definedName>
    <definedName name="OSRRefD22_12x_0" localSheetId="66">'310'!$D$69</definedName>
    <definedName name="OSRRefD22_12x_0" localSheetId="74">'310 &amp; 491'!$D$81</definedName>
    <definedName name="OSRRefD22_12x_0" localSheetId="55">'311'!$D$112:$D$113</definedName>
    <definedName name="OSRRefD22_12x_0" localSheetId="68">'313'!$D$72</definedName>
    <definedName name="OSRRefD22_12x_0" localSheetId="60">'315'!$D$129</definedName>
    <definedName name="OSRRefD22_12x_0" localSheetId="62">'316'!$D$79</definedName>
    <definedName name="OSRRefD22_12x_0" localSheetId="65">'317'!$D$104</definedName>
    <definedName name="OSRRefD22_12x_0" localSheetId="69">'321'!$D$67</definedName>
    <definedName name="OSRRefD22_12x_0" localSheetId="70">'322'!$D$68</definedName>
    <definedName name="OSRRefD22_12x_0" localSheetId="71">'325'!$D$62:$D$64</definedName>
    <definedName name="OSRRefD22_12x_0" localSheetId="56">'326'!$D$100:$D$102</definedName>
    <definedName name="OSRRefD22_12x_0" localSheetId="52">'330'!$D$127</definedName>
    <definedName name="OSRRefD22_12x_0" localSheetId="59">'331'!$D$132</definedName>
    <definedName name="OSRRefD22_12x_0" localSheetId="61">'332'!$D$83:$D$88</definedName>
    <definedName name="OSRRefD22_12x_0" localSheetId="76">'405'!$D$60:$D$62</definedName>
    <definedName name="OSRRefD22_12x_0" localSheetId="77">'406'!$D$68</definedName>
    <definedName name="OSRRefD22_12x_0" localSheetId="78">'411'!$D$59:$D$62</definedName>
    <definedName name="OSRRefD22_12x_0" localSheetId="79">'412'!$D$69</definedName>
    <definedName name="OSRRefD22_12x_0" localSheetId="81">'414'!$D$61</definedName>
    <definedName name="OSRRefD22_12x_0" localSheetId="82">'415'!$D$64:$D$68</definedName>
    <definedName name="OSRRefD22_12x_0" localSheetId="83">'418'!$D$64:$D$66</definedName>
    <definedName name="OSRRefD22_12x_0" localSheetId="86">'424'!$D$58</definedName>
    <definedName name="OSRRefD22_12x_0" localSheetId="87">'425'!$D$68:$D$74</definedName>
    <definedName name="OSRRefD22_12x_0" localSheetId="91">'433'!$D$65:$D$67</definedName>
    <definedName name="OSRRefD22_12x_0" localSheetId="93">'444'!$D$64:$D$67</definedName>
    <definedName name="OSRRefD22_12x_0" localSheetId="94">'450'!$D$62:$D$63</definedName>
    <definedName name="OSRRefD22_12x_0" localSheetId="75">'491'!$D$73</definedName>
    <definedName name="OSRRefD22_12x_0" localSheetId="89">'492'!$D$66:$D$68</definedName>
    <definedName name="OSRRefD22_12x_0" localSheetId="96">'501'!$D$62</definedName>
    <definedName name="OSRRefD22_12x_0" localSheetId="39">'Div 2'!$D$61:$D$64</definedName>
    <definedName name="OSRRefD22_12x_0" localSheetId="47">'Div 3'!$D$219</definedName>
    <definedName name="OSRRefD22_12x_0" localSheetId="73">'Div 4'!$D$74</definedName>
    <definedName name="OSRRefD22_12x_0" localSheetId="95">'Div 5'!$D$62</definedName>
    <definedName name="OSRRefD22_12x_0" localSheetId="64">'Div 6'!$D$104</definedName>
    <definedName name="OSRRefD22_12x_0" localSheetId="2">Summary!$D$255</definedName>
    <definedName name="OSRRefD22_13x_0" localSheetId="41">'201'!$D$62</definedName>
    <definedName name="OSRRefD22_13x_0" localSheetId="42">'202'!$D$62</definedName>
    <definedName name="OSRRefD22_13x_0" localSheetId="43">'203'!$D$65</definedName>
    <definedName name="OSRRefD22_13x_0" localSheetId="48">'300'!$D$216:$D$218</definedName>
    <definedName name="OSRRefD22_13x_0" localSheetId="49">'300 &amp; 317'!$D$242:$D$244</definedName>
    <definedName name="OSRRefD22_13x_0" localSheetId="50">'301'!$D$66</definedName>
    <definedName name="OSRRefD22_13x_0" localSheetId="54">'308'!$D$116</definedName>
    <definedName name="OSRRefD22_13x_0" localSheetId="66">'310'!$D$71</definedName>
    <definedName name="OSRRefD22_13x_0" localSheetId="74">'310 &amp; 491'!$D$83</definedName>
    <definedName name="OSRRefD22_13x_0" localSheetId="55">'311'!$D$115</definedName>
    <definedName name="OSRRefD22_13x_0" localSheetId="60">'315'!$D$131</definedName>
    <definedName name="OSRRefD22_13x_0" localSheetId="62">'316'!$D$81</definedName>
    <definedName name="OSRRefD22_13x_0" localSheetId="65">'317'!$D$106</definedName>
    <definedName name="OSRRefD22_13x_0" localSheetId="70">'322'!$D$70</definedName>
    <definedName name="OSRRefD22_13x_0" localSheetId="71">'325'!$D$66</definedName>
    <definedName name="OSRRefD22_13x_0" localSheetId="56">'326'!$D$104:$D$106</definedName>
    <definedName name="OSRRefD22_13x_0" localSheetId="52">'330'!$D$129</definedName>
    <definedName name="OSRRefD22_13x_0" localSheetId="59">'331'!$D$134:$D$136</definedName>
    <definedName name="OSRRefD22_13x_0" localSheetId="61">'332'!$D$90</definedName>
    <definedName name="OSRRefD22_13x_0" localSheetId="76">'405'!$D$64:$D$65</definedName>
    <definedName name="OSRRefD22_13x_0" localSheetId="77">'406'!$D$70</definedName>
    <definedName name="OSRRefD22_13x_0" localSheetId="78">'411'!$D$64:$D$68</definedName>
    <definedName name="OSRRefD22_13x_0" localSheetId="79">'412'!$D$71</definedName>
    <definedName name="OSRRefD22_13x_0" localSheetId="81">'414'!$D$63:$D$69</definedName>
    <definedName name="OSRRefD22_13x_0" localSheetId="82">'415'!$D$70:$D$71</definedName>
    <definedName name="OSRRefD22_13x_0" localSheetId="83">'418'!$D$68:$D$69</definedName>
    <definedName name="OSRRefD22_13x_0" localSheetId="87">'425'!$D$76</definedName>
    <definedName name="OSRRefD22_13x_0" localSheetId="91">'433'!$D$69:$D$76</definedName>
    <definedName name="OSRRefD22_13x_0" localSheetId="93">'444'!$D$69</definedName>
    <definedName name="OSRRefD22_13x_0" localSheetId="94">'450'!$D$65:$D$67</definedName>
    <definedName name="OSRRefD22_13x_0" localSheetId="75">'491'!$D$75</definedName>
    <definedName name="OSRRefD22_13x_0" localSheetId="89">'492'!$D$70:$D$73</definedName>
    <definedName name="OSRRefD22_13x_0" localSheetId="96">'501'!$D$64</definedName>
    <definedName name="OSRRefD22_13x_0" localSheetId="39">'Div 2'!$D$66:$D$68</definedName>
    <definedName name="OSRRefD22_13x_0" localSheetId="47">'Div 3'!$D$221</definedName>
    <definedName name="OSRRefD22_13x_0" localSheetId="73">'Div 4'!$D$76</definedName>
    <definedName name="OSRRefD22_13x_0" localSheetId="95">'Div 5'!$D$64</definedName>
    <definedName name="OSRRefD22_13x_0" localSheetId="64">'Div 6'!$D$106</definedName>
    <definedName name="OSRRefD22_13x_0" localSheetId="2">Summary!$D$257</definedName>
    <definedName name="OSRRefD22_14x_0" localSheetId="41">'201'!$D$64</definedName>
    <definedName name="OSRRefD22_14x_0" localSheetId="42">'202'!$D$64</definedName>
    <definedName name="OSRRefD22_14x_0" localSheetId="43">'203'!$D$67</definedName>
    <definedName name="OSRRefD22_14x_0" localSheetId="48">'300'!$D$220</definedName>
    <definedName name="OSRRefD22_14x_0" localSheetId="49">'300 &amp; 317'!$D$246</definedName>
    <definedName name="OSRRefD22_14x_0" localSheetId="50">'301'!$D$68</definedName>
    <definedName name="OSRRefD22_14x_0" localSheetId="54">'308'!$D$118</definedName>
    <definedName name="OSRRefD22_14x_0" localSheetId="66">'310'!$D$73:$D$75</definedName>
    <definedName name="OSRRefD22_14x_0" localSheetId="74">'310 &amp; 491'!$D$85</definedName>
    <definedName name="OSRRefD22_14x_0" localSheetId="55">'311'!$D$117</definedName>
    <definedName name="OSRRefD22_14x_0" localSheetId="60">'315'!$D$133:$D$134</definedName>
    <definedName name="OSRRefD22_14x_0" localSheetId="62">'316'!$D$83</definedName>
    <definedName name="OSRRefD22_14x_0" localSheetId="71">'325'!$D$68:$D$72</definedName>
    <definedName name="OSRRefD22_14x_0" localSheetId="56">'326'!$D$108:$D$109</definedName>
    <definedName name="OSRRefD22_14x_0" localSheetId="52">'330'!$D$131</definedName>
    <definedName name="OSRRefD22_14x_0" localSheetId="59">'331'!$D$138:$D$139</definedName>
    <definedName name="OSRRefD22_14x_0" localSheetId="61">'332'!$D$92</definedName>
    <definedName name="OSRRefD22_14x_0" localSheetId="76">'405'!$D$67:$D$73</definedName>
    <definedName name="OSRRefD22_14x_0" localSheetId="77">'406'!$D$72</definedName>
    <definedName name="OSRRefD22_14x_0" localSheetId="78">'411'!$D$70:$D$71</definedName>
    <definedName name="OSRRefD22_14x_0" localSheetId="81">'414'!$D$71</definedName>
    <definedName name="OSRRefD22_14x_0" localSheetId="82">'415'!$D$73:$D$81</definedName>
    <definedName name="OSRRefD22_14x_0" localSheetId="83">'418'!$D$71:$D$78</definedName>
    <definedName name="OSRRefD22_14x_0" localSheetId="87">'425'!$D$78</definedName>
    <definedName name="OSRRefD22_14x_0" localSheetId="91">'433'!$D$78</definedName>
    <definedName name="OSRRefD22_14x_0" localSheetId="93">'444'!$D$71:$D$79</definedName>
    <definedName name="OSRRefD22_14x_0" localSheetId="94">'450'!$D$69:$D$74</definedName>
    <definedName name="OSRRefD22_14x_0" localSheetId="75">'491'!$D$77</definedName>
    <definedName name="OSRRefD22_14x_0" localSheetId="89">'492'!$D$75</definedName>
    <definedName name="OSRRefD22_14x_0" localSheetId="39">'Div 2'!$D$70:$D$71</definedName>
    <definedName name="OSRRefD22_14x_0" localSheetId="47">'Div 3'!$D$223:$D$225</definedName>
    <definedName name="OSRRefD22_14x_0" localSheetId="73">'Div 4'!$D$78</definedName>
    <definedName name="OSRRefD22_14x_0" localSheetId="2">Summary!$D$259:$D$261</definedName>
    <definedName name="OSRRefD22_15x_0" localSheetId="41">'201'!$D$66</definedName>
    <definedName name="OSRRefD22_15x_0" localSheetId="42">'202'!$D$66</definedName>
    <definedName name="OSRRefD22_15x_0" localSheetId="43">'203'!$D$69</definedName>
    <definedName name="OSRRefD22_15x_0" localSheetId="48">'300'!$D$222</definedName>
    <definedName name="OSRRefD22_15x_0" localSheetId="49">'300 &amp; 317'!$D$248</definedName>
    <definedName name="OSRRefD22_15x_0" localSheetId="50">'301'!$D$70:$D$73</definedName>
    <definedName name="OSRRefD22_15x_0" localSheetId="66">'310'!$D$77</definedName>
    <definedName name="OSRRefD22_15x_0" localSheetId="74">'310 &amp; 491'!$D$87</definedName>
    <definedName name="OSRRefD22_15x_0" localSheetId="71">'325'!$D$74</definedName>
    <definedName name="OSRRefD22_15x_0" localSheetId="56">'326'!$D$111:$D$116</definedName>
    <definedName name="OSRRefD22_15x_0" localSheetId="59">'331'!$D$141:$D$143</definedName>
    <definedName name="OSRRefD22_15x_0" localSheetId="61">'332'!$D$94</definedName>
    <definedName name="OSRRefD22_15x_0" localSheetId="76">'405'!$D$75</definedName>
    <definedName name="OSRRefD22_15x_0" localSheetId="78">'411'!$D$73:$D$81</definedName>
    <definedName name="OSRRefD22_15x_0" localSheetId="81">'414'!$D$73</definedName>
    <definedName name="OSRRefD22_15x_0" localSheetId="82">'415'!$D$83</definedName>
    <definedName name="OSRRefD22_15x_0" localSheetId="83">'418'!$D$80</definedName>
    <definedName name="OSRRefD22_15x_0" localSheetId="91">'433'!$D$80</definedName>
    <definedName name="OSRRefD22_15x_0" localSheetId="93">'444'!$D$81</definedName>
    <definedName name="OSRRefD22_15x_0" localSheetId="94">'450'!$D$76</definedName>
    <definedName name="OSRRefD22_15x_0" localSheetId="75">'491'!$D$79</definedName>
    <definedName name="OSRRefD22_15x_0" localSheetId="89">'492'!$D$77:$D$85</definedName>
    <definedName name="OSRRefD22_15x_0" localSheetId="39">'Div 2'!$D$73</definedName>
    <definedName name="OSRRefD22_15x_0" localSheetId="47">'Div 3'!$D$227</definedName>
    <definedName name="OSRRefD22_15x_0" localSheetId="73">'Div 4'!$D$80</definedName>
    <definedName name="OSRRefD22_15x_0" localSheetId="2">Summary!$D$263</definedName>
    <definedName name="OSRRefD22_16x_0" localSheetId="48">'300'!$D$224:$D$227</definedName>
    <definedName name="OSRRefD22_16x_0" localSheetId="49">'300 &amp; 317'!$D$250:$D$253</definedName>
    <definedName name="OSRRefD22_16x_0" localSheetId="50">'301'!$D$75:$D$77</definedName>
    <definedName name="OSRRefD22_16x_0" localSheetId="66">'310'!$D$79:$D$82</definedName>
    <definedName name="OSRRefD22_16x_0" localSheetId="74">'310 &amp; 491'!$D$89:$D$92</definedName>
    <definedName name="OSRRefD22_16x_0" localSheetId="71">'325'!$D$76</definedName>
    <definedName name="OSRRefD22_16x_0" localSheetId="56">'326'!$D$118</definedName>
    <definedName name="OSRRefD22_16x_0" localSheetId="59">'331'!$D$145:$D$146</definedName>
    <definedName name="OSRRefD22_16x_0" localSheetId="76">'405'!$D$77</definedName>
    <definedName name="OSRRefD22_16x_0" localSheetId="78">'411'!$D$83</definedName>
    <definedName name="OSRRefD22_16x_0" localSheetId="82">'415'!$D$85</definedName>
    <definedName name="OSRRefD22_16x_0" localSheetId="83">'418'!$D$82</definedName>
    <definedName name="OSRRefD22_16x_0" localSheetId="91">'433'!$D$82</definedName>
    <definedName name="OSRRefD22_16x_0" localSheetId="93">'444'!$D$83</definedName>
    <definedName name="OSRRefD22_16x_0" localSheetId="94">'450'!$D$78</definedName>
    <definedName name="OSRRefD22_16x_0" localSheetId="75">'491'!$D$81:$D$84</definedName>
    <definedName name="OSRRefD22_16x_0" localSheetId="89">'492'!$D$87</definedName>
    <definedName name="OSRRefD22_16x_0" localSheetId="39">'Div 2'!$D$75:$D$79</definedName>
    <definedName name="OSRRefD22_16x_0" localSheetId="47">'Div 3'!$D$229</definedName>
    <definedName name="OSRRefD22_16x_0" localSheetId="73">'Div 4'!$D$82</definedName>
    <definedName name="OSRRefD22_16x_0" localSheetId="2">Summary!$D$265</definedName>
    <definedName name="OSRRefD22_17x_0" localSheetId="48">'300'!$D$229:$D$231</definedName>
    <definedName name="OSRRefD22_17x_0" localSheetId="49">'300 &amp; 317'!$D$255:$D$257</definedName>
    <definedName name="OSRRefD22_17x_0" localSheetId="50">'301'!$D$79:$D$80</definedName>
    <definedName name="OSRRefD22_17x_0" localSheetId="66">'310'!$D$84</definedName>
    <definedName name="OSRRefD22_17x_0" localSheetId="74">'310 &amp; 491'!$D$94:$D$95</definedName>
    <definedName name="OSRRefD22_17x_0" localSheetId="71">'325'!$D$78</definedName>
    <definedName name="OSRRefD22_17x_0" localSheetId="56">'326'!$D$120</definedName>
    <definedName name="OSRRefD22_17x_0" localSheetId="59">'331'!$D$148:$D$153</definedName>
    <definedName name="OSRRefD22_17x_0" localSheetId="76">'405'!$D$79</definedName>
    <definedName name="OSRRefD22_17x_0" localSheetId="78">'411'!$D$85</definedName>
    <definedName name="OSRRefD22_17x_0" localSheetId="82">'415'!$D$87</definedName>
    <definedName name="OSRRefD22_17x_0" localSheetId="93">'444'!$D$85:$D$86</definedName>
    <definedName name="OSRRefD22_17x_0" localSheetId="94">'450'!$D$80</definedName>
    <definedName name="OSRRefD22_17x_0" localSheetId="75">'491'!$D$86:$D$87</definedName>
    <definedName name="OSRRefD22_17x_0" localSheetId="89">'492'!$D$89</definedName>
    <definedName name="OSRRefD22_17x_0" localSheetId="39">'Div 2'!$D$81:$D$82</definedName>
    <definedName name="OSRRefD22_17x_0" localSheetId="47">'Div 3'!$D$231:$D$234</definedName>
    <definedName name="OSRRefD22_17x_0" localSheetId="73">'Div 4'!$D$84:$D$87</definedName>
    <definedName name="OSRRefD22_17x_0" localSheetId="2">Summary!$D$267</definedName>
    <definedName name="OSRRefD22_18x_0" localSheetId="48">'300'!$D$233:$D$236</definedName>
    <definedName name="OSRRefD22_18x_0" localSheetId="49">'300 &amp; 317'!$D$259:$D$262</definedName>
    <definedName name="OSRRefD22_18x_0" localSheetId="50">'301'!$D$82:$D$88</definedName>
    <definedName name="OSRRefD22_18x_0" localSheetId="66">'310'!$D$86:$D$94</definedName>
    <definedName name="OSRRefD22_18x_0" localSheetId="74">'310 &amp; 491'!$D$97:$D$101</definedName>
    <definedName name="OSRRefD22_18x_0" localSheetId="56">'326'!$D$122</definedName>
    <definedName name="OSRRefD22_18x_0" localSheetId="59">'331'!$D$155</definedName>
    <definedName name="OSRRefD22_18x_0" localSheetId="78">'411'!$D$87:$D$89</definedName>
    <definedName name="OSRRefD22_18x_0" localSheetId="75">'491'!$D$89:$D$93</definedName>
    <definedName name="OSRRefD22_18x_0" localSheetId="89">'492'!$D$91:$D$92</definedName>
    <definedName name="OSRRefD22_18x_0" localSheetId="39">'Div 2'!$D$84</definedName>
    <definedName name="OSRRefD22_18x_0" localSheetId="47">'Div 3'!$D$236:$D$238</definedName>
    <definedName name="OSRRefD22_18x_0" localSheetId="73">'Div 4'!$D$89:$D$90</definedName>
    <definedName name="OSRRefD22_18x_0" localSheetId="2">Summary!$D$269:$D$272</definedName>
    <definedName name="OSRRefD22_19x_0" localSheetId="48">'300'!$D$238:$D$239</definedName>
    <definedName name="OSRRefD22_19x_0" localSheetId="49">'300 &amp; 317'!$D$264:$D$265</definedName>
    <definedName name="OSRRefD22_19x_0" localSheetId="50">'301'!$D$90</definedName>
    <definedName name="OSRRefD22_19x_0" localSheetId="66">'310'!$D$96</definedName>
    <definedName name="OSRRefD22_19x_0" localSheetId="74">'310 &amp; 491'!$D$103:$D$104</definedName>
    <definedName name="OSRRefD22_19x_0" localSheetId="56">'326'!$D$124</definedName>
    <definedName name="OSRRefD22_19x_0" localSheetId="59">'331'!$D$157</definedName>
    <definedName name="OSRRefD22_19x_0" localSheetId="78">'411'!$D$91</definedName>
    <definedName name="OSRRefD22_19x_0" localSheetId="75">'491'!$D$95:$D$96</definedName>
    <definedName name="OSRRefD22_19x_0" localSheetId="39">'Div 2'!$D$86:$D$87</definedName>
    <definedName name="OSRRefD22_19x_0" localSheetId="47">'Div 3'!$D$240:$D$244</definedName>
    <definedName name="OSRRefD22_19x_0" localSheetId="73">'Div 4'!$D$92:$D$96</definedName>
    <definedName name="OSRRefD22_19x_0" localSheetId="2">Summary!$D$274:$D$276</definedName>
    <definedName name="OSRRefD22_1x_0" localSheetId="40">'200'!$D$22</definedName>
    <definedName name="OSRRefD22_1x_0" localSheetId="41">'201'!$D$29:$D$31</definedName>
    <definedName name="OSRRefD22_1x_0" localSheetId="42">'202'!$D$29:$D$33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'300'!$D$181:$D$187</definedName>
    <definedName name="OSRRefD22_1x_0" localSheetId="49">'300 &amp; 317'!$D$207:$D$213</definedName>
    <definedName name="OSRRefD22_1x_0" localSheetId="50">'301'!$D$32:$D$38</definedName>
    <definedName name="OSRRefD22_1x_0" localSheetId="51">'306'!$D$30:$D$35</definedName>
    <definedName name="OSRRefD22_1x_0" localSheetId="53">'307'!$D$87:$D$90</definedName>
    <definedName name="OSRRefD22_1x_0" localSheetId="54">'308'!$D$78:$D$84</definedName>
    <definedName name="OSRRefD22_1x_0" localSheetId="67">'309'!$D$33:$D$37</definedName>
    <definedName name="OSRRefD22_1x_0" localSheetId="66">'310'!$D$41:$D$46</definedName>
    <definedName name="OSRRefD22_1x_0" localSheetId="74">'310 &amp; 491'!$D$49:$D$55</definedName>
    <definedName name="OSRRefD22_1x_0" localSheetId="55">'311'!$D$77:$D$83</definedName>
    <definedName name="OSRRefD22_1x_0" localSheetId="68">'313'!$D$38:$D$43</definedName>
    <definedName name="OSRRefD22_1x_0" localSheetId="58">'314'!$D$66:$D$68</definedName>
    <definedName name="OSRRefD22_1x_0" localSheetId="60">'315'!$D$93:$D$98</definedName>
    <definedName name="OSRRefD22_1x_0" localSheetId="62">'316'!$D$46:$D$49</definedName>
    <definedName name="OSRRefD22_1x_0" localSheetId="65">'317'!$D$71:$D$75</definedName>
    <definedName name="OSRRefD22_1x_0" localSheetId="63">'320'!$D$37:$D$41</definedName>
    <definedName name="OSRRefD22_1x_0" localSheetId="69">'321'!$D$33:$D$37</definedName>
    <definedName name="OSRRefD22_1x_0" localSheetId="70">'322'!$D$33:$D$37</definedName>
    <definedName name="OSRRefD22_1x_0" localSheetId="71">'325'!$D$33:$D$37</definedName>
    <definedName name="OSRRefD22_1x_0" localSheetId="56">'326'!$D$72:$D$77</definedName>
    <definedName name="OSRRefD22_1x_0" localSheetId="72">'327'!$D$25</definedName>
    <definedName name="OSRRefD22_1x_0" localSheetId="52">'330'!$D$95:$D$99</definedName>
    <definedName name="OSRRefD22_1x_0" localSheetId="59">'331'!$D$102:$D$107</definedName>
    <definedName name="OSRRefD22_1x_0" localSheetId="61">'332'!$D$54:$D$58</definedName>
    <definedName name="OSRRefD22_1x_0" localSheetId="76">'405'!$D$33:$D$36</definedName>
    <definedName name="OSRRefD22_1x_0" localSheetId="77">'406'!$D$33:$D$38</definedName>
    <definedName name="OSRRefD22_1x_0" localSheetId="78">'411'!$D$30:$D$35</definedName>
    <definedName name="OSRRefD22_1x_0" localSheetId="79">'412'!$D$33:$D$38</definedName>
    <definedName name="OSRRefD22_1x_0" localSheetId="80">'413'!$D$33:$D$37</definedName>
    <definedName name="OSRRefD22_1x_0" localSheetId="81">'414'!$D$33:$D$38</definedName>
    <definedName name="OSRRefD22_1x_0" localSheetId="82">'415'!$D$33:$D$38</definedName>
    <definedName name="OSRRefD22_1x_0" localSheetId="83">'418'!$D$33:$D$38</definedName>
    <definedName name="OSRRefD22_1x_0" localSheetId="84">'420'!$D$33:$D$36</definedName>
    <definedName name="OSRRefD22_1x_0" localSheetId="85">'423'!$D$30:$D$31</definedName>
    <definedName name="OSRRefD22_1x_0" localSheetId="86">'424'!$D$27:$D$31</definedName>
    <definedName name="OSRRefD22_1x_0" localSheetId="87">'425'!$D$37:$D$42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'491'!$D$42:$D$48</definedName>
    <definedName name="OSRRefD22_1x_0" localSheetId="89">'492'!$D$38:$D$44</definedName>
    <definedName name="OSRRefD22_1x_0" localSheetId="96">'501'!$D$31:$D$35</definedName>
    <definedName name="OSRRefD22_1x_0" localSheetId="39">'Div 2'!$D$32:$D$38</definedName>
    <definedName name="OSRRefD22_1x_0" localSheetId="47">'Div 3'!$D$186:$D$192</definedName>
    <definedName name="OSRRefD22_1x_0" localSheetId="73">'Div 4'!$D$43:$D$49</definedName>
    <definedName name="OSRRefD22_1x_0" localSheetId="95">'Div 5'!$D$31:$D$35</definedName>
    <definedName name="OSRRefD22_1x_0" localSheetId="64">'Div 6'!$D$71:$D$75</definedName>
    <definedName name="OSRRefD22_1x_0" localSheetId="2">Summary!$D$220:$D$226</definedName>
    <definedName name="OSRRefD22_20x_0" localSheetId="48">'300'!$D$241:$D$248</definedName>
    <definedName name="OSRRefD22_20x_0" localSheetId="49">'300 &amp; 317'!$D$267:$D$274</definedName>
    <definedName name="OSRRefD22_20x_0" localSheetId="50">'301'!$D$92</definedName>
    <definedName name="OSRRefD22_20x_0" localSheetId="66">'310'!$D$98</definedName>
    <definedName name="OSRRefD22_20x_0" localSheetId="74">'310 &amp; 491'!$D$106:$D$115</definedName>
    <definedName name="OSRRefD22_20x_0" localSheetId="59">'331'!$D$159:$D$160</definedName>
    <definedName name="OSRRefD22_20x_0" localSheetId="75">'491'!$D$98:$D$107</definedName>
    <definedName name="OSRRefD22_20x_0" localSheetId="47">'Div 3'!$D$246:$D$247</definedName>
    <definedName name="OSRRefD22_20x_0" localSheetId="73">'Div 4'!$D$98:$D$99</definedName>
    <definedName name="OSRRefD22_20x_0" localSheetId="2">Summary!$D$278:$D$282</definedName>
    <definedName name="OSRRefD22_21x_0" localSheetId="48">'300'!$D$250:$D$251</definedName>
    <definedName name="OSRRefD22_21x_0" localSheetId="49">'300 &amp; 317'!$D$276:$D$277</definedName>
    <definedName name="OSRRefD22_21x_0" localSheetId="50">'301'!$D$94:$D$96</definedName>
    <definedName name="OSRRefD22_21x_0" localSheetId="66">'310'!$D$100</definedName>
    <definedName name="OSRRefD22_21x_0" localSheetId="74">'310 &amp; 491'!$D$117</definedName>
    <definedName name="OSRRefD22_21x_0" localSheetId="59">'331'!$D$162</definedName>
    <definedName name="OSRRefD22_21x_0" localSheetId="75">'491'!$D$109</definedName>
    <definedName name="OSRRefD22_21x_0" localSheetId="47">'Div 3'!$D$249:$D$257</definedName>
    <definedName name="OSRRefD22_21x_0" localSheetId="73">'Div 4'!$D$101:$D$110</definedName>
    <definedName name="OSRRefD22_21x_0" localSheetId="2">Summary!$D$284:$D$285</definedName>
    <definedName name="OSRRefD22_22x_0" localSheetId="48">'300'!$D$253</definedName>
    <definedName name="OSRRefD22_22x_0" localSheetId="49">'300 &amp; 317'!$D$279</definedName>
    <definedName name="OSRRefD22_22x_0" localSheetId="50">'301'!$D$98</definedName>
    <definedName name="OSRRefD22_22x_0" localSheetId="66">'310'!$D$102</definedName>
    <definedName name="OSRRefD22_22x_0" localSheetId="74">'310 &amp; 491'!$D$119</definedName>
    <definedName name="OSRRefD22_22x_0" localSheetId="75">'491'!$D$111</definedName>
    <definedName name="OSRRefD22_22x_0" localSheetId="47">'Div 3'!$D$259:$D$260</definedName>
    <definedName name="OSRRefD22_22x_0" localSheetId="73">'Div 4'!$D$112</definedName>
    <definedName name="OSRRefD22_22x_0" localSheetId="2">Summary!$D$287:$D$296</definedName>
    <definedName name="OSRRefD22_23x_0" localSheetId="48">'300'!$D$255:$D$257</definedName>
    <definedName name="OSRRefD22_23x_0" localSheetId="49">'300 &amp; 317'!$D$281:$D$283</definedName>
    <definedName name="OSRRefD22_23x_0" localSheetId="74">'310 &amp; 491'!$D$121:$D$123</definedName>
    <definedName name="OSRRefD22_23x_0" localSheetId="75">'491'!$D$113:$D$115</definedName>
    <definedName name="OSRRefD22_23x_0" localSheetId="47">'Div 3'!$D$262</definedName>
    <definedName name="OSRRefD22_23x_0" localSheetId="73">'Div 4'!$D$114</definedName>
    <definedName name="OSRRefD22_23x_0" localSheetId="2">Summary!$D$298:$D$299</definedName>
    <definedName name="OSRRefD22_24x_0" localSheetId="48">'300'!$D$259</definedName>
    <definedName name="OSRRefD22_24x_0" localSheetId="49">'300 &amp; 317'!$D$285</definedName>
    <definedName name="OSRRefD22_24x_0" localSheetId="74">'310 &amp; 491'!$D$125</definedName>
    <definedName name="OSRRefD22_24x_0" localSheetId="75">'491'!$D$117</definedName>
    <definedName name="OSRRefD22_24x_0" localSheetId="47">'Div 3'!$D$264:$D$266</definedName>
    <definedName name="OSRRefD22_24x_0" localSheetId="73">'Div 4'!$D$116:$D$118</definedName>
    <definedName name="OSRRefD22_24x_0" localSheetId="2">Summary!$D$301</definedName>
    <definedName name="OSRRefD22_25x_0" localSheetId="47">'Div 3'!$D$268</definedName>
    <definedName name="OSRRefD22_25x_0" localSheetId="73">'Div 4'!$D$120</definedName>
    <definedName name="OSRRefD22_25x_0" localSheetId="2">Summary!$D$303:$D$305</definedName>
    <definedName name="OSRRefD22_26x_0" localSheetId="2">Summary!$D$307</definedName>
    <definedName name="OSRRefD22_2x_0" localSheetId="40">'200'!$D$24</definedName>
    <definedName name="OSRRefD22_2x_0" localSheetId="41">'201'!$D$33</definedName>
    <definedName name="OSRRefD22_2x_0" localSheetId="42">'202'!$D$35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'300'!$D$189</definedName>
    <definedName name="OSRRefD22_2x_0" localSheetId="49">'300 &amp; 317'!$D$215</definedName>
    <definedName name="OSRRefD22_2x_0" localSheetId="50">'301'!$D$40</definedName>
    <definedName name="OSRRefD22_2x_0" localSheetId="51">'306'!$D$37</definedName>
    <definedName name="OSRRefD22_2x_0" localSheetId="53">'307'!$D$92</definedName>
    <definedName name="OSRRefD22_2x_0" localSheetId="54">'308'!$D$86</definedName>
    <definedName name="OSRRefD22_2x_0" localSheetId="67">'309'!$D$39</definedName>
    <definedName name="OSRRefD22_2x_0" localSheetId="66">'310'!$D$48</definedName>
    <definedName name="OSRRefD22_2x_0" localSheetId="74">'310 &amp; 491'!$D$57</definedName>
    <definedName name="OSRRefD22_2x_0" localSheetId="55">'311'!$D$85</definedName>
    <definedName name="OSRRefD22_2x_0" localSheetId="68">'313'!$D$45</definedName>
    <definedName name="OSRRefD22_2x_0" localSheetId="58">'314'!$D$70</definedName>
    <definedName name="OSRRefD22_2x_0" localSheetId="60">'315'!$D$100</definedName>
    <definedName name="OSRRefD22_2x_0" localSheetId="62">'316'!$D$51</definedName>
    <definedName name="OSRRefD22_2x_0" localSheetId="65">'317'!$D$77</definedName>
    <definedName name="OSRRefD22_2x_0" localSheetId="63">'320'!$D$43</definedName>
    <definedName name="OSRRefD22_2x_0" localSheetId="69">'321'!$D$39</definedName>
    <definedName name="OSRRefD22_2x_0" localSheetId="70">'322'!$D$39</definedName>
    <definedName name="OSRRefD22_2x_0" localSheetId="71">'325'!$D$39</definedName>
    <definedName name="OSRRefD22_2x_0" localSheetId="56">'326'!$D$79</definedName>
    <definedName name="OSRRefD22_2x_0" localSheetId="72">'327'!$D$27</definedName>
    <definedName name="OSRRefD22_2x_0" localSheetId="52">'330'!$D$101</definedName>
    <definedName name="OSRRefD22_2x_0" localSheetId="59">'331'!$D$109</definedName>
    <definedName name="OSRRefD22_2x_0" localSheetId="61">'332'!$D$60</definedName>
    <definedName name="OSRRefD22_2x_0" localSheetId="76">'405'!$D$38</definedName>
    <definedName name="OSRRefD22_2x_0" localSheetId="77">'406'!$D$40</definedName>
    <definedName name="OSRRefD22_2x_0" localSheetId="78">'411'!$D$37</definedName>
    <definedName name="OSRRefD22_2x_0" localSheetId="79">'412'!$D$40</definedName>
    <definedName name="OSRRefD22_2x_0" localSheetId="80">'413'!$D$39</definedName>
    <definedName name="OSRRefD22_2x_0" localSheetId="81">'414'!$D$40</definedName>
    <definedName name="OSRRefD22_2x_0" localSheetId="82">'415'!$D$40</definedName>
    <definedName name="OSRRefD22_2x_0" localSheetId="83">'418'!$D$40</definedName>
    <definedName name="OSRRefD22_2x_0" localSheetId="84">'420'!$D$38</definedName>
    <definedName name="OSRRefD22_2x_0" localSheetId="85">'423'!$D$33</definedName>
    <definedName name="OSRRefD22_2x_0" localSheetId="86">'424'!$D$33</definedName>
    <definedName name="OSRRefD22_2x_0" localSheetId="87">'425'!$D$44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4">'450'!$D$42</definedName>
    <definedName name="OSRRefD22_2x_0" localSheetId="75">'491'!$D$50</definedName>
    <definedName name="OSRRefD22_2x_0" localSheetId="89">'492'!$D$46</definedName>
    <definedName name="OSRRefD22_2x_0" localSheetId="96">'501'!$D$37</definedName>
    <definedName name="OSRRefD22_2x_0" localSheetId="39">'Div 2'!$D$40</definedName>
    <definedName name="OSRRefD22_2x_0" localSheetId="47">'Div 3'!$D$194</definedName>
    <definedName name="OSRRefD22_2x_0" localSheetId="73">'Div 4'!$D$51</definedName>
    <definedName name="OSRRefD22_2x_0" localSheetId="95">'Div 5'!$D$37</definedName>
    <definedName name="OSRRefD22_2x_0" localSheetId="64">'Div 6'!$D$77</definedName>
    <definedName name="OSRRefD22_2x_0" localSheetId="2">Summary!$D$228</definedName>
    <definedName name="OSRRefD22_3x_0" localSheetId="40">'200'!$D$26</definedName>
    <definedName name="OSRRefD22_3x_0" localSheetId="41">'201'!$D$35</definedName>
    <definedName name="OSRRefD22_3x_0" localSheetId="42">'202'!$D$37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'300'!$D$191:$D$192</definedName>
    <definedName name="OSRRefD22_3x_0" localSheetId="49">'300 &amp; 317'!$D$217:$D$218</definedName>
    <definedName name="OSRRefD22_3x_0" localSheetId="50">'301'!$D$42:$D$43</definedName>
    <definedName name="OSRRefD22_3x_0" localSheetId="51">'306'!$D$39</definedName>
    <definedName name="OSRRefD22_3x_0" localSheetId="53">'307'!$D$94</definedName>
    <definedName name="OSRRefD22_3x_0" localSheetId="54">'308'!$D$88:$D$89</definedName>
    <definedName name="OSRRefD22_3x_0" localSheetId="67">'309'!$D$41</definedName>
    <definedName name="OSRRefD22_3x_0" localSheetId="66">'310'!$D$50</definedName>
    <definedName name="OSRRefD22_3x_0" localSheetId="74">'310 &amp; 491'!$D$59</definedName>
    <definedName name="OSRRefD22_3x_0" localSheetId="55">'311'!$D$87:$D$88</definedName>
    <definedName name="OSRRefD22_3x_0" localSheetId="68">'313'!$D$47</definedName>
    <definedName name="OSRRefD22_3x_0" localSheetId="58">'314'!$D$72:$D$73</definedName>
    <definedName name="OSRRefD22_3x_0" localSheetId="60">'315'!$D$102:$D$103</definedName>
    <definedName name="OSRRefD22_3x_0" localSheetId="62">'316'!$D$53</definedName>
    <definedName name="OSRRefD22_3x_0" localSheetId="65">'317'!$D$79</definedName>
    <definedName name="OSRRefD22_3x_0" localSheetId="63">'320'!$D$45</definedName>
    <definedName name="OSRRefD22_3x_0" localSheetId="69">'321'!$D$41</definedName>
    <definedName name="OSRRefD22_3x_0" localSheetId="70">'322'!$D$41</definedName>
    <definedName name="OSRRefD22_3x_0" localSheetId="71">'325'!$D$41</definedName>
    <definedName name="OSRRefD22_3x_0" localSheetId="56">'326'!$D$81</definedName>
    <definedName name="OSRRefD22_3x_0" localSheetId="52">'330'!$D$103</definedName>
    <definedName name="OSRRefD22_3x_0" localSheetId="59">'331'!$D$111</definedName>
    <definedName name="OSRRefD22_3x_0" localSheetId="61">'332'!$D$62</definedName>
    <definedName name="OSRRefD22_3x_0" localSheetId="76">'405'!$D$40</definedName>
    <definedName name="OSRRefD22_3x_0" localSheetId="77">'406'!$D$42</definedName>
    <definedName name="OSRRefD22_3x_0" localSheetId="78">'411'!$D$39</definedName>
    <definedName name="OSRRefD22_3x_0" localSheetId="79">'412'!$D$42</definedName>
    <definedName name="OSRRefD22_3x_0" localSheetId="80">'413'!$D$41</definedName>
    <definedName name="OSRRefD22_3x_0" localSheetId="81">'414'!$D$42</definedName>
    <definedName name="OSRRefD22_3x_0" localSheetId="82">'415'!$D$42</definedName>
    <definedName name="OSRRefD22_3x_0" localSheetId="83">'418'!$D$42</definedName>
    <definedName name="OSRRefD22_3x_0" localSheetId="84">'420'!$D$40</definedName>
    <definedName name="OSRRefD22_3x_0" localSheetId="85">'423'!$D$35</definedName>
    <definedName name="OSRRefD22_3x_0" localSheetId="86">'424'!$D$35</definedName>
    <definedName name="OSRRefD22_3x_0" localSheetId="87">'425'!$D$46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4">'450'!$D$44</definedName>
    <definedName name="OSRRefD22_3x_0" localSheetId="75">'491'!$D$52</definedName>
    <definedName name="OSRRefD22_3x_0" localSheetId="89">'492'!$D$48</definedName>
    <definedName name="OSRRefD22_3x_0" localSheetId="96">'501'!$D$39</definedName>
    <definedName name="OSRRefD22_3x_0" localSheetId="39">'Div 2'!$D$42</definedName>
    <definedName name="OSRRefD22_3x_0" localSheetId="47">'Div 3'!$D$196:$D$197</definedName>
    <definedName name="OSRRefD22_3x_0" localSheetId="73">'Div 4'!$D$53</definedName>
    <definedName name="OSRRefD22_3x_0" localSheetId="95">'Div 5'!$D$39</definedName>
    <definedName name="OSRRefD22_3x_0" localSheetId="64">'Div 6'!$D$79</definedName>
    <definedName name="OSRRefD22_3x_0" localSheetId="2">Summary!$D$230:$D$231</definedName>
    <definedName name="OSRRefD22_4x_0" localSheetId="40">'200'!$D$28:$D$29</definedName>
    <definedName name="OSRRefD22_4x_0" localSheetId="41">'201'!$D$37</definedName>
    <definedName name="OSRRefD22_4x_0" localSheetId="42">'202'!$D$39</definedName>
    <definedName name="OSRRefD22_4x_0" localSheetId="43">'203'!$D$41</definedName>
    <definedName name="OSRRefD22_4x_0" localSheetId="44">'204'!$D$41</definedName>
    <definedName name="OSRRefD22_4x_0" localSheetId="45">'205'!$D$35:$D$37</definedName>
    <definedName name="OSRRefD22_4x_0" localSheetId="46">'206'!$D$38</definedName>
    <definedName name="OSRRefD22_4x_0" localSheetId="48">'300'!$D$194</definedName>
    <definedName name="OSRRefD22_4x_0" localSheetId="49">'300 &amp; 317'!$D$220</definedName>
    <definedName name="OSRRefD22_4x_0" localSheetId="50">'301'!$D$45</definedName>
    <definedName name="OSRRefD22_4x_0" localSheetId="51">'306'!$D$41</definedName>
    <definedName name="OSRRefD22_4x_0" localSheetId="53">'307'!$D$96:$D$97</definedName>
    <definedName name="OSRRefD22_4x_0" localSheetId="54">'308'!$D$91</definedName>
    <definedName name="OSRRefD22_4x_0" localSheetId="67">'309'!$D$43</definedName>
    <definedName name="OSRRefD22_4x_0" localSheetId="66">'310'!$D$52</definedName>
    <definedName name="OSRRefD22_4x_0" localSheetId="74">'310 &amp; 491'!$D$61</definedName>
    <definedName name="OSRRefD22_4x_0" localSheetId="55">'311'!$D$90</definedName>
    <definedName name="OSRRefD22_4x_0" localSheetId="68">'313'!$D$49</definedName>
    <definedName name="OSRRefD22_4x_0" localSheetId="58">'314'!$D$75</definedName>
    <definedName name="OSRRefD22_4x_0" localSheetId="60">'315'!$D$105</definedName>
    <definedName name="OSRRefD22_4x_0" localSheetId="62">'316'!$D$55</definedName>
    <definedName name="OSRRefD22_4x_0" localSheetId="65">'317'!$D$81</definedName>
    <definedName name="OSRRefD22_4x_0" localSheetId="63">'320'!$D$47:$D$48</definedName>
    <definedName name="OSRRefD22_4x_0" localSheetId="69">'321'!$D$43</definedName>
    <definedName name="OSRRefD22_4x_0" localSheetId="70">'322'!$D$43</definedName>
    <definedName name="OSRRefD22_4x_0" localSheetId="71">'325'!$D$43</definedName>
    <definedName name="OSRRefD22_4x_0" localSheetId="56">'326'!$D$83</definedName>
    <definedName name="OSRRefD22_4x_0" localSheetId="52">'330'!$D$105:$D$106</definedName>
    <definedName name="OSRRefD22_4x_0" localSheetId="59">'331'!$D$113</definedName>
    <definedName name="OSRRefD22_4x_0" localSheetId="61">'332'!$D$64</definedName>
    <definedName name="OSRRefD22_4x_0" localSheetId="76">'405'!$D$42</definedName>
    <definedName name="OSRRefD22_4x_0" localSheetId="77">'406'!$D$44</definedName>
    <definedName name="OSRRefD22_4x_0" localSheetId="78">'411'!$D$41:$D$43</definedName>
    <definedName name="OSRRefD22_4x_0" localSheetId="79">'412'!$D$44</definedName>
    <definedName name="OSRRefD22_4x_0" localSheetId="80">'413'!$D$43</definedName>
    <definedName name="OSRRefD22_4x_0" localSheetId="81">'414'!$D$44</definedName>
    <definedName name="OSRRefD22_4x_0" localSheetId="82">'415'!$D$44</definedName>
    <definedName name="OSRRefD22_4x_0" localSheetId="83">'418'!$D$44</definedName>
    <definedName name="OSRRefD22_4x_0" localSheetId="84">'420'!$D$42</definedName>
    <definedName name="OSRRefD22_4x_0" localSheetId="85">'423'!$D$37</definedName>
    <definedName name="OSRRefD22_4x_0" localSheetId="86">'424'!$D$37</definedName>
    <definedName name="OSRRefD22_4x_0" localSheetId="87">'425'!$D$48</definedName>
    <definedName name="OSRRefD22_4x_0" localSheetId="90">'430'!$D$35:$D$36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4">'450'!$D$46</definedName>
    <definedName name="OSRRefD22_4x_0" localSheetId="75">'491'!$D$54</definedName>
    <definedName name="OSRRefD22_4x_0" localSheetId="89">'492'!$D$50</definedName>
    <definedName name="OSRRefD22_4x_0" localSheetId="96">'501'!$D$41</definedName>
    <definedName name="OSRRefD22_4x_0" localSheetId="39">'Div 2'!$D$44</definedName>
    <definedName name="OSRRefD22_4x_0" localSheetId="47">'Div 3'!$D$199</definedName>
    <definedName name="OSRRefD22_4x_0" localSheetId="73">'Div 4'!$D$55</definedName>
    <definedName name="OSRRefD22_4x_0" localSheetId="95">'Div 5'!$D$41</definedName>
    <definedName name="OSRRefD22_4x_0" localSheetId="64">'Div 6'!$D$81</definedName>
    <definedName name="OSRRefD22_4x_0" localSheetId="2">Summary!$D$233</definedName>
    <definedName name="OSRRefD22_5x_0" localSheetId="41">'201'!$D$39</definedName>
    <definedName name="OSRRefD22_5x_0" localSheetId="42">'202'!$D$41</definedName>
    <definedName name="OSRRefD22_5x_0" localSheetId="43">'203'!$D$43</definedName>
    <definedName name="OSRRefD22_5x_0" localSheetId="44">'204'!$D$43</definedName>
    <definedName name="OSRRefD22_5x_0" localSheetId="45">'205'!$D$39</definedName>
    <definedName name="OSRRefD22_5x_0" localSheetId="46">'206'!$D$40</definedName>
    <definedName name="OSRRefD22_5x_0" localSheetId="48">'300'!$D$196:$D$198</definedName>
    <definedName name="OSRRefD22_5x_0" localSheetId="49">'300 &amp; 317'!$D$222:$D$224</definedName>
    <definedName name="OSRRefD22_5x_0" localSheetId="50">'301'!$D$47:$D$49</definedName>
    <definedName name="OSRRefD22_5x_0" localSheetId="51">'306'!$D$43</definedName>
    <definedName name="OSRRefD22_5x_0" localSheetId="53">'307'!$D$99</definedName>
    <definedName name="OSRRefD22_5x_0" localSheetId="54">'308'!$D$93</definedName>
    <definedName name="OSRRefD22_5x_0" localSheetId="67">'309'!$D$45</definedName>
    <definedName name="OSRRefD22_5x_0" localSheetId="66">'310'!$D$54:$D$55</definedName>
    <definedName name="OSRRefD22_5x_0" localSheetId="74">'310 &amp; 491'!$D$63:$D$65</definedName>
    <definedName name="OSRRefD22_5x_0" localSheetId="55">'311'!$D$92</definedName>
    <definedName name="OSRRefD22_5x_0" localSheetId="68">'313'!$D$51</definedName>
    <definedName name="OSRRefD22_5x_0" localSheetId="58">'314'!$D$77</definedName>
    <definedName name="OSRRefD22_5x_0" localSheetId="60">'315'!$D$107:$D$108</definedName>
    <definedName name="OSRRefD22_5x_0" localSheetId="62">'316'!$D$57</definedName>
    <definedName name="OSRRefD22_5x_0" localSheetId="65">'317'!$D$83:$D$84</definedName>
    <definedName name="OSRRefD22_5x_0" localSheetId="63">'320'!$D$50</definedName>
    <definedName name="OSRRefD22_5x_0" localSheetId="69">'321'!$D$45</definedName>
    <definedName name="OSRRefD22_5x_0" localSheetId="70">'322'!$D$45</definedName>
    <definedName name="OSRRefD22_5x_0" localSheetId="71">'325'!$D$45:$D$46</definedName>
    <definedName name="OSRRefD22_5x_0" localSheetId="56">'326'!$D$85:$D$86</definedName>
    <definedName name="OSRRefD22_5x_0" localSheetId="52">'330'!$D$108</definedName>
    <definedName name="OSRRefD22_5x_0" localSheetId="59">'331'!$D$115:$D$116</definedName>
    <definedName name="OSRRefD22_5x_0" localSheetId="61">'332'!$D$66</definedName>
    <definedName name="OSRRefD22_5x_0" localSheetId="76">'405'!$D$44:$D$45</definedName>
    <definedName name="OSRRefD22_5x_0" localSheetId="77">'406'!$D$46</definedName>
    <definedName name="OSRRefD22_5x_0" localSheetId="78">'411'!$D$45</definedName>
    <definedName name="OSRRefD22_5x_0" localSheetId="79">'412'!$D$46</definedName>
    <definedName name="OSRRefD22_5x_0" localSheetId="80">'413'!$D$45</definedName>
    <definedName name="OSRRefD22_5x_0" localSheetId="81">'414'!$D$46</definedName>
    <definedName name="OSRRefD22_5x_0" localSheetId="82">'415'!$D$46:$D$47</definedName>
    <definedName name="OSRRefD22_5x_0" localSheetId="83">'418'!$D$46:$D$47</definedName>
    <definedName name="OSRRefD22_5x_0" localSheetId="84">'420'!$D$44</definedName>
    <definedName name="OSRRefD22_5x_0" localSheetId="85">'423'!$D$39</definedName>
    <definedName name="OSRRefD22_5x_0" localSheetId="86">'424'!$D$39</definedName>
    <definedName name="OSRRefD22_5x_0" localSheetId="87">'425'!$D$50</definedName>
    <definedName name="OSRRefD22_5x_0" localSheetId="90">'430'!$D$38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4">'450'!$D$48</definedName>
    <definedName name="OSRRefD22_5x_0" localSheetId="75">'491'!$D$56:$D$58</definedName>
    <definedName name="OSRRefD22_5x_0" localSheetId="89">'492'!$D$52</definedName>
    <definedName name="OSRRefD22_5x_0" localSheetId="96">'501'!$D$43:$D$44</definedName>
    <definedName name="OSRRefD22_5x_0" localSheetId="39">'Div 2'!$D$46</definedName>
    <definedName name="OSRRefD22_5x_0" localSheetId="47">'Div 3'!$D$201:$D$203</definedName>
    <definedName name="OSRRefD22_5x_0" localSheetId="73">'Div 4'!$D$57:$D$59</definedName>
    <definedName name="OSRRefD22_5x_0" localSheetId="95">'Div 5'!$D$43:$D$44</definedName>
    <definedName name="OSRRefD22_5x_0" localSheetId="64">'Div 6'!$D$83:$D$84</definedName>
    <definedName name="OSRRefD22_5x_0" localSheetId="2">Summary!$D$235:$D$238</definedName>
    <definedName name="OSRRefD22_6x_0" localSheetId="41">'201'!$D$41</definedName>
    <definedName name="OSRRefD22_6x_0" localSheetId="42">'202'!$D$43:$D$44</definedName>
    <definedName name="OSRRefD22_6x_0" localSheetId="43">'203'!$D$45</definedName>
    <definedName name="OSRRefD22_6x_0" localSheetId="44">'204'!$D$45:$D$47</definedName>
    <definedName name="OSRRefD22_6x_0" localSheetId="45">'205'!$D$41:$D$43</definedName>
    <definedName name="OSRRefD22_6x_0" localSheetId="46">'206'!$D$42:$D$43</definedName>
    <definedName name="OSRRefD22_6x_0" localSheetId="48">'300'!$D$200:$D$201</definedName>
    <definedName name="OSRRefD22_6x_0" localSheetId="49">'300 &amp; 317'!$D$226:$D$227</definedName>
    <definedName name="OSRRefD22_6x_0" localSheetId="50">'301'!$D$51:$D$52</definedName>
    <definedName name="OSRRefD22_6x_0" localSheetId="51">'306'!$D$45:$D$46</definedName>
    <definedName name="OSRRefD22_6x_0" localSheetId="53">'307'!$D$101</definedName>
    <definedName name="OSRRefD22_6x_0" localSheetId="54">'308'!$D$95:$D$96</definedName>
    <definedName name="OSRRefD22_6x_0" localSheetId="67">'309'!$D$47</definedName>
    <definedName name="OSRRefD22_6x_0" localSheetId="66">'310'!$D$57</definedName>
    <definedName name="OSRRefD22_6x_0" localSheetId="74">'310 &amp; 491'!$D$67</definedName>
    <definedName name="OSRRefD22_6x_0" localSheetId="55">'311'!$D$94:$D$95</definedName>
    <definedName name="OSRRefD22_6x_0" localSheetId="68">'313'!$D$53</definedName>
    <definedName name="OSRRefD22_6x_0" localSheetId="58">'314'!$D$79:$D$80</definedName>
    <definedName name="OSRRefD22_6x_0" localSheetId="60">'315'!$D$110:$D$111</definedName>
    <definedName name="OSRRefD22_6x_0" localSheetId="62">'316'!$D$59:$D$60</definedName>
    <definedName name="OSRRefD22_6x_0" localSheetId="65">'317'!$D$86</definedName>
    <definedName name="OSRRefD22_6x_0" localSheetId="63">'320'!$D$52</definedName>
    <definedName name="OSRRefD22_6x_0" localSheetId="69">'321'!$D$47</definedName>
    <definedName name="OSRRefD22_6x_0" localSheetId="70">'322'!$D$47</definedName>
    <definedName name="OSRRefD22_6x_0" localSheetId="71">'325'!$D$48</definedName>
    <definedName name="OSRRefD22_6x_0" localSheetId="56">'326'!$D$88</definedName>
    <definedName name="OSRRefD22_6x_0" localSheetId="52">'330'!$D$110</definedName>
    <definedName name="OSRRefD22_6x_0" localSheetId="59">'331'!$D$118</definedName>
    <definedName name="OSRRefD22_6x_0" localSheetId="61">'332'!$D$68:$D$69</definedName>
    <definedName name="OSRRefD22_6x_0" localSheetId="76">'405'!$D$47</definedName>
    <definedName name="OSRRefD22_6x_0" localSheetId="77">'406'!$D$48</definedName>
    <definedName name="OSRRefD22_6x_0" localSheetId="78">'411'!$D$47</definedName>
    <definedName name="OSRRefD22_6x_0" localSheetId="79">'412'!$D$48</definedName>
    <definedName name="OSRRefD22_6x_0" localSheetId="80">'413'!$D$47</definedName>
    <definedName name="OSRRefD22_6x_0" localSheetId="81">'414'!$D$48</definedName>
    <definedName name="OSRRefD22_6x_0" localSheetId="82">'415'!$D$49</definedName>
    <definedName name="OSRRefD22_6x_0" localSheetId="83">'418'!$D$49</definedName>
    <definedName name="OSRRefD22_6x_0" localSheetId="84">'420'!$D$46:$D$47</definedName>
    <definedName name="OSRRefD22_6x_0" localSheetId="85">'423'!$D$41</definedName>
    <definedName name="OSRRefD22_6x_0" localSheetId="86">'424'!$D$41</definedName>
    <definedName name="OSRRefD22_6x_0" localSheetId="87">'425'!$D$52</definedName>
    <definedName name="OSRRefD22_6x_0" localSheetId="90">'430'!$D$40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4">'450'!$D$50</definedName>
    <definedName name="OSRRefD22_6x_0" localSheetId="75">'491'!$D$60</definedName>
    <definedName name="OSRRefD22_6x_0" localSheetId="89">'492'!$D$54</definedName>
    <definedName name="OSRRefD22_6x_0" localSheetId="96">'501'!$D$46</definedName>
    <definedName name="OSRRefD22_6x_0" localSheetId="39">'Div 2'!$D$48</definedName>
    <definedName name="OSRRefD22_6x_0" localSheetId="47">'Div 3'!$D$205:$D$206</definedName>
    <definedName name="OSRRefD22_6x_0" localSheetId="73">'Div 4'!$D$61</definedName>
    <definedName name="OSRRefD22_6x_0" localSheetId="95">'Div 5'!$D$46</definedName>
    <definedName name="OSRRefD22_6x_0" localSheetId="64">'Div 6'!$D$86</definedName>
    <definedName name="OSRRefD22_6x_0" localSheetId="2">Summary!$D$240:$D$241</definedName>
    <definedName name="OSRRefD22_7x_0" localSheetId="41">'201'!$D$43</definedName>
    <definedName name="OSRRefD22_7x_0" localSheetId="42">'202'!$D$46</definedName>
    <definedName name="OSRRefD22_7x_0" localSheetId="43">'203'!$D$47</definedName>
    <definedName name="OSRRefD22_7x_0" localSheetId="44">'204'!$D$49</definedName>
    <definedName name="OSRRefD22_7x_0" localSheetId="45">'205'!$D$45</definedName>
    <definedName name="OSRRefD22_7x_0" localSheetId="46">'206'!$D$45</definedName>
    <definedName name="OSRRefD22_7x_0" localSheetId="48">'300'!$D$203</definedName>
    <definedName name="OSRRefD22_7x_0" localSheetId="49">'300 &amp; 317'!$D$229</definedName>
    <definedName name="OSRRefD22_7x_0" localSheetId="50">'301'!$D$54</definedName>
    <definedName name="OSRRefD22_7x_0" localSheetId="51">'306'!$D$48:$D$50</definedName>
    <definedName name="OSRRefD22_7x_0" localSheetId="53">'307'!$D$103:$D$104</definedName>
    <definedName name="OSRRefD22_7x_0" localSheetId="54">'308'!$D$98</definedName>
    <definedName name="OSRRefD22_7x_0" localSheetId="67">'309'!$D$49</definedName>
    <definedName name="OSRRefD22_7x_0" localSheetId="66">'310'!$D$59</definedName>
    <definedName name="OSRRefD22_7x_0" localSheetId="74">'310 &amp; 491'!$D$69</definedName>
    <definedName name="OSRRefD22_7x_0" localSheetId="55">'311'!$D$97</definedName>
    <definedName name="OSRRefD22_7x_0" localSheetId="68">'313'!$D$55</definedName>
    <definedName name="OSRRefD22_7x_0" localSheetId="58">'314'!$D$82</definedName>
    <definedName name="OSRRefD22_7x_0" localSheetId="60">'315'!$D$113</definedName>
    <definedName name="OSRRefD22_7x_0" localSheetId="62">'316'!$D$62</definedName>
    <definedName name="OSRRefD22_7x_0" localSheetId="65">'317'!$D$88</definedName>
    <definedName name="OSRRefD22_7x_0" localSheetId="63">'320'!$D$54:$D$55</definedName>
    <definedName name="OSRRefD22_7x_0" localSheetId="69">'321'!$D$49:$D$51</definedName>
    <definedName name="OSRRefD22_7x_0" localSheetId="70">'322'!$D$49</definedName>
    <definedName name="OSRRefD22_7x_0" localSheetId="71">'325'!$D$50</definedName>
    <definedName name="OSRRefD22_7x_0" localSheetId="56">'326'!$D$90</definedName>
    <definedName name="OSRRefD22_7x_0" localSheetId="52">'330'!$D$112</definedName>
    <definedName name="OSRRefD22_7x_0" localSheetId="59">'331'!$D$120:$D$121</definedName>
    <definedName name="OSRRefD22_7x_0" localSheetId="61">'332'!$D$71</definedName>
    <definedName name="OSRRefD22_7x_0" localSheetId="76">'405'!$D$49</definedName>
    <definedName name="OSRRefD22_7x_0" localSheetId="77">'406'!$D$50</definedName>
    <definedName name="OSRRefD22_7x_0" localSheetId="78">'411'!$D$49</definedName>
    <definedName name="OSRRefD22_7x_0" localSheetId="79">'412'!$D$50</definedName>
    <definedName name="OSRRefD22_7x_0" localSheetId="80">'413'!$D$49:$D$51</definedName>
    <definedName name="OSRRefD22_7x_0" localSheetId="81">'414'!$D$50</definedName>
    <definedName name="OSRRefD22_7x_0" localSheetId="82">'415'!$D$51</definedName>
    <definedName name="OSRRefD22_7x_0" localSheetId="83">'418'!$D$51</definedName>
    <definedName name="OSRRefD22_7x_0" localSheetId="84">'420'!$D$49</definedName>
    <definedName name="OSRRefD22_7x_0" localSheetId="86">'424'!$D$43</definedName>
    <definedName name="OSRRefD22_7x_0" localSheetId="87">'425'!$D$54</definedName>
    <definedName name="OSRRefD22_7x_0" localSheetId="90">'430'!$D$42</definedName>
    <definedName name="OSRRefD22_7x_0" localSheetId="91">'433'!$D$53</definedName>
    <definedName name="OSRRefD22_7x_0" localSheetId="92">'435'!$D$43:$D$45</definedName>
    <definedName name="OSRRefD22_7x_0" localSheetId="93">'444'!$D$52</definedName>
    <definedName name="OSRRefD22_7x_0" localSheetId="94">'450'!$D$52</definedName>
    <definedName name="OSRRefD22_7x_0" localSheetId="75">'491'!$D$62</definedName>
    <definedName name="OSRRefD22_7x_0" localSheetId="89">'492'!$D$56</definedName>
    <definedName name="OSRRefD22_7x_0" localSheetId="96">'501'!$D$48</definedName>
    <definedName name="OSRRefD22_7x_0" localSheetId="39">'Div 2'!$D$50</definedName>
    <definedName name="OSRRefD22_7x_0" localSheetId="47">'Div 3'!$D$208</definedName>
    <definedName name="OSRRefD22_7x_0" localSheetId="73">'Div 4'!$D$63</definedName>
    <definedName name="OSRRefD22_7x_0" localSheetId="95">'Div 5'!$D$48</definedName>
    <definedName name="OSRRefD22_7x_0" localSheetId="64">'Div 6'!$D$88</definedName>
    <definedName name="OSRRefD22_7x_0" localSheetId="2">Summary!$D$243</definedName>
    <definedName name="OSRRefD22_8x_0" localSheetId="41">'201'!$D$45</definedName>
    <definedName name="OSRRefD22_8x_0" localSheetId="42">'202'!$D$48</definedName>
    <definedName name="OSRRefD22_8x_0" localSheetId="43">'203'!$D$49</definedName>
    <definedName name="OSRRefD22_8x_0" localSheetId="44">'204'!$D$51:$D$52</definedName>
    <definedName name="OSRRefD22_8x_0" localSheetId="45">'205'!$D$47</definedName>
    <definedName name="OSRRefD22_8x_0" localSheetId="46">'206'!$D$47</definedName>
    <definedName name="OSRRefD22_8x_0" localSheetId="48">'300'!$D$205</definedName>
    <definedName name="OSRRefD22_8x_0" localSheetId="49">'300 &amp; 317'!$D$231</definedName>
    <definedName name="OSRRefD22_8x_0" localSheetId="50">'301'!$D$56</definedName>
    <definedName name="OSRRefD22_8x_0" localSheetId="51">'306'!$D$52</definedName>
    <definedName name="OSRRefD22_8x_0" localSheetId="53">'307'!$D$106:$D$107</definedName>
    <definedName name="OSRRefD22_8x_0" localSheetId="54">'308'!$D$100:$D$101</definedName>
    <definedName name="OSRRefD22_8x_0" localSheetId="67">'309'!$D$51</definedName>
    <definedName name="OSRRefD22_8x_0" localSheetId="66">'310'!$D$61</definedName>
    <definedName name="OSRRefD22_8x_0" localSheetId="74">'310 &amp; 491'!$D$71</definedName>
    <definedName name="OSRRefD22_8x_0" localSheetId="55">'311'!$D$99:$D$100</definedName>
    <definedName name="OSRRefD22_8x_0" localSheetId="68">'313'!$D$57:$D$59</definedName>
    <definedName name="OSRRefD22_8x_0" localSheetId="58">'314'!$D$84</definedName>
    <definedName name="OSRRefD22_8x_0" localSheetId="60">'315'!$D$115</definedName>
    <definedName name="OSRRefD22_8x_0" localSheetId="62">'316'!$D$64:$D$66</definedName>
    <definedName name="OSRRefD22_8x_0" localSheetId="65">'317'!$D$90:$D$91</definedName>
    <definedName name="OSRRefD22_8x_0" localSheetId="63">'320'!$D$57</definedName>
    <definedName name="OSRRefD22_8x_0" localSheetId="69">'321'!$D$53</definedName>
    <definedName name="OSRRefD22_8x_0" localSheetId="70">'322'!$D$51:$D$52</definedName>
    <definedName name="OSRRefD22_8x_0" localSheetId="71">'325'!$D$52</definedName>
    <definedName name="OSRRefD22_8x_0" localSheetId="56">'326'!$D$92</definedName>
    <definedName name="OSRRefD22_8x_0" localSheetId="52">'330'!$D$114:$D$115</definedName>
    <definedName name="OSRRefD22_8x_0" localSheetId="59">'331'!$D$123</definedName>
    <definedName name="OSRRefD22_8x_0" localSheetId="61">'332'!$D$73</definedName>
    <definedName name="OSRRefD22_8x_0" localSheetId="76">'405'!$D$51</definedName>
    <definedName name="OSRRefD22_8x_0" localSheetId="77">'406'!$D$52</definedName>
    <definedName name="OSRRefD22_8x_0" localSheetId="78">'411'!$D$51</definedName>
    <definedName name="OSRRefD22_8x_0" localSheetId="79">'412'!$D$52</definedName>
    <definedName name="OSRRefD22_8x_0" localSheetId="80">'413'!$D$53:$D$55</definedName>
    <definedName name="OSRRefD22_8x_0" localSheetId="81">'414'!$D$52</definedName>
    <definedName name="OSRRefD22_8x_0" localSheetId="82">'415'!$D$53</definedName>
    <definedName name="OSRRefD22_8x_0" localSheetId="83">'418'!$D$53</definedName>
    <definedName name="OSRRefD22_8x_0" localSheetId="86">'424'!$D$45:$D$46</definedName>
    <definedName name="OSRRefD22_8x_0" localSheetId="87">'425'!$D$56</definedName>
    <definedName name="OSRRefD22_8x_0" localSheetId="91">'433'!$D$55</definedName>
    <definedName name="OSRRefD22_8x_0" localSheetId="92">'435'!$D$47</definedName>
    <definedName name="OSRRefD22_8x_0" localSheetId="93">'444'!$D$54</definedName>
    <definedName name="OSRRefD22_8x_0" localSheetId="94">'450'!$D$54</definedName>
    <definedName name="OSRRefD22_8x_0" localSheetId="75">'491'!$D$64</definedName>
    <definedName name="OSRRefD22_8x_0" localSheetId="89">'492'!$D$58</definedName>
    <definedName name="OSRRefD22_8x_0" localSheetId="96">'501'!$D$50</definedName>
    <definedName name="OSRRefD22_8x_0" localSheetId="39">'Div 2'!$D$52</definedName>
    <definedName name="OSRRefD22_8x_0" localSheetId="47">'Div 3'!$D$210</definedName>
    <definedName name="OSRRefD22_8x_0" localSheetId="73">'Div 4'!$D$65</definedName>
    <definedName name="OSRRefD22_8x_0" localSheetId="95">'Div 5'!$D$50</definedName>
    <definedName name="OSRRefD22_8x_0" localSheetId="64">'Div 6'!$D$90:$D$91</definedName>
    <definedName name="OSRRefD22_8x_0" localSheetId="2">Summary!$D$245</definedName>
    <definedName name="OSRRefD22_9x_0" localSheetId="41">'201'!$D$47:$D$49</definedName>
    <definedName name="OSRRefD22_9x_0" localSheetId="42">'202'!$D$50:$D$52</definedName>
    <definedName name="OSRRefD22_9x_0" localSheetId="43">'203'!$D$51:$D$53</definedName>
    <definedName name="OSRRefD22_9x_0" localSheetId="44">'204'!$D$54</definedName>
    <definedName name="OSRRefD22_9x_0" localSheetId="48">'300'!$D$207</definedName>
    <definedName name="OSRRefD22_9x_0" localSheetId="49">'300 &amp; 317'!$D$233</definedName>
    <definedName name="OSRRefD22_9x_0" localSheetId="50">'301'!$D$58</definedName>
    <definedName name="OSRRefD22_9x_0" localSheetId="51">'306'!$D$54</definedName>
    <definedName name="OSRRefD22_9x_0" localSheetId="53">'307'!$D$109:$D$112</definedName>
    <definedName name="OSRRefD22_9x_0" localSheetId="54">'308'!$D$103:$D$104</definedName>
    <definedName name="OSRRefD22_9x_0" localSheetId="67">'309'!$D$53:$D$54</definedName>
    <definedName name="OSRRefD22_9x_0" localSheetId="66">'310'!$D$63</definedName>
    <definedName name="OSRRefD22_9x_0" localSheetId="74">'310 &amp; 491'!$D$73</definedName>
    <definedName name="OSRRefD22_9x_0" localSheetId="55">'311'!$D$102:$D$103</definedName>
    <definedName name="OSRRefD22_9x_0" localSheetId="68">'313'!$D$61</definedName>
    <definedName name="OSRRefD22_9x_0" localSheetId="60">'315'!$D$117:$D$118</definedName>
    <definedName name="OSRRefD22_9x_0" localSheetId="62">'316'!$D$68</definedName>
    <definedName name="OSRRefD22_9x_0" localSheetId="65">'317'!$D$93:$D$94</definedName>
    <definedName name="OSRRefD22_9x_0" localSheetId="69">'321'!$D$55:$D$57</definedName>
    <definedName name="OSRRefD22_9x_0" localSheetId="70">'322'!$D$54:$D$56</definedName>
    <definedName name="OSRRefD22_9x_0" localSheetId="71">'325'!$D$54</definedName>
    <definedName name="OSRRefD22_9x_0" localSheetId="56">'326'!$D$94</definedName>
    <definedName name="OSRRefD22_9x_0" localSheetId="52">'330'!$D$117:$D$118</definedName>
    <definedName name="OSRRefD22_9x_0" localSheetId="59">'331'!$D$125</definedName>
    <definedName name="OSRRefD22_9x_0" localSheetId="61">'332'!$D$75:$D$77</definedName>
    <definedName name="OSRRefD22_9x_0" localSheetId="76">'405'!$D$53</definedName>
    <definedName name="OSRRefD22_9x_0" localSheetId="77">'406'!$D$54:$D$56</definedName>
    <definedName name="OSRRefD22_9x_0" localSheetId="78">'411'!$D$53</definedName>
    <definedName name="OSRRefD22_9x_0" localSheetId="79">'412'!$D$54:$D$56</definedName>
    <definedName name="OSRRefD22_9x_0" localSheetId="80">'413'!$D$57:$D$62</definedName>
    <definedName name="OSRRefD22_9x_0" localSheetId="81">'414'!$D$54:$D$55</definedName>
    <definedName name="OSRRefD22_9x_0" localSheetId="82">'415'!$D$55</definedName>
    <definedName name="OSRRefD22_9x_0" localSheetId="83">'418'!$D$55</definedName>
    <definedName name="OSRRefD22_9x_0" localSheetId="86">'424'!$D$48</definedName>
    <definedName name="OSRRefD22_9x_0" localSheetId="87">'425'!$D$58:$D$60</definedName>
    <definedName name="OSRRefD22_9x_0" localSheetId="91">'433'!$D$57</definedName>
    <definedName name="OSRRefD22_9x_0" localSheetId="93">'444'!$D$56</definedName>
    <definedName name="OSRRefD22_9x_0" localSheetId="94">'450'!$D$56</definedName>
    <definedName name="OSRRefD22_9x_0" localSheetId="75">'491'!$D$66</definedName>
    <definedName name="OSRRefD22_9x_0" localSheetId="89">'492'!$D$60</definedName>
    <definedName name="OSRRefD22_9x_0" localSheetId="96">'501'!$D$52:$D$54</definedName>
    <definedName name="OSRRefD22_9x_0" localSheetId="39">'Div 2'!$D$54:$D$55</definedName>
    <definedName name="OSRRefD22_9x_0" localSheetId="47">'Div 3'!$D$212</definedName>
    <definedName name="OSRRefD22_9x_0" localSheetId="73">'Div 4'!$D$67</definedName>
    <definedName name="OSRRefD22_9x_0" localSheetId="95">'Div 5'!$D$52:$D$54</definedName>
    <definedName name="OSRRefD22_9x_0" localSheetId="64">'Div 6'!$D$93:$D$94</definedName>
    <definedName name="OSRRefD22_9x_0" localSheetId="2">Summary!$D$247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'202'!$D$20:$D$27,'202'!$D$29:$D$33,'202'!$D$35,'202'!$D$37,'202'!$D$39,'202'!$D$41,'202'!$D$43:$D$44,'202'!$D$46,'202'!$D$48,'202'!$D$50:$D$52,'202'!$D$54,'202'!$D$56,'202'!$D$58:$D$60,'202'!$D$62,'202'!$D$64,'202'!$D$66</definedName>
    <definedName name="OSRRefD22x_0" localSheetId="43">'203'!$D$20:$D$29,'203'!$D$31:$D$35,'203'!$D$37,'203'!$D$39,'203'!$D$41,'203'!$D$43,'203'!$D$45,'203'!$D$47,'203'!$D$49,'203'!$D$51:$D$53,'203'!$D$55:$D$56,'203'!$D$58,'203'!$D$60:$D$63,'203'!$D$65,'203'!$D$67,'203'!$D$69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'205'!$D$20:$D$27,'205'!$D$29,'205'!$D$31,'205'!$D$33,'205'!$D$35:$D$37,'205'!$D$39,'205'!$D$41:$D$43,'205'!$D$45,'205'!$D$47</definedName>
    <definedName name="OSRRefD22x_0" localSheetId="46">'206'!$D$20:$D$27,'206'!$D$29:$D$32,'206'!$D$34,'206'!$D$36,'206'!$D$38,'206'!$D$40,'206'!$D$42:$D$43,'206'!$D$45,'206'!$D$47</definedName>
    <definedName name="OSRRefD22x_0" localSheetId="48">'300'!$D$170:$D$179,'300'!$D$181:$D$187,'300'!$D$189,'300'!$D$191:$D$192,'300'!$D$194,'300'!$D$196:$D$198,'300'!$D$200:$D$201,'300'!$D$203,'300'!$D$205,'300'!$D$207,'300'!$D$209:$D$210,'300'!$D$212,'300'!$D$214,'300'!$D$216:$D$218,'300'!$D$220,'300'!$D$222,'300'!$D$224:$D$227,'300'!$D$229:$D$231,'300'!$D$233:$D$236,'300'!$D$238:$D$239,'300'!$D$241:$D$248,'300'!$D$250:$D$251,'300'!$D$253,'300'!$D$255:$D$257,'300'!$D$259</definedName>
    <definedName name="OSRRefD22x_0" localSheetId="49">'300 &amp; 317'!$D$196:$D$205,'300 &amp; 317'!$D$207:$D$213,'300 &amp; 317'!$D$215,'300 &amp; 317'!$D$217:$D$218,'300 &amp; 317'!$D$220,'300 &amp; 317'!$D$222:$D$224,'300 &amp; 317'!$D$226:$D$227,'300 &amp; 317'!$D$229,'300 &amp; 317'!$D$231,'300 &amp; 317'!$D$233,'300 &amp; 317'!$D$235:$D$236,'300 &amp; 317'!$D$238,'300 &amp; 317'!$D$240,'300 &amp; 317'!$D$242:$D$244,'300 &amp; 317'!$D$246,'300 &amp; 317'!$D$248,'300 &amp; 317'!$D$250:$D$253,'300 &amp; 317'!$D$255:$D$257,'300 &amp; 317'!$D$259:$D$262,'300 &amp; 317'!$D$264:$D$265,'300 &amp; 317'!$D$267:$D$274,'300 &amp; 317'!$D$276:$D$277,'300 &amp; 317'!$D$279,'300 &amp; 317'!$D$281:$D$283,'300 &amp; 317'!$D$285</definedName>
    <definedName name="OSRRefD22x_0" localSheetId="50">'301'!$D$21:$D$30,'301'!$D$32:$D$38,'301'!$D$40,'301'!$D$42:$D$43,'301'!$D$45,'301'!$D$47:$D$49,'301'!$D$51:$D$52,'301'!$D$54,'301'!$D$56,'301'!$D$58,'301'!$D$60,'301'!$D$62,'301'!$D$64,'301'!$D$66,'301'!$D$68,'301'!$D$70:$D$73,'301'!$D$75:$D$77,'301'!$D$79:$D$80,'301'!$D$82:$D$88,'301'!$D$90,'301'!$D$92,'301'!$D$94:$D$96,'301'!$D$98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'307'!$D$78:$D$85,'307'!$D$87:$D$90,'307'!$D$92,'307'!$D$94,'307'!$D$96:$D$97,'307'!$D$99,'307'!$D$101,'307'!$D$103:$D$104,'307'!$D$106:$D$107,'307'!$D$109:$D$112,'307'!$D$114,'307'!$D$116</definedName>
    <definedName name="OSRRefD22x_0" localSheetId="54">'308'!$D$68:$D$76,'308'!$D$78:$D$84,'308'!$D$86,'308'!$D$88:$D$89,'308'!$D$91,'308'!$D$93,'308'!$D$95:$D$96,'308'!$D$98,'308'!$D$100:$D$101,'308'!$D$103:$D$104,'308'!$D$106:$D$107,'308'!$D$109:$D$111,'308'!$D$113:$D$114,'308'!$D$116,'308'!$D$118</definedName>
    <definedName name="OSRRefD22x_0" localSheetId="67">'309'!$D$24:$D$31,'309'!$D$33:$D$37,'309'!$D$39,'309'!$D$41,'309'!$D$43,'309'!$D$45,'309'!$D$47,'309'!$D$49,'309'!$D$51,'309'!$D$53:$D$54,'309'!$D$56:$D$58,'309'!$D$60:$D$62,'309'!$D$64</definedName>
    <definedName name="OSRRefD22x_0" localSheetId="66">'310'!$D$32:$D$39,'310'!$D$41:$D$46,'310'!$D$48,'310'!$D$50,'310'!$D$52,'310'!$D$54:$D$55,'310'!$D$57,'310'!$D$59,'310'!$D$61,'310'!$D$63,'310'!$D$65,'310'!$D$67,'310'!$D$69,'310'!$D$71,'310'!$D$73:$D$75,'310'!$D$77,'310'!$D$79:$D$82,'310'!$D$84,'310'!$D$86:$D$94,'310'!$D$96,'310'!$D$98,'310'!$D$100,'310'!$D$102</definedName>
    <definedName name="OSRRefD22x_0" localSheetId="74">'310 &amp; 491'!$D$39:$D$47,'310 &amp; 491'!$D$49:$D$55,'310 &amp; 491'!$D$57,'310 &amp; 491'!$D$59,'310 &amp; 491'!$D$61,'310 &amp; 491'!$D$63:$D$65,'310 &amp; 491'!$D$67,'310 &amp; 491'!$D$69,'310 &amp; 491'!$D$71,'310 &amp; 491'!$D$73,'310 &amp; 491'!$D$75:$D$76,'310 &amp; 491'!$D$78:$D$79,'310 &amp; 491'!$D$81,'310 &amp; 491'!$D$83,'310 &amp; 491'!$D$85,'310 &amp; 491'!$D$87,'310 &amp; 491'!$D$89:$D$92,'310 &amp; 491'!$D$94:$D$95,'310 &amp; 491'!$D$97:$D$101,'310 &amp; 491'!$D$103:$D$104,'310 &amp; 491'!$D$106:$D$115,'310 &amp; 491'!$D$117,'310 &amp; 491'!$D$119,'310 &amp; 491'!$D$121:$D$123,'310 &amp; 491'!$D$125</definedName>
    <definedName name="OSRRefD22x_0" localSheetId="55">'311'!$D$67:$D$75,'311'!$D$77:$D$83,'311'!$D$85,'311'!$D$87:$D$88,'311'!$D$90,'311'!$D$92,'311'!$D$94:$D$95,'311'!$D$97,'311'!$D$99:$D$100,'311'!$D$102:$D$103,'311'!$D$105:$D$106,'311'!$D$108:$D$110,'311'!$D$112:$D$113,'311'!$D$115,'311'!$D$117</definedName>
    <definedName name="OSRRefD22x_0" localSheetId="68">'313'!$D$29:$D$36,'313'!$D$38:$D$43,'313'!$D$45,'313'!$D$47,'313'!$D$49,'313'!$D$51,'313'!$D$53,'313'!$D$55,'313'!$D$57:$D$59,'313'!$D$61,'313'!$D$63:$D$68,'313'!$D$70,'313'!$D$72</definedName>
    <definedName name="OSRRefD22x_0" localSheetId="58">'314'!$D$56:$D$64,'314'!$D$66:$D$68,'314'!$D$70,'314'!$D$72:$D$73,'314'!$D$75,'314'!$D$77,'314'!$D$79:$D$80,'314'!$D$82,'314'!$D$84</definedName>
    <definedName name="OSRRefD22x_0" localSheetId="60">'315'!$D$84:$D$91,'315'!$D$93:$D$98,'315'!$D$100,'315'!$D$102:$D$103,'315'!$D$105,'315'!$D$107:$D$108,'315'!$D$110:$D$111,'315'!$D$113,'315'!$D$115,'315'!$D$117:$D$118,'315'!$D$120:$D$121,'315'!$D$123:$D$127,'315'!$D$129,'315'!$D$131,'315'!$D$133:$D$134</definedName>
    <definedName name="OSRRefD22x_0" localSheetId="62">'316'!$D$37:$D$44,'316'!$D$46:$D$49,'316'!$D$51,'316'!$D$53,'316'!$D$55,'316'!$D$57,'316'!$D$59:$D$60,'316'!$D$62,'316'!$D$64:$D$66,'316'!$D$68,'316'!$D$70,'316'!$D$72:$D$77,'316'!$D$79,'316'!$D$81,'316'!$D$83</definedName>
    <definedName name="OSRRefD22x_0" localSheetId="65">'317'!$D$61:$D$69,'317'!$D$71:$D$75,'317'!$D$77,'317'!$D$79,'317'!$D$81,'317'!$D$83:$D$84,'317'!$D$86,'317'!$D$88,'317'!$D$90:$D$91,'317'!$D$93:$D$94,'317'!$D$96:$D$100,'317'!$D$102,'317'!$D$104,'317'!$D$106</definedName>
    <definedName name="OSRRefD22x_0" localSheetId="63">'320'!$D$29:$D$35,'320'!$D$37:$D$41,'320'!$D$43,'320'!$D$45,'320'!$D$47:$D$48,'320'!$D$50,'320'!$D$52,'320'!$D$54:$D$55,'320'!$D$57</definedName>
    <definedName name="OSRRefD22x_0" localSheetId="69">'321'!$D$24:$D$31,'321'!$D$33:$D$37,'321'!$D$39,'321'!$D$41,'321'!$D$43,'321'!$D$45,'321'!$D$47,'321'!$D$49:$D$51,'321'!$D$53,'321'!$D$55:$D$57,'321'!$D$59:$D$63,'321'!$D$65,'321'!$D$67</definedName>
    <definedName name="OSRRefD22x_0" localSheetId="70">'322'!$D$24:$D$31,'322'!$D$33:$D$37,'322'!$D$39,'322'!$D$41,'322'!$D$43,'322'!$D$45,'322'!$D$47,'322'!$D$49,'322'!$D$51:$D$52,'322'!$D$54:$D$56,'322'!$D$58:$D$64,'322'!$D$66,'322'!$D$68,'322'!$D$70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'325'!$D$24:$D$31,'325'!$D$33:$D$37,'325'!$D$39,'325'!$D$41,'325'!$D$43,'325'!$D$45:$D$46,'325'!$D$48,'325'!$D$50,'325'!$D$52,'325'!$D$54,'325'!$D$56,'325'!$D$58:$D$60,'325'!$D$62:$D$64,'325'!$D$66,'325'!$D$68:$D$72,'325'!$D$74,'325'!$D$76,'325'!$D$78</definedName>
    <definedName name="OSRRefD22x_0" localSheetId="56">'326'!$D$63:$D$70,'326'!$D$72:$D$77,'326'!$D$79,'326'!$D$81,'326'!$D$83,'326'!$D$85:$D$86,'326'!$D$88,'326'!$D$90,'326'!$D$92,'326'!$D$94,'326'!$D$96,'326'!$D$98,'326'!$D$100:$D$102,'326'!$D$104:$D$106,'326'!$D$108:$D$109,'326'!$D$111:$D$116,'326'!$D$118,'326'!$D$120,'326'!$D$122,'326'!$D$124</definedName>
    <definedName name="OSRRefD22x_0" localSheetId="72">'327'!$D$23,'327'!$D$25,'327'!$D$27</definedName>
    <definedName name="OSRRefD22x_0" localSheetId="52">'330'!$D$85:$D$93,'330'!$D$95:$D$99,'330'!$D$101,'330'!$D$103,'330'!$D$105:$D$106,'330'!$D$108,'330'!$D$110,'330'!$D$112,'330'!$D$114:$D$115,'330'!$D$117:$D$118,'330'!$D$120,'330'!$D$122:$D$125,'330'!$D$127,'330'!$D$129,'330'!$D$131</definedName>
    <definedName name="OSRRefD22x_0" localSheetId="59">'331'!$D$93:$D$100,'331'!$D$102:$D$107,'331'!$D$109,'331'!$D$111,'331'!$D$113,'331'!$D$115:$D$116,'331'!$D$118,'331'!$D$120:$D$121,'331'!$D$123,'331'!$D$125,'331'!$D$127:$D$128,'331'!$D$130,'331'!$D$132,'331'!$D$134:$D$136,'331'!$D$138:$D$139,'331'!$D$141:$D$143,'331'!$D$145:$D$146,'331'!$D$148:$D$153,'331'!$D$155,'331'!$D$157,'331'!$D$159:$D$160,'331'!$D$162</definedName>
    <definedName name="OSRRefD22x_0" localSheetId="61">'332'!$D$45:$D$52,'332'!$D$54:$D$58,'332'!$D$60,'332'!$D$62,'332'!$D$64,'332'!$D$66,'332'!$D$68:$D$69,'332'!$D$71,'332'!$D$73,'332'!$D$75:$D$77,'332'!$D$79,'332'!$D$81,'332'!$D$83:$D$88,'332'!$D$90,'332'!$D$92,'332'!$D$94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'406'!$D$24:$D$31,'406'!$D$33:$D$38,'406'!$D$40,'406'!$D$42,'406'!$D$44,'406'!$D$46,'406'!$D$48,'406'!$D$50,'406'!$D$52,'406'!$D$54:$D$56,'406'!$D$58:$D$59,'406'!$D$61:$D$66,'406'!$D$68,'406'!$D$70,'406'!$D$72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79">'412'!$D$24:$D$31,'412'!$D$33:$D$38,'412'!$D$40,'412'!$D$42,'412'!$D$44,'412'!$D$46,'412'!$D$48,'412'!$D$50,'412'!$D$52,'412'!$D$54:$D$56,'412'!$D$58:$D$60,'412'!$D$62:$D$67,'412'!$D$69,'412'!$D$71</definedName>
    <definedName name="OSRRefD22x_0" localSheetId="80">'413'!$D$24:$D$31,'413'!$D$33:$D$37,'413'!$D$39,'413'!$D$41,'413'!$D$43,'413'!$D$45,'413'!$D$47,'413'!$D$49:$D$51,'413'!$D$53:$D$55,'413'!$D$57:$D$62,'413'!$D$64,'413'!$D$66</definedName>
    <definedName name="OSRRefD22x_0" localSheetId="81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2">'415'!$D$24:$D$31,'415'!$D$33:$D$38,'415'!$D$40,'415'!$D$42,'415'!$D$44,'415'!$D$46:$D$47,'415'!$D$49,'415'!$D$51,'415'!$D$53,'415'!$D$55,'415'!$D$57,'415'!$D$59:$D$62,'415'!$D$64:$D$68,'415'!$D$70:$D$71,'415'!$D$73:$D$81,'415'!$D$83,'415'!$D$85,'415'!$D$87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4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'424'!$D$24:$D$25,'424'!$D$27:$D$31,'424'!$D$33,'424'!$D$35,'424'!$D$37,'424'!$D$39,'424'!$D$41,'424'!$D$43,'424'!$D$45:$D$46,'424'!$D$48,'424'!$D$50,'424'!$D$52:$D$56,'424'!$D$58</definedName>
    <definedName name="OSRRefD22x_0" localSheetId="87">'425'!$D$27:$D$35,'425'!$D$37:$D$42,'425'!$D$44,'425'!$D$46,'425'!$D$48,'425'!$D$50,'425'!$D$52,'425'!$D$54,'425'!$D$56,'425'!$D$58:$D$60,'425'!$D$62,'425'!$D$64:$D$66,'425'!$D$68:$D$74,'425'!$D$76,'425'!$D$78</definedName>
    <definedName name="OSRRefD22x_0" localSheetId="90">'430'!$D$20:$D$27,'430'!$D$29,'430'!$D$31,'430'!$D$33,'430'!$D$35:$D$36,'430'!$D$38,'430'!$D$40,'430'!$D$42</definedName>
    <definedName name="OSRRefD22x_0" localSheetId="91">'433'!$D$26:$D$34,'433'!$D$36:$D$41,'433'!$D$43,'433'!$D$45,'433'!$D$47,'433'!$D$49,'433'!$D$51,'433'!$D$53,'433'!$D$55,'433'!$D$57,'433'!$D$59,'433'!$D$61:$D$63,'433'!$D$65:$D$67,'433'!$D$69:$D$76,'433'!$D$78,'433'!$D$80,'433'!$D$82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'444'!$D$25:$D$33,'444'!$D$35:$D$40,'444'!$D$42,'444'!$D$44,'444'!$D$46,'444'!$D$48,'444'!$D$50,'444'!$D$52,'444'!$D$54,'444'!$D$56,'444'!$D$58,'444'!$D$60:$D$62,'444'!$D$64:$D$67,'444'!$D$69,'444'!$D$71:$D$79,'444'!$D$81,'444'!$D$83,'444'!$D$85:$D$86</definedName>
    <definedName name="OSRRefD22x_0" localSheetId="94">'450'!$D$25:$D$33,'450'!$D$35:$D$40,'450'!$D$42,'450'!$D$44,'450'!$D$46,'450'!$D$48,'450'!$D$50,'450'!$D$52,'450'!$D$54,'450'!$D$56,'450'!$D$58,'450'!$D$60,'450'!$D$62:$D$63,'450'!$D$65:$D$67,'450'!$D$69:$D$74,'450'!$D$76,'450'!$D$78,'450'!$D$80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,'491'!$D$66,'491'!$D$68,'491'!$D$70:$D$71,'491'!$D$73,'491'!$D$75,'491'!$D$77,'491'!$D$79,'491'!$D$81:$D$84,'491'!$D$86:$D$87,'491'!$D$89:$D$93,'491'!$D$95:$D$96,'491'!$D$98:$D$107,'491'!$D$109,'491'!$D$111,'491'!$D$113:$D$115,'491'!$D$117</definedName>
    <definedName name="OSRRefD22x_0" localSheetId="89">'492'!$D$28:$D$36,'492'!$D$38:$D$44,'492'!$D$46,'492'!$D$48,'492'!$D$50,'492'!$D$52,'492'!$D$54,'492'!$D$56,'492'!$D$58,'492'!$D$60,'492'!$D$62,'492'!$D$64,'492'!$D$66:$D$68,'492'!$D$70:$D$73,'492'!$D$75,'492'!$D$77:$D$85,'492'!$D$87,'492'!$D$89,'492'!$D$91:$D$92</definedName>
    <definedName name="OSRRefD22x_0" localSheetId="96">'501'!$D$21:$D$29,'501'!$D$31:$D$35,'501'!$D$37,'501'!$D$39,'501'!$D$41,'501'!$D$43:$D$44,'501'!$D$46,'501'!$D$48,'501'!$D$50,'501'!$D$52:$D$54,'501'!$D$56,'501'!$D$58:$D$60,'501'!$D$62,'501'!$D$64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3'!$D$175:$D$184,'Div 3'!$D$186:$D$192,'Div 3'!$D$194,'Div 3'!$D$196:$D$197,'Div 3'!$D$199,'Div 3'!$D$201:$D$203,'Div 3'!$D$205:$D$206,'Div 3'!$D$208,'Div 3'!$D$210,'Div 3'!$D$212,'Div 3'!$D$214:$D$215,'Div 3'!$D$217,'Div 3'!$D$219,'Div 3'!$D$221,'Div 3'!$D$223:$D$225,'Div 3'!$D$227,'Div 3'!$D$229,'Div 3'!$D$231:$D$234,'Div 3'!$D$236:$D$238,'Div 3'!$D$240:$D$244,'Div 3'!$D$246:$D$247,'Div 3'!$D$249:$D$257,'Div 3'!$D$259:$D$260,'Div 3'!$D$262,'Div 3'!$D$264:$D$266,'Div 3'!$D$268</definedName>
    <definedName name="OSRRefD22x_0" localSheetId="73">'Div 4'!$D$33:$D$41,'Div 4'!$D$43:$D$49,'Div 4'!$D$51,'Div 4'!$D$53,'Div 4'!$D$55,'Div 4'!$D$57:$D$59,'Div 4'!$D$61,'Div 4'!$D$63,'Div 4'!$D$65,'Div 4'!$D$67,'Div 4'!$D$69,'Div 4'!$D$71:$D$72,'Div 4'!$D$74,'Div 4'!$D$76,'Div 4'!$D$78,'Div 4'!$D$80,'Div 4'!$D$82,'Div 4'!$D$84:$D$87,'Div 4'!$D$89:$D$90,'Div 4'!$D$92:$D$96,'Div 4'!$D$98:$D$99,'Div 4'!$D$101:$D$110,'Div 4'!$D$112,'Div 4'!$D$114,'Div 4'!$D$116:$D$118,'Div 4'!$D$120</definedName>
    <definedName name="OSRRefD22x_0" localSheetId="95">'Div 5'!$D$21:$D$29,'Div 5'!$D$31:$D$35,'Div 5'!$D$37,'Div 5'!$D$39,'Div 5'!$D$41,'Div 5'!$D$43:$D$44,'Div 5'!$D$46,'Div 5'!$D$48,'Div 5'!$D$50,'Div 5'!$D$52:$D$54,'Div 5'!$D$56,'Div 5'!$D$58:$D$60,'Div 5'!$D$62,'Div 5'!$D$64</definedName>
    <definedName name="OSRRefD22x_0" localSheetId="64">'Div 6'!$D$61:$D$69,'Div 6'!$D$71:$D$75,'Div 6'!$D$77,'Div 6'!$D$79,'Div 6'!$D$81,'Div 6'!$D$83:$D$84,'Div 6'!$D$86,'Div 6'!$D$88,'Div 6'!$D$90:$D$91,'Div 6'!$D$93:$D$94,'Div 6'!$D$96:$D$100,'Div 6'!$D$102,'Div 6'!$D$104,'Div 6'!$D$106</definedName>
    <definedName name="OSRRefD22x_0" localSheetId="2">Summary!$D$209:$D$218,Summary!$D$220:$D$226,Summary!$D$228,Summary!$D$230:$D$231,Summary!$D$233,Summary!$D$235:$D$238,Summary!$D$240:$D$241,Summary!$D$243,Summary!$D$245,Summary!$D$247,Summary!$D$249:$D$250,Summary!$D$252:$D$253,Summary!$D$255,Summary!$D$257,Summary!$D$259:$D$261,Summary!$D$263,Summary!$D$265,Summary!$D$267,Summary!$D$269:$D$272,Summary!$D$274:$D$276,Summary!$D$278:$D$282,Summary!$D$284:$D$285,Summary!$D$287:$D$296,Summary!$D$298:$D$299,Summary!$D$301,Summary!$D$303:$D$305,Summary!$D$307</definedName>
    <definedName name="OSRRefD25x_0" localSheetId="48">'300'!$D$262:$D$270</definedName>
    <definedName name="OSRRefD25x_0" localSheetId="49">'300 &amp; 317'!$D$288:$D$299</definedName>
    <definedName name="OSRRefD25x_0" localSheetId="50">'301'!$D$101:$D$103</definedName>
    <definedName name="OSRRefD25x_0" localSheetId="53">'307'!$D$119</definedName>
    <definedName name="OSRRefD25x_0" localSheetId="54">'308'!$D$121:$D$123</definedName>
    <definedName name="OSRRefD25x_0" localSheetId="74">'310 &amp; 491'!$D$128:$D$130</definedName>
    <definedName name="OSRRefD25x_0" localSheetId="55">'311'!$D$120:$D$122</definedName>
    <definedName name="OSRRefD25x_0" localSheetId="60">'315'!$D$137:$D$139</definedName>
    <definedName name="OSRRefD25x_0" localSheetId="62">'316'!$D$86</definedName>
    <definedName name="OSRRefD25x_0" localSheetId="65">'317'!$D$109:$D$112</definedName>
    <definedName name="OSRRefD25x_0" localSheetId="63">'320'!$D$60:$D$64</definedName>
    <definedName name="OSRRefD25x_0" localSheetId="52">'330'!$D$134</definedName>
    <definedName name="OSRRefD25x_0" localSheetId="59">'331'!$D$165:$D$167</definedName>
    <definedName name="OSRRefD25x_0" localSheetId="61">'332'!$D$97:$D$102</definedName>
    <definedName name="OSRRefD25x_0" localSheetId="78">'411'!$D$94:$D$95</definedName>
    <definedName name="OSRRefD25x_0" localSheetId="80">'413'!$D$69</definedName>
    <definedName name="OSRRefD25x_0" localSheetId="82">'415'!$D$90</definedName>
    <definedName name="OSRRefD25x_0" localSheetId="83">'418'!$D$85</definedName>
    <definedName name="OSRRefD25x_0" localSheetId="85">'423'!$D$44</definedName>
    <definedName name="OSRRefD25x_0" localSheetId="86">'424'!$D$61</definedName>
    <definedName name="OSRRefD25x_0" localSheetId="87">'425'!$D$81</definedName>
    <definedName name="OSRRefD25x_0" localSheetId="88">'455'!$D$32:$D$34</definedName>
    <definedName name="OSRRefD25x_0" localSheetId="75">'491'!$D$120:$D$122</definedName>
    <definedName name="OSRRefD25x_0" localSheetId="96">'501'!$D$67</definedName>
    <definedName name="OSRRefD25x_0" localSheetId="47">'Div 3'!$D$271:$D$279</definedName>
    <definedName name="OSRRefD25x_0" localSheetId="73">'Div 4'!$D$123:$D$125</definedName>
    <definedName name="OSRRefD25x_0" localSheetId="95">'Div 5'!$D$67</definedName>
    <definedName name="OSRRefD25x_0" localSheetId="64">'Div 6'!$D$109:$D$112</definedName>
    <definedName name="OSRRefD25x_0" localSheetId="2">Summary!$D$310:$D$322</definedName>
    <definedName name="OSRRefH13x_0" localSheetId="48">'300'!$H$13:$H$111</definedName>
    <definedName name="OSRRefH13x_0" localSheetId="49">'300 &amp; 317'!$H$13:$H$129</definedName>
    <definedName name="OSRRefH13x_0" localSheetId="53">'307'!$H$13:$H$49</definedName>
    <definedName name="OSRRefH13x_0" localSheetId="54">'308'!$H$13:$H$43</definedName>
    <definedName name="OSRRefH13x_0" localSheetId="67">'309'!$H$13:$H$14</definedName>
    <definedName name="OSRRefH13x_0" localSheetId="66">'310'!$H$13:$H$22</definedName>
    <definedName name="OSRRefH13x_0" localSheetId="74">'310 &amp; 491'!$H$13:$H$29</definedName>
    <definedName name="OSRRefH13x_0" localSheetId="55">'311'!$H$13:$H$42</definedName>
    <definedName name="OSRRefH13x_0" localSheetId="68">'313'!$H$13:$H$19</definedName>
    <definedName name="OSRRefH13x_0" localSheetId="58">'314'!$H$13:$H$33</definedName>
    <definedName name="OSRRefH13x_0" localSheetId="60">'315'!$H$13:$H$51</definedName>
    <definedName name="OSRRefH13x_0" localSheetId="62">'316'!$H$13:$H$29</definedName>
    <definedName name="OSRRefH13x_0" localSheetId="65">'317'!$H$13:$H$37</definedName>
    <definedName name="OSRRefH13x_0" localSheetId="63">'320'!$H$13:$H$16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56">'326'!$H$13:$H$38</definedName>
    <definedName name="OSRRefH13x_0" localSheetId="72">'327'!$H$13</definedName>
    <definedName name="OSRRefH13x_0" localSheetId="52">'330'!$H$13:$H$53</definedName>
    <definedName name="OSRRefH13x_0" localSheetId="59">'331'!$H$13:$H$55</definedName>
    <definedName name="OSRRefH13x_0" localSheetId="61">'332'!$H$13:$H$32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'424'!$H$13:$H$14</definedName>
    <definedName name="OSRRefH13x_0" localSheetId="87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'491'!$H$13:$H$22</definedName>
    <definedName name="OSRRefH13x_0" localSheetId="89">'492'!$H$13:$H$18</definedName>
    <definedName name="OSRRefH13x_0" localSheetId="96">'501'!$H$13</definedName>
    <definedName name="OSRRefH13x_0" localSheetId="47">'Div 3'!$H$13:$H$114</definedName>
    <definedName name="OSRRefH13x_0" localSheetId="73">'Div 4'!$H$13:$H$23</definedName>
    <definedName name="OSRRefH13x_0" localSheetId="95">'Div 5'!$H$13</definedName>
    <definedName name="OSRRefH13x_0" localSheetId="64">'Div 6'!$H$13:$H$37</definedName>
    <definedName name="OSRRefH13x_0" localSheetId="2">Summary!$H$13:$H$140</definedName>
    <definedName name="OSRRefH16x_0" localSheetId="48">'300'!$H$114:$H$164</definedName>
    <definedName name="OSRRefH16x_0" localSheetId="49">'300 &amp; 317'!$H$132:$H$190</definedName>
    <definedName name="OSRRefH16x_0" localSheetId="50">'301'!$H$15</definedName>
    <definedName name="OSRRefH16x_0" localSheetId="53">'307'!$H$52:$H$72</definedName>
    <definedName name="OSRRefH16x_0" localSheetId="54">'308'!$H$46:$H$62</definedName>
    <definedName name="OSRRefH16x_0" localSheetId="67">'309'!$H$17:$H$18</definedName>
    <definedName name="OSRRefH16x_0" localSheetId="66">'310'!$H$25:$H$26</definedName>
    <definedName name="OSRRefH16x_0" localSheetId="74">'310 &amp; 491'!$H$32:$H$33</definedName>
    <definedName name="OSRRefH16x_0" localSheetId="55">'311'!$H$45:$H$61</definedName>
    <definedName name="OSRRefH16x_0" localSheetId="68">'313'!$H$22:$H$23</definedName>
    <definedName name="OSRRefH16x_0" localSheetId="58">'314'!$H$36:$H$50</definedName>
    <definedName name="OSRRefH16x_0" localSheetId="60">'315'!$H$54:$H$78</definedName>
    <definedName name="OSRRefH16x_0" localSheetId="65">'317'!$H$40:$H$55</definedName>
    <definedName name="OSRRefH16x_0" localSheetId="63">'320'!$H$19:$H$23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56">'326'!$H$41:$H$57</definedName>
    <definedName name="OSRRefH16x_0" localSheetId="72">'327'!$H$16:$H$17</definedName>
    <definedName name="OSRRefH16x_0" localSheetId="52">'330'!$H$56:$H$79</definedName>
    <definedName name="OSRRefH16x_0" localSheetId="59">'331'!$H$58:$H$87</definedName>
    <definedName name="OSRRefH16x_0" localSheetId="61">'332'!$H$35:$H$39</definedName>
    <definedName name="OSRRefH16x_0" localSheetId="76">'405'!$H$17:$H$18</definedName>
    <definedName name="OSRRefH16x_0" localSheetId="77">'406'!$H$17:$H$18</definedName>
    <definedName name="OSRRefH16x_0" localSheetId="79">'412'!$H$17:$H$18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'420'!$H$17:$H$18</definedName>
    <definedName name="OSRRefH16x_0" localSheetId="85">'423'!$H$15</definedName>
    <definedName name="OSRRefH16x_0" localSheetId="86">'424'!$H$17:$H$18</definedName>
    <definedName name="OSRRefH16x_0" localSheetId="87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'491'!$H$25:$H$26</definedName>
    <definedName name="OSRRefH16x_0" localSheetId="89">'492'!$H$21:$H$22</definedName>
    <definedName name="OSRRefH16x_0" localSheetId="47">'Div 3'!$H$117:$H$169</definedName>
    <definedName name="OSRRefH16x_0" localSheetId="73">'Div 4'!$H$26:$H$27</definedName>
    <definedName name="OSRRefH16x_0" localSheetId="64">'Div 6'!$H$40:$H$55</definedName>
    <definedName name="OSRRefH16x_0" localSheetId="2">Summary!$H$143:$H$203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'300'!$H$170:$H$179</definedName>
    <definedName name="OSRRefH22_0x_0" localSheetId="49">'300 &amp; 317'!$H$196:$H$205</definedName>
    <definedName name="OSRRefH22_0x_0" localSheetId="50">'301'!$H$21:$H$30</definedName>
    <definedName name="OSRRefH22_0x_0" localSheetId="51">'306'!$H$20:$H$28</definedName>
    <definedName name="OSRRefH22_0x_0" localSheetId="53">'307'!$H$78:$H$85</definedName>
    <definedName name="OSRRefH22_0x_0" localSheetId="54">'308'!$H$68:$H$76</definedName>
    <definedName name="OSRRefH22_0x_0" localSheetId="67">'309'!$H$24:$H$31</definedName>
    <definedName name="OSRRefH22_0x_0" localSheetId="66">'310'!$H$32:$H$39</definedName>
    <definedName name="OSRRefH22_0x_0" localSheetId="74">'310 &amp; 491'!$H$39:$H$47</definedName>
    <definedName name="OSRRefH22_0x_0" localSheetId="55">'311'!$H$67:$H$75</definedName>
    <definedName name="OSRRefH22_0x_0" localSheetId="68">'313'!$H$29:$H$36</definedName>
    <definedName name="OSRRefH22_0x_0" localSheetId="58">'314'!$H$56:$H$64</definedName>
    <definedName name="OSRRefH22_0x_0" localSheetId="60">'315'!$H$84:$H$91</definedName>
    <definedName name="OSRRefH22_0x_0" localSheetId="62">'316'!$H$37:$H$44</definedName>
    <definedName name="OSRRefH22_0x_0" localSheetId="65">'317'!$H$61:$H$69</definedName>
    <definedName name="OSRRefH22_0x_0" localSheetId="63">'320'!$H$29:$H$35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56">'326'!$H$63:$H$70</definedName>
    <definedName name="OSRRefH22_0x_0" localSheetId="72">'327'!$H$23</definedName>
    <definedName name="OSRRefH22_0x_0" localSheetId="52">'330'!$H$85:$H$93</definedName>
    <definedName name="OSRRefH22_0x_0" localSheetId="59">'331'!$H$93:$H$100</definedName>
    <definedName name="OSRRefH22_0x_0" localSheetId="61">'332'!$H$45:$H$52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'412'!$H$24:$H$31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'420'!$H$24:$H$31</definedName>
    <definedName name="OSRRefH22_0x_0" localSheetId="85">'423'!$H$21:$H$28</definedName>
    <definedName name="OSRRefH22_0x_0" localSheetId="86">'424'!$H$24:$H$25</definedName>
    <definedName name="OSRRefH22_0x_0" localSheetId="87">'425'!$H$27:$H$35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'491'!$H$32:$H$40</definedName>
    <definedName name="OSRRefH22_0x_0" localSheetId="89">'492'!$H$28:$H$36</definedName>
    <definedName name="OSRRefH22_0x_0" localSheetId="96">'501'!$H$21:$H$29</definedName>
    <definedName name="OSRRefH22_0x_0" localSheetId="39">'Div 2'!$H$20:$H$30</definedName>
    <definedName name="OSRRefH22_0x_0" localSheetId="47">'Div 3'!$H$175:$H$184</definedName>
    <definedName name="OSRRefH22_0x_0" localSheetId="73">'Div 4'!$H$33:$H$41</definedName>
    <definedName name="OSRRefH22_0x_0" localSheetId="95">'Div 5'!$H$21:$H$29</definedName>
    <definedName name="OSRRefH22_0x_0" localSheetId="64">'Div 6'!$H$61:$H$69</definedName>
    <definedName name="OSRRefH22_0x_0" localSheetId="2">Summary!$H$209:$H$218</definedName>
    <definedName name="OSRRefH22_10x_0" localSheetId="41">'201'!$H$51:$H$53</definedName>
    <definedName name="OSRRefH22_10x_0" localSheetId="42">'202'!$H$54</definedName>
    <definedName name="OSRRefH22_10x_0" localSheetId="43">'203'!$H$55:$H$56</definedName>
    <definedName name="OSRRefH22_10x_0" localSheetId="44">'204'!$H$56:$H$57</definedName>
    <definedName name="OSRRefH22_10x_0" localSheetId="48">'300'!$H$209:$H$210</definedName>
    <definedName name="OSRRefH22_10x_0" localSheetId="49">'300 &amp; 317'!$H$235:$H$236</definedName>
    <definedName name="OSRRefH22_10x_0" localSheetId="50">'301'!$H$60</definedName>
    <definedName name="OSRRefH22_10x_0" localSheetId="53">'307'!$H$114</definedName>
    <definedName name="OSRRefH22_10x_0" localSheetId="54">'308'!$H$106:$H$107</definedName>
    <definedName name="OSRRefH22_10x_0" localSheetId="67">'309'!$H$56:$H$58</definedName>
    <definedName name="OSRRefH22_10x_0" localSheetId="66">'310'!$H$65</definedName>
    <definedName name="OSRRefH22_10x_0" localSheetId="74">'310 &amp; 491'!$H$75:$H$76</definedName>
    <definedName name="OSRRefH22_10x_0" localSheetId="55">'311'!$H$105:$H$106</definedName>
    <definedName name="OSRRefH22_10x_0" localSheetId="68">'313'!$H$63:$H$68</definedName>
    <definedName name="OSRRefH22_10x_0" localSheetId="60">'315'!$H$120:$H$121</definedName>
    <definedName name="OSRRefH22_10x_0" localSheetId="62">'316'!$H$70</definedName>
    <definedName name="OSRRefH22_10x_0" localSheetId="65">'317'!$H$96:$H$100</definedName>
    <definedName name="OSRRefH22_10x_0" localSheetId="69">'321'!$H$59:$H$63</definedName>
    <definedName name="OSRRefH22_10x_0" localSheetId="70">'322'!$H$58:$H$64</definedName>
    <definedName name="OSRRefH22_10x_0" localSheetId="71">'325'!$H$56</definedName>
    <definedName name="OSRRefH22_10x_0" localSheetId="56">'326'!$H$96</definedName>
    <definedName name="OSRRefH22_10x_0" localSheetId="52">'330'!$H$120</definedName>
    <definedName name="OSRRefH22_10x_0" localSheetId="59">'331'!$H$127:$H$128</definedName>
    <definedName name="OSRRefH22_10x_0" localSheetId="61">'332'!$H$79</definedName>
    <definedName name="OSRRefH22_10x_0" localSheetId="76">'405'!$H$55:$H$56</definedName>
    <definedName name="OSRRefH22_10x_0" localSheetId="77">'406'!$H$58:$H$59</definedName>
    <definedName name="OSRRefH22_10x_0" localSheetId="78">'411'!$H$55</definedName>
    <definedName name="OSRRefH22_10x_0" localSheetId="79">'412'!$H$58:$H$60</definedName>
    <definedName name="OSRRefH22_10x_0" localSheetId="80">'413'!$H$64</definedName>
    <definedName name="OSRRefH22_10x_0" localSheetId="81">'414'!$H$57</definedName>
    <definedName name="OSRRefH22_10x_0" localSheetId="82">'415'!$H$57</definedName>
    <definedName name="OSRRefH22_10x_0" localSheetId="83">'418'!$H$57:$H$58</definedName>
    <definedName name="OSRRefH22_10x_0" localSheetId="86">'424'!$H$50</definedName>
    <definedName name="OSRRefH22_10x_0" localSheetId="87">'425'!$H$62</definedName>
    <definedName name="OSRRefH22_10x_0" localSheetId="91">'433'!$H$59</definedName>
    <definedName name="OSRRefH22_10x_0" localSheetId="93">'444'!$H$58</definedName>
    <definedName name="OSRRefH22_10x_0" localSheetId="94">'450'!$H$58</definedName>
    <definedName name="OSRRefH22_10x_0" localSheetId="75">'491'!$H$68</definedName>
    <definedName name="OSRRefH22_10x_0" localSheetId="89">'492'!$H$62</definedName>
    <definedName name="OSRRefH22_10x_0" localSheetId="96">'501'!$H$56</definedName>
    <definedName name="OSRRefH22_10x_0" localSheetId="39">'Div 2'!$H$57</definedName>
    <definedName name="OSRRefH22_10x_0" localSheetId="47">'Div 3'!$H$214:$H$215</definedName>
    <definedName name="OSRRefH22_10x_0" localSheetId="73">'Div 4'!$H$69</definedName>
    <definedName name="OSRRefH22_10x_0" localSheetId="95">'Div 5'!$H$56</definedName>
    <definedName name="OSRRefH22_10x_0" localSheetId="64">'Div 6'!$H$96:$H$100</definedName>
    <definedName name="OSRRefH22_10x_0" localSheetId="2">Summary!$H$249:$H$250</definedName>
    <definedName name="OSRRefH22_11x_0" localSheetId="41">'201'!$H$55</definedName>
    <definedName name="OSRRefH22_11x_0" localSheetId="42">'202'!$H$56</definedName>
    <definedName name="OSRRefH22_11x_0" localSheetId="43">'203'!$H$58</definedName>
    <definedName name="OSRRefH22_11x_0" localSheetId="48">'300'!$H$212</definedName>
    <definedName name="OSRRefH22_11x_0" localSheetId="49">'300 &amp; 317'!$H$238</definedName>
    <definedName name="OSRRefH22_11x_0" localSheetId="50">'301'!$H$62</definedName>
    <definedName name="OSRRefH22_11x_0" localSheetId="53">'307'!$H$116</definedName>
    <definedName name="OSRRefH22_11x_0" localSheetId="54">'308'!$H$109:$H$111</definedName>
    <definedName name="OSRRefH22_11x_0" localSheetId="67">'309'!$H$60:$H$62</definedName>
    <definedName name="OSRRefH22_11x_0" localSheetId="66">'310'!$H$67</definedName>
    <definedName name="OSRRefH22_11x_0" localSheetId="74">'310 &amp; 491'!$H$78:$H$79</definedName>
    <definedName name="OSRRefH22_11x_0" localSheetId="55">'311'!$H$108:$H$110</definedName>
    <definedName name="OSRRefH22_11x_0" localSheetId="68">'313'!$H$70</definedName>
    <definedName name="OSRRefH22_11x_0" localSheetId="60">'315'!$H$123:$H$127</definedName>
    <definedName name="OSRRefH22_11x_0" localSheetId="62">'316'!$H$72:$H$77</definedName>
    <definedName name="OSRRefH22_11x_0" localSheetId="65">'317'!$H$102</definedName>
    <definedName name="OSRRefH22_11x_0" localSheetId="69">'321'!$H$65</definedName>
    <definedName name="OSRRefH22_11x_0" localSheetId="70">'322'!$H$66</definedName>
    <definedName name="OSRRefH22_11x_0" localSheetId="71">'325'!$H$58:$H$60</definedName>
    <definedName name="OSRRefH22_11x_0" localSheetId="56">'326'!$H$98</definedName>
    <definedName name="OSRRefH22_11x_0" localSheetId="52">'330'!$H$122:$H$125</definedName>
    <definedName name="OSRRefH22_11x_0" localSheetId="59">'331'!$H$130</definedName>
    <definedName name="OSRRefH22_11x_0" localSheetId="61">'332'!$H$81</definedName>
    <definedName name="OSRRefH22_11x_0" localSheetId="76">'405'!$H$58</definedName>
    <definedName name="OSRRefH22_11x_0" localSheetId="77">'406'!$H$61:$H$66</definedName>
    <definedName name="OSRRefH22_11x_0" localSheetId="78">'411'!$H$57</definedName>
    <definedName name="OSRRefH22_11x_0" localSheetId="79">'412'!$H$62:$H$67</definedName>
    <definedName name="OSRRefH22_11x_0" localSheetId="80">'413'!$H$66</definedName>
    <definedName name="OSRRefH22_11x_0" localSheetId="81">'414'!$H$59</definedName>
    <definedName name="OSRRefH22_11x_0" localSheetId="82">'415'!$H$59:$H$62</definedName>
    <definedName name="OSRRefH22_11x_0" localSheetId="83">'418'!$H$60:$H$62</definedName>
    <definedName name="OSRRefH22_11x_0" localSheetId="86">'424'!$H$52:$H$56</definedName>
    <definedName name="OSRRefH22_11x_0" localSheetId="87">'425'!$H$64:$H$66</definedName>
    <definedName name="OSRRefH22_11x_0" localSheetId="91">'433'!$H$61:$H$63</definedName>
    <definedName name="OSRRefH22_11x_0" localSheetId="93">'444'!$H$60:$H$62</definedName>
    <definedName name="OSRRefH22_11x_0" localSheetId="94">'450'!$H$60</definedName>
    <definedName name="OSRRefH22_11x_0" localSheetId="75">'491'!$H$70:$H$71</definedName>
    <definedName name="OSRRefH22_11x_0" localSheetId="89">'492'!$H$64</definedName>
    <definedName name="OSRRefH22_11x_0" localSheetId="96">'501'!$H$58:$H$60</definedName>
    <definedName name="OSRRefH22_11x_0" localSheetId="39">'Div 2'!$H$59</definedName>
    <definedName name="OSRRefH22_11x_0" localSheetId="47">'Div 3'!$H$217</definedName>
    <definedName name="OSRRefH22_11x_0" localSheetId="73">'Div 4'!$H$71:$H$72</definedName>
    <definedName name="OSRRefH22_11x_0" localSheetId="95">'Div 5'!$H$58:$H$60</definedName>
    <definedName name="OSRRefH22_11x_0" localSheetId="64">'Div 6'!$H$102</definedName>
    <definedName name="OSRRefH22_11x_0" localSheetId="2">Summary!$H$252:$H$253</definedName>
    <definedName name="OSRRefH22_12x_0" localSheetId="41">'201'!$H$57:$H$60</definedName>
    <definedName name="OSRRefH22_12x_0" localSheetId="42">'202'!$H$58:$H$60</definedName>
    <definedName name="OSRRefH22_12x_0" localSheetId="43">'203'!$H$60:$H$63</definedName>
    <definedName name="OSRRefH22_12x_0" localSheetId="48">'300'!$H$214</definedName>
    <definedName name="OSRRefH22_12x_0" localSheetId="49">'300 &amp; 317'!$H$240</definedName>
    <definedName name="OSRRefH22_12x_0" localSheetId="50">'301'!$H$64</definedName>
    <definedName name="OSRRefH22_12x_0" localSheetId="54">'308'!$H$113:$H$114</definedName>
    <definedName name="OSRRefH22_12x_0" localSheetId="67">'309'!$H$64</definedName>
    <definedName name="OSRRefH22_12x_0" localSheetId="66">'310'!$H$69</definedName>
    <definedName name="OSRRefH22_12x_0" localSheetId="74">'310 &amp; 491'!$H$81</definedName>
    <definedName name="OSRRefH22_12x_0" localSheetId="55">'311'!$H$112:$H$113</definedName>
    <definedName name="OSRRefH22_12x_0" localSheetId="68">'313'!$H$72</definedName>
    <definedName name="OSRRefH22_12x_0" localSheetId="60">'315'!$H$129</definedName>
    <definedName name="OSRRefH22_12x_0" localSheetId="62">'316'!$H$79</definedName>
    <definedName name="OSRRefH22_12x_0" localSheetId="65">'317'!$H$104</definedName>
    <definedName name="OSRRefH22_12x_0" localSheetId="69">'321'!$H$67</definedName>
    <definedName name="OSRRefH22_12x_0" localSheetId="70">'322'!$H$68</definedName>
    <definedName name="OSRRefH22_12x_0" localSheetId="71">'325'!$H$62:$H$64</definedName>
    <definedName name="OSRRefH22_12x_0" localSheetId="56">'326'!$H$100:$H$102</definedName>
    <definedName name="OSRRefH22_12x_0" localSheetId="52">'330'!$H$127</definedName>
    <definedName name="OSRRefH22_12x_0" localSheetId="59">'331'!$H$132</definedName>
    <definedName name="OSRRefH22_12x_0" localSheetId="61">'332'!$H$83:$H$88</definedName>
    <definedName name="OSRRefH22_12x_0" localSheetId="76">'405'!$H$60:$H$62</definedName>
    <definedName name="OSRRefH22_12x_0" localSheetId="77">'406'!$H$68</definedName>
    <definedName name="OSRRefH22_12x_0" localSheetId="78">'411'!$H$59:$H$62</definedName>
    <definedName name="OSRRefH22_12x_0" localSheetId="79">'412'!$H$69</definedName>
    <definedName name="OSRRefH22_12x_0" localSheetId="81">'414'!$H$61</definedName>
    <definedName name="OSRRefH22_12x_0" localSheetId="82">'415'!$H$64:$H$68</definedName>
    <definedName name="OSRRefH22_12x_0" localSheetId="83">'418'!$H$64:$H$66</definedName>
    <definedName name="OSRRefH22_12x_0" localSheetId="86">'424'!$H$58</definedName>
    <definedName name="OSRRefH22_12x_0" localSheetId="87">'425'!$H$68:$H$74</definedName>
    <definedName name="OSRRefH22_12x_0" localSheetId="91">'433'!$H$65:$H$67</definedName>
    <definedName name="OSRRefH22_12x_0" localSheetId="93">'444'!$H$64:$H$67</definedName>
    <definedName name="OSRRefH22_12x_0" localSheetId="94">'450'!$H$62:$H$63</definedName>
    <definedName name="OSRRefH22_12x_0" localSheetId="75">'491'!$H$73</definedName>
    <definedName name="OSRRefH22_12x_0" localSheetId="89">'492'!$H$66:$H$68</definedName>
    <definedName name="OSRRefH22_12x_0" localSheetId="96">'501'!$H$62</definedName>
    <definedName name="OSRRefH22_12x_0" localSheetId="39">'Div 2'!$H$61:$H$64</definedName>
    <definedName name="OSRRefH22_12x_0" localSheetId="47">'Div 3'!$H$219</definedName>
    <definedName name="OSRRefH22_12x_0" localSheetId="73">'Div 4'!$H$74</definedName>
    <definedName name="OSRRefH22_12x_0" localSheetId="95">'Div 5'!$H$62</definedName>
    <definedName name="OSRRefH22_12x_0" localSheetId="64">'Div 6'!$H$104</definedName>
    <definedName name="OSRRefH22_12x_0" localSheetId="2">Summary!$H$255</definedName>
    <definedName name="OSRRefH22_13x_0" localSheetId="41">'201'!$H$62</definedName>
    <definedName name="OSRRefH22_13x_0" localSheetId="42">'202'!$H$62</definedName>
    <definedName name="OSRRefH22_13x_0" localSheetId="43">'203'!$H$65</definedName>
    <definedName name="OSRRefH22_13x_0" localSheetId="48">'300'!$H$216:$H$218</definedName>
    <definedName name="OSRRefH22_13x_0" localSheetId="49">'300 &amp; 317'!$H$242:$H$244</definedName>
    <definedName name="OSRRefH22_13x_0" localSheetId="50">'301'!$H$66</definedName>
    <definedName name="OSRRefH22_13x_0" localSheetId="54">'308'!$H$116</definedName>
    <definedName name="OSRRefH22_13x_0" localSheetId="66">'310'!$H$71</definedName>
    <definedName name="OSRRefH22_13x_0" localSheetId="74">'310 &amp; 491'!$H$83</definedName>
    <definedName name="OSRRefH22_13x_0" localSheetId="55">'311'!$H$115</definedName>
    <definedName name="OSRRefH22_13x_0" localSheetId="60">'315'!$H$131</definedName>
    <definedName name="OSRRefH22_13x_0" localSheetId="62">'316'!$H$81</definedName>
    <definedName name="OSRRefH22_13x_0" localSheetId="65">'317'!$H$106</definedName>
    <definedName name="OSRRefH22_13x_0" localSheetId="70">'322'!$H$70</definedName>
    <definedName name="OSRRefH22_13x_0" localSheetId="71">'325'!$H$66</definedName>
    <definedName name="OSRRefH22_13x_0" localSheetId="56">'326'!$H$104:$H$106</definedName>
    <definedName name="OSRRefH22_13x_0" localSheetId="52">'330'!$H$129</definedName>
    <definedName name="OSRRefH22_13x_0" localSheetId="59">'331'!$H$134:$H$136</definedName>
    <definedName name="OSRRefH22_13x_0" localSheetId="61">'332'!$H$90</definedName>
    <definedName name="OSRRefH22_13x_0" localSheetId="76">'405'!$H$64:$H$65</definedName>
    <definedName name="OSRRefH22_13x_0" localSheetId="77">'406'!$H$70</definedName>
    <definedName name="OSRRefH22_13x_0" localSheetId="78">'411'!$H$64:$H$68</definedName>
    <definedName name="OSRRefH22_13x_0" localSheetId="79">'412'!$H$71</definedName>
    <definedName name="OSRRefH22_13x_0" localSheetId="81">'414'!$H$63:$H$69</definedName>
    <definedName name="OSRRefH22_13x_0" localSheetId="82">'415'!$H$70:$H$71</definedName>
    <definedName name="OSRRefH22_13x_0" localSheetId="83">'418'!$H$68:$H$69</definedName>
    <definedName name="OSRRefH22_13x_0" localSheetId="87">'425'!$H$76</definedName>
    <definedName name="OSRRefH22_13x_0" localSheetId="91">'433'!$H$69:$H$76</definedName>
    <definedName name="OSRRefH22_13x_0" localSheetId="93">'444'!$H$69</definedName>
    <definedName name="OSRRefH22_13x_0" localSheetId="94">'450'!$H$65:$H$67</definedName>
    <definedName name="OSRRefH22_13x_0" localSheetId="75">'491'!$H$75</definedName>
    <definedName name="OSRRefH22_13x_0" localSheetId="89">'492'!$H$70:$H$73</definedName>
    <definedName name="OSRRefH22_13x_0" localSheetId="96">'501'!$H$64</definedName>
    <definedName name="OSRRefH22_13x_0" localSheetId="39">'Div 2'!$H$66:$H$68</definedName>
    <definedName name="OSRRefH22_13x_0" localSheetId="47">'Div 3'!$H$221</definedName>
    <definedName name="OSRRefH22_13x_0" localSheetId="73">'Div 4'!$H$76</definedName>
    <definedName name="OSRRefH22_13x_0" localSheetId="95">'Div 5'!$H$64</definedName>
    <definedName name="OSRRefH22_13x_0" localSheetId="64">'Div 6'!$H$106</definedName>
    <definedName name="OSRRefH22_13x_0" localSheetId="2">Summary!$H$257</definedName>
    <definedName name="OSRRefH22_14x_0" localSheetId="41">'201'!$H$64</definedName>
    <definedName name="OSRRefH22_14x_0" localSheetId="42">'202'!$H$64</definedName>
    <definedName name="OSRRefH22_14x_0" localSheetId="43">'203'!$H$67</definedName>
    <definedName name="OSRRefH22_14x_0" localSheetId="48">'300'!$H$220</definedName>
    <definedName name="OSRRefH22_14x_0" localSheetId="49">'300 &amp; 317'!$H$246</definedName>
    <definedName name="OSRRefH22_14x_0" localSheetId="50">'301'!$H$68</definedName>
    <definedName name="OSRRefH22_14x_0" localSheetId="54">'308'!$H$118</definedName>
    <definedName name="OSRRefH22_14x_0" localSheetId="66">'310'!$H$73:$H$75</definedName>
    <definedName name="OSRRefH22_14x_0" localSheetId="74">'310 &amp; 491'!$H$85</definedName>
    <definedName name="OSRRefH22_14x_0" localSheetId="55">'311'!$H$117</definedName>
    <definedName name="OSRRefH22_14x_0" localSheetId="60">'315'!$H$133:$H$134</definedName>
    <definedName name="OSRRefH22_14x_0" localSheetId="62">'316'!$H$83</definedName>
    <definedName name="OSRRefH22_14x_0" localSheetId="71">'325'!$H$68:$H$72</definedName>
    <definedName name="OSRRefH22_14x_0" localSheetId="56">'326'!$H$108:$H$109</definedName>
    <definedName name="OSRRefH22_14x_0" localSheetId="52">'330'!$H$131</definedName>
    <definedName name="OSRRefH22_14x_0" localSheetId="59">'331'!$H$138:$H$139</definedName>
    <definedName name="OSRRefH22_14x_0" localSheetId="61">'332'!$H$92</definedName>
    <definedName name="OSRRefH22_14x_0" localSheetId="76">'405'!$H$67:$H$73</definedName>
    <definedName name="OSRRefH22_14x_0" localSheetId="77">'406'!$H$72</definedName>
    <definedName name="OSRRefH22_14x_0" localSheetId="78">'411'!$H$70:$H$71</definedName>
    <definedName name="OSRRefH22_14x_0" localSheetId="81">'414'!$H$71</definedName>
    <definedName name="OSRRefH22_14x_0" localSheetId="82">'415'!$H$73:$H$81</definedName>
    <definedName name="OSRRefH22_14x_0" localSheetId="83">'418'!$H$71:$H$78</definedName>
    <definedName name="OSRRefH22_14x_0" localSheetId="87">'425'!$H$78</definedName>
    <definedName name="OSRRefH22_14x_0" localSheetId="91">'433'!$H$78</definedName>
    <definedName name="OSRRefH22_14x_0" localSheetId="93">'444'!$H$71:$H$79</definedName>
    <definedName name="OSRRefH22_14x_0" localSheetId="94">'450'!$H$69:$H$74</definedName>
    <definedName name="OSRRefH22_14x_0" localSheetId="75">'491'!$H$77</definedName>
    <definedName name="OSRRefH22_14x_0" localSheetId="89">'492'!$H$75</definedName>
    <definedName name="OSRRefH22_14x_0" localSheetId="39">'Div 2'!$H$70:$H$71</definedName>
    <definedName name="OSRRefH22_14x_0" localSheetId="47">'Div 3'!$H$223:$H$225</definedName>
    <definedName name="OSRRefH22_14x_0" localSheetId="73">'Div 4'!$H$78</definedName>
    <definedName name="OSRRefH22_14x_0" localSheetId="2">Summary!$H$259:$H$261</definedName>
    <definedName name="OSRRefH22_15x_0" localSheetId="41">'201'!$H$66</definedName>
    <definedName name="OSRRefH22_15x_0" localSheetId="42">'202'!$H$66</definedName>
    <definedName name="OSRRefH22_15x_0" localSheetId="43">'203'!$H$69</definedName>
    <definedName name="OSRRefH22_15x_0" localSheetId="48">'300'!$H$222</definedName>
    <definedName name="OSRRefH22_15x_0" localSheetId="49">'300 &amp; 317'!$H$248</definedName>
    <definedName name="OSRRefH22_15x_0" localSheetId="50">'301'!$H$70:$H$73</definedName>
    <definedName name="OSRRefH22_15x_0" localSheetId="66">'310'!$H$77</definedName>
    <definedName name="OSRRefH22_15x_0" localSheetId="74">'310 &amp; 491'!$H$87</definedName>
    <definedName name="OSRRefH22_15x_0" localSheetId="71">'325'!$H$74</definedName>
    <definedName name="OSRRefH22_15x_0" localSheetId="56">'326'!$H$111:$H$116</definedName>
    <definedName name="OSRRefH22_15x_0" localSheetId="59">'331'!$H$141:$H$143</definedName>
    <definedName name="OSRRefH22_15x_0" localSheetId="61">'332'!$H$94</definedName>
    <definedName name="OSRRefH22_15x_0" localSheetId="76">'405'!$H$75</definedName>
    <definedName name="OSRRefH22_15x_0" localSheetId="78">'411'!$H$73:$H$81</definedName>
    <definedName name="OSRRefH22_15x_0" localSheetId="81">'414'!$H$73</definedName>
    <definedName name="OSRRefH22_15x_0" localSheetId="82">'415'!$H$83</definedName>
    <definedName name="OSRRefH22_15x_0" localSheetId="83">'418'!$H$80</definedName>
    <definedName name="OSRRefH22_15x_0" localSheetId="91">'433'!$H$80</definedName>
    <definedName name="OSRRefH22_15x_0" localSheetId="93">'444'!$H$81</definedName>
    <definedName name="OSRRefH22_15x_0" localSheetId="94">'450'!$H$76</definedName>
    <definedName name="OSRRefH22_15x_0" localSheetId="75">'491'!$H$79</definedName>
    <definedName name="OSRRefH22_15x_0" localSheetId="89">'492'!$H$77:$H$85</definedName>
    <definedName name="OSRRefH22_15x_0" localSheetId="39">'Div 2'!$H$73</definedName>
    <definedName name="OSRRefH22_15x_0" localSheetId="47">'Div 3'!$H$227</definedName>
    <definedName name="OSRRefH22_15x_0" localSheetId="73">'Div 4'!$H$80</definedName>
    <definedName name="OSRRefH22_15x_0" localSheetId="2">Summary!$H$263</definedName>
    <definedName name="OSRRefH22_16x_0" localSheetId="48">'300'!$H$224:$H$227</definedName>
    <definedName name="OSRRefH22_16x_0" localSheetId="49">'300 &amp; 317'!$H$250:$H$253</definedName>
    <definedName name="OSRRefH22_16x_0" localSheetId="50">'301'!$H$75:$H$77</definedName>
    <definedName name="OSRRefH22_16x_0" localSheetId="66">'310'!$H$79:$H$82</definedName>
    <definedName name="OSRRefH22_16x_0" localSheetId="74">'310 &amp; 491'!$H$89:$H$92</definedName>
    <definedName name="OSRRefH22_16x_0" localSheetId="71">'325'!$H$76</definedName>
    <definedName name="OSRRefH22_16x_0" localSheetId="56">'326'!$H$118</definedName>
    <definedName name="OSRRefH22_16x_0" localSheetId="59">'331'!$H$145:$H$146</definedName>
    <definedName name="OSRRefH22_16x_0" localSheetId="76">'405'!$H$77</definedName>
    <definedName name="OSRRefH22_16x_0" localSheetId="78">'411'!$H$83</definedName>
    <definedName name="OSRRefH22_16x_0" localSheetId="82">'415'!$H$85</definedName>
    <definedName name="OSRRefH22_16x_0" localSheetId="83">'418'!$H$82</definedName>
    <definedName name="OSRRefH22_16x_0" localSheetId="91">'433'!$H$82</definedName>
    <definedName name="OSRRefH22_16x_0" localSheetId="93">'444'!$H$83</definedName>
    <definedName name="OSRRefH22_16x_0" localSheetId="94">'450'!$H$78</definedName>
    <definedName name="OSRRefH22_16x_0" localSheetId="75">'491'!$H$81:$H$84</definedName>
    <definedName name="OSRRefH22_16x_0" localSheetId="89">'492'!$H$87</definedName>
    <definedName name="OSRRefH22_16x_0" localSheetId="39">'Div 2'!$H$75:$H$79</definedName>
    <definedName name="OSRRefH22_16x_0" localSheetId="47">'Div 3'!$H$229</definedName>
    <definedName name="OSRRefH22_16x_0" localSheetId="73">'Div 4'!$H$82</definedName>
    <definedName name="OSRRefH22_16x_0" localSheetId="2">Summary!$H$265</definedName>
    <definedName name="OSRRefH22_17x_0" localSheetId="48">'300'!$H$229:$H$231</definedName>
    <definedName name="OSRRefH22_17x_0" localSheetId="49">'300 &amp; 317'!$H$255:$H$257</definedName>
    <definedName name="OSRRefH22_17x_0" localSheetId="50">'301'!$H$79:$H$80</definedName>
    <definedName name="OSRRefH22_17x_0" localSheetId="66">'310'!$H$84</definedName>
    <definedName name="OSRRefH22_17x_0" localSheetId="74">'310 &amp; 491'!$H$94:$H$95</definedName>
    <definedName name="OSRRefH22_17x_0" localSheetId="71">'325'!$H$78</definedName>
    <definedName name="OSRRefH22_17x_0" localSheetId="56">'326'!$H$120</definedName>
    <definedName name="OSRRefH22_17x_0" localSheetId="59">'331'!$H$148:$H$153</definedName>
    <definedName name="OSRRefH22_17x_0" localSheetId="76">'405'!$H$79</definedName>
    <definedName name="OSRRefH22_17x_0" localSheetId="78">'411'!$H$85</definedName>
    <definedName name="OSRRefH22_17x_0" localSheetId="82">'415'!$H$87</definedName>
    <definedName name="OSRRefH22_17x_0" localSheetId="93">'444'!$H$85:$H$86</definedName>
    <definedName name="OSRRefH22_17x_0" localSheetId="94">'450'!$H$80</definedName>
    <definedName name="OSRRefH22_17x_0" localSheetId="75">'491'!$H$86:$H$87</definedName>
    <definedName name="OSRRefH22_17x_0" localSheetId="89">'492'!$H$89</definedName>
    <definedName name="OSRRefH22_17x_0" localSheetId="39">'Div 2'!$H$81:$H$82</definedName>
    <definedName name="OSRRefH22_17x_0" localSheetId="47">'Div 3'!$H$231:$H$234</definedName>
    <definedName name="OSRRefH22_17x_0" localSheetId="73">'Div 4'!$H$84:$H$87</definedName>
    <definedName name="OSRRefH22_17x_0" localSheetId="2">Summary!$H$267</definedName>
    <definedName name="OSRRefH22_18x_0" localSheetId="48">'300'!$H$233:$H$236</definedName>
    <definedName name="OSRRefH22_18x_0" localSheetId="49">'300 &amp; 317'!$H$259:$H$262</definedName>
    <definedName name="OSRRefH22_18x_0" localSheetId="50">'301'!$H$82:$H$88</definedName>
    <definedName name="OSRRefH22_18x_0" localSheetId="66">'310'!$H$86:$H$94</definedName>
    <definedName name="OSRRefH22_18x_0" localSheetId="74">'310 &amp; 491'!$H$97:$H$101</definedName>
    <definedName name="OSRRefH22_18x_0" localSheetId="56">'326'!$H$122</definedName>
    <definedName name="OSRRefH22_18x_0" localSheetId="59">'331'!$H$155</definedName>
    <definedName name="OSRRefH22_18x_0" localSheetId="78">'411'!$H$87:$H$89</definedName>
    <definedName name="OSRRefH22_18x_0" localSheetId="75">'491'!$H$89:$H$93</definedName>
    <definedName name="OSRRefH22_18x_0" localSheetId="89">'492'!$H$91:$H$92</definedName>
    <definedName name="OSRRefH22_18x_0" localSheetId="39">'Div 2'!$H$84</definedName>
    <definedName name="OSRRefH22_18x_0" localSheetId="47">'Div 3'!$H$236:$H$238</definedName>
    <definedName name="OSRRefH22_18x_0" localSheetId="73">'Div 4'!$H$89:$H$90</definedName>
    <definedName name="OSRRefH22_18x_0" localSheetId="2">Summary!$H$269:$H$272</definedName>
    <definedName name="OSRRefH22_19x_0" localSheetId="48">'300'!$H$238:$H$239</definedName>
    <definedName name="OSRRefH22_19x_0" localSheetId="49">'300 &amp; 317'!$H$264:$H$265</definedName>
    <definedName name="OSRRefH22_19x_0" localSheetId="50">'301'!$H$90</definedName>
    <definedName name="OSRRefH22_19x_0" localSheetId="66">'310'!$H$96</definedName>
    <definedName name="OSRRefH22_19x_0" localSheetId="74">'310 &amp; 491'!$H$103:$H$104</definedName>
    <definedName name="OSRRefH22_19x_0" localSheetId="56">'326'!$H$124</definedName>
    <definedName name="OSRRefH22_19x_0" localSheetId="59">'331'!$H$157</definedName>
    <definedName name="OSRRefH22_19x_0" localSheetId="78">'411'!$H$91</definedName>
    <definedName name="OSRRefH22_19x_0" localSheetId="75">'491'!$H$95:$H$96</definedName>
    <definedName name="OSRRefH22_19x_0" localSheetId="39">'Div 2'!$H$86:$H$87</definedName>
    <definedName name="OSRRefH22_19x_0" localSheetId="47">'Div 3'!$H$240:$H$244</definedName>
    <definedName name="OSRRefH22_19x_0" localSheetId="73">'Div 4'!$H$92:$H$96</definedName>
    <definedName name="OSRRefH22_19x_0" localSheetId="2">Summary!$H$274:$H$276</definedName>
    <definedName name="OSRRefH22_1x_0" localSheetId="40">'200'!$H$22</definedName>
    <definedName name="OSRRefH22_1x_0" localSheetId="41">'201'!$H$29:$H$31</definedName>
    <definedName name="OSRRefH22_1x_0" localSheetId="42">'202'!$H$29:$H$33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'300'!$H$181:$H$187</definedName>
    <definedName name="OSRRefH22_1x_0" localSheetId="49">'300 &amp; 317'!$H$207:$H$213</definedName>
    <definedName name="OSRRefH22_1x_0" localSheetId="50">'301'!$H$32:$H$38</definedName>
    <definedName name="OSRRefH22_1x_0" localSheetId="51">'306'!$H$30:$H$35</definedName>
    <definedName name="OSRRefH22_1x_0" localSheetId="53">'307'!$H$87:$H$90</definedName>
    <definedName name="OSRRefH22_1x_0" localSheetId="54">'308'!$H$78:$H$84</definedName>
    <definedName name="OSRRefH22_1x_0" localSheetId="67">'309'!$H$33:$H$37</definedName>
    <definedName name="OSRRefH22_1x_0" localSheetId="66">'310'!$H$41:$H$46</definedName>
    <definedName name="OSRRefH22_1x_0" localSheetId="74">'310 &amp; 491'!$H$49:$H$55</definedName>
    <definedName name="OSRRefH22_1x_0" localSheetId="55">'311'!$H$77:$H$83</definedName>
    <definedName name="OSRRefH22_1x_0" localSheetId="68">'313'!$H$38:$H$43</definedName>
    <definedName name="OSRRefH22_1x_0" localSheetId="58">'314'!$H$66:$H$68</definedName>
    <definedName name="OSRRefH22_1x_0" localSheetId="60">'315'!$H$93:$H$98</definedName>
    <definedName name="OSRRefH22_1x_0" localSheetId="62">'316'!$H$46:$H$49</definedName>
    <definedName name="OSRRefH22_1x_0" localSheetId="65">'317'!$H$71:$H$75</definedName>
    <definedName name="OSRRefH22_1x_0" localSheetId="63">'320'!$H$37:$H$41</definedName>
    <definedName name="OSRRefH22_1x_0" localSheetId="69">'321'!$H$33:$H$37</definedName>
    <definedName name="OSRRefH22_1x_0" localSheetId="70">'322'!$H$33:$H$37</definedName>
    <definedName name="OSRRefH22_1x_0" localSheetId="71">'325'!$H$33:$H$37</definedName>
    <definedName name="OSRRefH22_1x_0" localSheetId="56">'326'!$H$72:$H$77</definedName>
    <definedName name="OSRRefH22_1x_0" localSheetId="72">'327'!$H$25</definedName>
    <definedName name="OSRRefH22_1x_0" localSheetId="52">'330'!$H$95:$H$99</definedName>
    <definedName name="OSRRefH22_1x_0" localSheetId="59">'331'!$H$102:$H$107</definedName>
    <definedName name="OSRRefH22_1x_0" localSheetId="61">'332'!$H$54:$H$58</definedName>
    <definedName name="OSRRefH22_1x_0" localSheetId="76">'405'!$H$33:$H$36</definedName>
    <definedName name="OSRRefH22_1x_0" localSheetId="77">'406'!$H$33:$H$38</definedName>
    <definedName name="OSRRefH22_1x_0" localSheetId="78">'411'!$H$30:$H$35</definedName>
    <definedName name="OSRRefH22_1x_0" localSheetId="79">'412'!$H$33:$H$38</definedName>
    <definedName name="OSRRefH22_1x_0" localSheetId="80">'413'!$H$33:$H$37</definedName>
    <definedName name="OSRRefH22_1x_0" localSheetId="81">'414'!$H$33:$H$38</definedName>
    <definedName name="OSRRefH22_1x_0" localSheetId="82">'415'!$H$33:$H$38</definedName>
    <definedName name="OSRRefH22_1x_0" localSheetId="83">'418'!$H$33:$H$38</definedName>
    <definedName name="OSRRefH22_1x_0" localSheetId="84">'420'!$H$33:$H$36</definedName>
    <definedName name="OSRRefH22_1x_0" localSheetId="85">'423'!$H$30:$H$31</definedName>
    <definedName name="OSRRefH22_1x_0" localSheetId="86">'424'!$H$27:$H$31</definedName>
    <definedName name="OSRRefH22_1x_0" localSheetId="87">'425'!$H$37:$H$42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'491'!$H$42:$H$48</definedName>
    <definedName name="OSRRefH22_1x_0" localSheetId="89">'492'!$H$38:$H$44</definedName>
    <definedName name="OSRRefH22_1x_0" localSheetId="96">'501'!$H$31:$H$35</definedName>
    <definedName name="OSRRefH22_1x_0" localSheetId="39">'Div 2'!$H$32:$H$38</definedName>
    <definedName name="OSRRefH22_1x_0" localSheetId="47">'Div 3'!$H$186:$H$192</definedName>
    <definedName name="OSRRefH22_1x_0" localSheetId="73">'Div 4'!$H$43:$H$49</definedName>
    <definedName name="OSRRefH22_1x_0" localSheetId="95">'Div 5'!$H$31:$H$35</definedName>
    <definedName name="OSRRefH22_1x_0" localSheetId="64">'Div 6'!$H$71:$H$75</definedName>
    <definedName name="OSRRefH22_1x_0" localSheetId="2">Summary!$H$220:$H$226</definedName>
    <definedName name="OSRRefH22_20x_0" localSheetId="48">'300'!$H$241:$H$248</definedName>
    <definedName name="OSRRefH22_20x_0" localSheetId="49">'300 &amp; 317'!$H$267:$H$274</definedName>
    <definedName name="OSRRefH22_20x_0" localSheetId="50">'301'!$H$92</definedName>
    <definedName name="OSRRefH22_20x_0" localSheetId="66">'310'!$H$98</definedName>
    <definedName name="OSRRefH22_20x_0" localSheetId="74">'310 &amp; 491'!$H$106:$H$115</definedName>
    <definedName name="OSRRefH22_20x_0" localSheetId="59">'331'!$H$159:$H$160</definedName>
    <definedName name="OSRRefH22_20x_0" localSheetId="75">'491'!$H$98:$H$107</definedName>
    <definedName name="OSRRefH22_20x_0" localSheetId="47">'Div 3'!$H$246:$H$247</definedName>
    <definedName name="OSRRefH22_20x_0" localSheetId="73">'Div 4'!$H$98:$H$99</definedName>
    <definedName name="OSRRefH22_20x_0" localSheetId="2">Summary!$H$278:$H$282</definedName>
    <definedName name="OSRRefH22_21x_0" localSheetId="48">'300'!$H$250:$H$251</definedName>
    <definedName name="OSRRefH22_21x_0" localSheetId="49">'300 &amp; 317'!$H$276:$H$277</definedName>
    <definedName name="OSRRefH22_21x_0" localSheetId="50">'301'!$H$94:$H$96</definedName>
    <definedName name="OSRRefH22_21x_0" localSheetId="66">'310'!$H$100</definedName>
    <definedName name="OSRRefH22_21x_0" localSheetId="74">'310 &amp; 491'!$H$117</definedName>
    <definedName name="OSRRefH22_21x_0" localSheetId="59">'331'!$H$162</definedName>
    <definedName name="OSRRefH22_21x_0" localSheetId="75">'491'!$H$109</definedName>
    <definedName name="OSRRefH22_21x_0" localSheetId="47">'Div 3'!$H$249:$H$257</definedName>
    <definedName name="OSRRefH22_21x_0" localSheetId="73">'Div 4'!$H$101:$H$110</definedName>
    <definedName name="OSRRefH22_21x_0" localSheetId="2">Summary!$H$284:$H$285</definedName>
    <definedName name="OSRRefH22_22x_0" localSheetId="48">'300'!$H$253</definedName>
    <definedName name="OSRRefH22_22x_0" localSheetId="49">'300 &amp; 317'!$H$279</definedName>
    <definedName name="OSRRefH22_22x_0" localSheetId="50">'301'!$H$98</definedName>
    <definedName name="OSRRefH22_22x_0" localSheetId="66">'310'!$H$102</definedName>
    <definedName name="OSRRefH22_22x_0" localSheetId="74">'310 &amp; 491'!$H$119</definedName>
    <definedName name="OSRRefH22_22x_0" localSheetId="75">'491'!$H$111</definedName>
    <definedName name="OSRRefH22_22x_0" localSheetId="47">'Div 3'!$H$259:$H$260</definedName>
    <definedName name="OSRRefH22_22x_0" localSheetId="73">'Div 4'!$H$112</definedName>
    <definedName name="OSRRefH22_22x_0" localSheetId="2">Summary!$H$287:$H$296</definedName>
    <definedName name="OSRRefH22_23x_0" localSheetId="48">'300'!$H$255:$H$257</definedName>
    <definedName name="OSRRefH22_23x_0" localSheetId="49">'300 &amp; 317'!$H$281:$H$283</definedName>
    <definedName name="OSRRefH22_23x_0" localSheetId="74">'310 &amp; 491'!$H$121:$H$123</definedName>
    <definedName name="OSRRefH22_23x_0" localSheetId="75">'491'!$H$113:$H$115</definedName>
    <definedName name="OSRRefH22_23x_0" localSheetId="47">'Div 3'!$H$262</definedName>
    <definedName name="OSRRefH22_23x_0" localSheetId="73">'Div 4'!$H$114</definedName>
    <definedName name="OSRRefH22_23x_0" localSheetId="2">Summary!$H$298:$H$299</definedName>
    <definedName name="OSRRefH22_24x_0" localSheetId="48">'300'!$H$259</definedName>
    <definedName name="OSRRefH22_24x_0" localSheetId="49">'300 &amp; 317'!$H$285</definedName>
    <definedName name="OSRRefH22_24x_0" localSheetId="74">'310 &amp; 491'!$H$125</definedName>
    <definedName name="OSRRefH22_24x_0" localSheetId="75">'491'!$H$117</definedName>
    <definedName name="OSRRefH22_24x_0" localSheetId="47">'Div 3'!$H$264:$H$266</definedName>
    <definedName name="OSRRefH22_24x_0" localSheetId="73">'Div 4'!$H$116:$H$118</definedName>
    <definedName name="OSRRefH22_24x_0" localSheetId="2">Summary!$H$301</definedName>
    <definedName name="OSRRefH22_25x_0" localSheetId="47">'Div 3'!$H$268</definedName>
    <definedName name="OSRRefH22_25x_0" localSheetId="73">'Div 4'!$H$120</definedName>
    <definedName name="OSRRefH22_25x_0" localSheetId="2">Summary!$H$303:$H$305</definedName>
    <definedName name="OSRRefH22_26x_0" localSheetId="2">Summary!$H$307</definedName>
    <definedName name="OSRRefH22_2x_0" localSheetId="40">'200'!$H$24</definedName>
    <definedName name="OSRRefH22_2x_0" localSheetId="41">'201'!$H$33</definedName>
    <definedName name="OSRRefH22_2x_0" localSheetId="42">'202'!$H$35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'300'!$H$189</definedName>
    <definedName name="OSRRefH22_2x_0" localSheetId="49">'300 &amp; 317'!$H$215</definedName>
    <definedName name="OSRRefH22_2x_0" localSheetId="50">'301'!$H$40</definedName>
    <definedName name="OSRRefH22_2x_0" localSheetId="51">'306'!$H$37</definedName>
    <definedName name="OSRRefH22_2x_0" localSheetId="53">'307'!$H$92</definedName>
    <definedName name="OSRRefH22_2x_0" localSheetId="54">'308'!$H$86</definedName>
    <definedName name="OSRRefH22_2x_0" localSheetId="67">'309'!$H$39</definedName>
    <definedName name="OSRRefH22_2x_0" localSheetId="66">'310'!$H$48</definedName>
    <definedName name="OSRRefH22_2x_0" localSheetId="74">'310 &amp; 491'!$H$57</definedName>
    <definedName name="OSRRefH22_2x_0" localSheetId="55">'311'!$H$85</definedName>
    <definedName name="OSRRefH22_2x_0" localSheetId="68">'313'!$H$45</definedName>
    <definedName name="OSRRefH22_2x_0" localSheetId="58">'314'!$H$70</definedName>
    <definedName name="OSRRefH22_2x_0" localSheetId="60">'315'!$H$100</definedName>
    <definedName name="OSRRefH22_2x_0" localSheetId="62">'316'!$H$51</definedName>
    <definedName name="OSRRefH22_2x_0" localSheetId="65">'317'!$H$77</definedName>
    <definedName name="OSRRefH22_2x_0" localSheetId="63">'320'!$H$43</definedName>
    <definedName name="OSRRefH22_2x_0" localSheetId="69">'321'!$H$39</definedName>
    <definedName name="OSRRefH22_2x_0" localSheetId="70">'322'!$H$39</definedName>
    <definedName name="OSRRefH22_2x_0" localSheetId="71">'325'!$H$39</definedName>
    <definedName name="OSRRefH22_2x_0" localSheetId="56">'326'!$H$79</definedName>
    <definedName name="OSRRefH22_2x_0" localSheetId="72">'327'!$H$27</definedName>
    <definedName name="OSRRefH22_2x_0" localSheetId="52">'330'!$H$101</definedName>
    <definedName name="OSRRefH22_2x_0" localSheetId="59">'331'!$H$109</definedName>
    <definedName name="OSRRefH22_2x_0" localSheetId="61">'332'!$H$60</definedName>
    <definedName name="OSRRefH22_2x_0" localSheetId="76">'405'!$H$38</definedName>
    <definedName name="OSRRefH22_2x_0" localSheetId="77">'406'!$H$40</definedName>
    <definedName name="OSRRefH22_2x_0" localSheetId="78">'411'!$H$37</definedName>
    <definedName name="OSRRefH22_2x_0" localSheetId="79">'412'!$H$40</definedName>
    <definedName name="OSRRefH22_2x_0" localSheetId="80">'413'!$H$39</definedName>
    <definedName name="OSRRefH22_2x_0" localSheetId="81">'414'!$H$40</definedName>
    <definedName name="OSRRefH22_2x_0" localSheetId="82">'415'!$H$40</definedName>
    <definedName name="OSRRefH22_2x_0" localSheetId="83">'418'!$H$40</definedName>
    <definedName name="OSRRefH22_2x_0" localSheetId="84">'420'!$H$38</definedName>
    <definedName name="OSRRefH22_2x_0" localSheetId="85">'423'!$H$33</definedName>
    <definedName name="OSRRefH22_2x_0" localSheetId="86">'424'!$H$33</definedName>
    <definedName name="OSRRefH22_2x_0" localSheetId="87">'425'!$H$44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4">'450'!$H$42</definedName>
    <definedName name="OSRRefH22_2x_0" localSheetId="75">'491'!$H$50</definedName>
    <definedName name="OSRRefH22_2x_0" localSheetId="89">'492'!$H$46</definedName>
    <definedName name="OSRRefH22_2x_0" localSheetId="96">'501'!$H$37</definedName>
    <definedName name="OSRRefH22_2x_0" localSheetId="39">'Div 2'!$H$40</definedName>
    <definedName name="OSRRefH22_2x_0" localSheetId="47">'Div 3'!$H$194</definedName>
    <definedName name="OSRRefH22_2x_0" localSheetId="73">'Div 4'!$H$51</definedName>
    <definedName name="OSRRefH22_2x_0" localSheetId="95">'Div 5'!$H$37</definedName>
    <definedName name="OSRRefH22_2x_0" localSheetId="64">'Div 6'!$H$77</definedName>
    <definedName name="OSRRefH22_2x_0" localSheetId="2">Summary!$H$228</definedName>
    <definedName name="OSRRefH22_3x_0" localSheetId="40">'200'!$H$26</definedName>
    <definedName name="OSRRefH22_3x_0" localSheetId="41">'201'!$H$35</definedName>
    <definedName name="OSRRefH22_3x_0" localSheetId="42">'202'!$H$37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'300'!$H$191:$H$192</definedName>
    <definedName name="OSRRefH22_3x_0" localSheetId="49">'300 &amp; 317'!$H$217:$H$218</definedName>
    <definedName name="OSRRefH22_3x_0" localSheetId="50">'301'!$H$42:$H$43</definedName>
    <definedName name="OSRRefH22_3x_0" localSheetId="51">'306'!$H$39</definedName>
    <definedName name="OSRRefH22_3x_0" localSheetId="53">'307'!$H$94</definedName>
    <definedName name="OSRRefH22_3x_0" localSheetId="54">'308'!$H$88:$H$89</definedName>
    <definedName name="OSRRefH22_3x_0" localSheetId="67">'309'!$H$41</definedName>
    <definedName name="OSRRefH22_3x_0" localSheetId="66">'310'!$H$50</definedName>
    <definedName name="OSRRefH22_3x_0" localSheetId="74">'310 &amp; 491'!$H$59</definedName>
    <definedName name="OSRRefH22_3x_0" localSheetId="55">'311'!$H$87:$H$88</definedName>
    <definedName name="OSRRefH22_3x_0" localSheetId="68">'313'!$H$47</definedName>
    <definedName name="OSRRefH22_3x_0" localSheetId="58">'314'!$H$72:$H$73</definedName>
    <definedName name="OSRRefH22_3x_0" localSheetId="60">'315'!$H$102:$H$103</definedName>
    <definedName name="OSRRefH22_3x_0" localSheetId="62">'316'!$H$53</definedName>
    <definedName name="OSRRefH22_3x_0" localSheetId="65">'317'!$H$79</definedName>
    <definedName name="OSRRefH22_3x_0" localSheetId="63">'320'!$H$45</definedName>
    <definedName name="OSRRefH22_3x_0" localSheetId="69">'321'!$H$41</definedName>
    <definedName name="OSRRefH22_3x_0" localSheetId="70">'322'!$H$41</definedName>
    <definedName name="OSRRefH22_3x_0" localSheetId="71">'325'!$H$41</definedName>
    <definedName name="OSRRefH22_3x_0" localSheetId="56">'326'!$H$81</definedName>
    <definedName name="OSRRefH22_3x_0" localSheetId="52">'330'!$H$103</definedName>
    <definedName name="OSRRefH22_3x_0" localSheetId="59">'331'!$H$111</definedName>
    <definedName name="OSRRefH22_3x_0" localSheetId="61">'332'!$H$62</definedName>
    <definedName name="OSRRefH22_3x_0" localSheetId="76">'405'!$H$40</definedName>
    <definedName name="OSRRefH22_3x_0" localSheetId="77">'406'!$H$42</definedName>
    <definedName name="OSRRefH22_3x_0" localSheetId="78">'411'!$H$39</definedName>
    <definedName name="OSRRefH22_3x_0" localSheetId="79">'412'!$H$42</definedName>
    <definedName name="OSRRefH22_3x_0" localSheetId="80">'413'!$H$41</definedName>
    <definedName name="OSRRefH22_3x_0" localSheetId="81">'414'!$H$42</definedName>
    <definedName name="OSRRefH22_3x_0" localSheetId="82">'415'!$H$42</definedName>
    <definedName name="OSRRefH22_3x_0" localSheetId="83">'418'!$H$42</definedName>
    <definedName name="OSRRefH22_3x_0" localSheetId="84">'420'!$H$40</definedName>
    <definedName name="OSRRefH22_3x_0" localSheetId="85">'423'!$H$35</definedName>
    <definedName name="OSRRefH22_3x_0" localSheetId="86">'424'!$H$35</definedName>
    <definedName name="OSRRefH22_3x_0" localSheetId="87">'425'!$H$46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4">'450'!$H$44</definedName>
    <definedName name="OSRRefH22_3x_0" localSheetId="75">'491'!$H$52</definedName>
    <definedName name="OSRRefH22_3x_0" localSheetId="89">'492'!$H$48</definedName>
    <definedName name="OSRRefH22_3x_0" localSheetId="96">'501'!$H$39</definedName>
    <definedName name="OSRRefH22_3x_0" localSheetId="39">'Div 2'!$H$42</definedName>
    <definedName name="OSRRefH22_3x_0" localSheetId="47">'Div 3'!$H$196:$H$197</definedName>
    <definedName name="OSRRefH22_3x_0" localSheetId="73">'Div 4'!$H$53</definedName>
    <definedName name="OSRRefH22_3x_0" localSheetId="95">'Div 5'!$H$39</definedName>
    <definedName name="OSRRefH22_3x_0" localSheetId="64">'Div 6'!$H$79</definedName>
    <definedName name="OSRRefH22_3x_0" localSheetId="2">Summary!$H$230:$H$231</definedName>
    <definedName name="OSRRefH22_4x_0" localSheetId="40">'200'!$H$28:$H$29</definedName>
    <definedName name="OSRRefH22_4x_0" localSheetId="41">'201'!$H$37</definedName>
    <definedName name="OSRRefH22_4x_0" localSheetId="42">'202'!$H$39</definedName>
    <definedName name="OSRRefH22_4x_0" localSheetId="43">'203'!$H$41</definedName>
    <definedName name="OSRRefH22_4x_0" localSheetId="44">'204'!$H$41</definedName>
    <definedName name="OSRRefH22_4x_0" localSheetId="45">'205'!$H$35:$H$37</definedName>
    <definedName name="OSRRefH22_4x_0" localSheetId="46">'206'!$H$38</definedName>
    <definedName name="OSRRefH22_4x_0" localSheetId="48">'300'!$H$194</definedName>
    <definedName name="OSRRefH22_4x_0" localSheetId="49">'300 &amp; 317'!$H$220</definedName>
    <definedName name="OSRRefH22_4x_0" localSheetId="50">'301'!$H$45</definedName>
    <definedName name="OSRRefH22_4x_0" localSheetId="51">'306'!$H$41</definedName>
    <definedName name="OSRRefH22_4x_0" localSheetId="53">'307'!$H$96:$H$97</definedName>
    <definedName name="OSRRefH22_4x_0" localSheetId="54">'308'!$H$91</definedName>
    <definedName name="OSRRefH22_4x_0" localSheetId="67">'309'!$H$43</definedName>
    <definedName name="OSRRefH22_4x_0" localSheetId="66">'310'!$H$52</definedName>
    <definedName name="OSRRefH22_4x_0" localSheetId="74">'310 &amp; 491'!$H$61</definedName>
    <definedName name="OSRRefH22_4x_0" localSheetId="55">'311'!$H$90</definedName>
    <definedName name="OSRRefH22_4x_0" localSheetId="68">'313'!$H$49</definedName>
    <definedName name="OSRRefH22_4x_0" localSheetId="58">'314'!$H$75</definedName>
    <definedName name="OSRRefH22_4x_0" localSheetId="60">'315'!$H$105</definedName>
    <definedName name="OSRRefH22_4x_0" localSheetId="62">'316'!$H$55</definedName>
    <definedName name="OSRRefH22_4x_0" localSheetId="65">'317'!$H$81</definedName>
    <definedName name="OSRRefH22_4x_0" localSheetId="63">'320'!$H$47:$H$48</definedName>
    <definedName name="OSRRefH22_4x_0" localSheetId="69">'321'!$H$43</definedName>
    <definedName name="OSRRefH22_4x_0" localSheetId="70">'322'!$H$43</definedName>
    <definedName name="OSRRefH22_4x_0" localSheetId="71">'325'!$H$43</definedName>
    <definedName name="OSRRefH22_4x_0" localSheetId="56">'326'!$H$83</definedName>
    <definedName name="OSRRefH22_4x_0" localSheetId="52">'330'!$H$105:$H$106</definedName>
    <definedName name="OSRRefH22_4x_0" localSheetId="59">'331'!$H$113</definedName>
    <definedName name="OSRRefH22_4x_0" localSheetId="61">'332'!$H$64</definedName>
    <definedName name="OSRRefH22_4x_0" localSheetId="76">'405'!$H$42</definedName>
    <definedName name="OSRRefH22_4x_0" localSheetId="77">'406'!$H$44</definedName>
    <definedName name="OSRRefH22_4x_0" localSheetId="78">'411'!$H$41:$H$43</definedName>
    <definedName name="OSRRefH22_4x_0" localSheetId="79">'412'!$H$44</definedName>
    <definedName name="OSRRefH22_4x_0" localSheetId="80">'413'!$H$43</definedName>
    <definedName name="OSRRefH22_4x_0" localSheetId="81">'414'!$H$44</definedName>
    <definedName name="OSRRefH22_4x_0" localSheetId="82">'415'!$H$44</definedName>
    <definedName name="OSRRefH22_4x_0" localSheetId="83">'418'!$H$44</definedName>
    <definedName name="OSRRefH22_4x_0" localSheetId="84">'420'!$H$42</definedName>
    <definedName name="OSRRefH22_4x_0" localSheetId="85">'423'!$H$37</definedName>
    <definedName name="OSRRefH22_4x_0" localSheetId="86">'424'!$H$37</definedName>
    <definedName name="OSRRefH22_4x_0" localSheetId="87">'425'!$H$48</definedName>
    <definedName name="OSRRefH22_4x_0" localSheetId="90">'430'!$H$35:$H$36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4">'450'!$H$46</definedName>
    <definedName name="OSRRefH22_4x_0" localSheetId="75">'491'!$H$54</definedName>
    <definedName name="OSRRefH22_4x_0" localSheetId="89">'492'!$H$50</definedName>
    <definedName name="OSRRefH22_4x_0" localSheetId="96">'501'!$H$41</definedName>
    <definedName name="OSRRefH22_4x_0" localSheetId="39">'Div 2'!$H$44</definedName>
    <definedName name="OSRRefH22_4x_0" localSheetId="47">'Div 3'!$H$199</definedName>
    <definedName name="OSRRefH22_4x_0" localSheetId="73">'Div 4'!$H$55</definedName>
    <definedName name="OSRRefH22_4x_0" localSheetId="95">'Div 5'!$H$41</definedName>
    <definedName name="OSRRefH22_4x_0" localSheetId="64">'Div 6'!$H$81</definedName>
    <definedName name="OSRRefH22_4x_0" localSheetId="2">Summary!$H$233</definedName>
    <definedName name="OSRRefH22_5x_0" localSheetId="41">'201'!$H$39</definedName>
    <definedName name="OSRRefH22_5x_0" localSheetId="42">'202'!$H$41</definedName>
    <definedName name="OSRRefH22_5x_0" localSheetId="43">'203'!$H$43</definedName>
    <definedName name="OSRRefH22_5x_0" localSheetId="44">'204'!$H$43</definedName>
    <definedName name="OSRRefH22_5x_0" localSheetId="45">'205'!$H$39</definedName>
    <definedName name="OSRRefH22_5x_0" localSheetId="46">'206'!$H$40</definedName>
    <definedName name="OSRRefH22_5x_0" localSheetId="48">'300'!$H$196:$H$198</definedName>
    <definedName name="OSRRefH22_5x_0" localSheetId="49">'300 &amp; 317'!$H$222:$H$224</definedName>
    <definedName name="OSRRefH22_5x_0" localSheetId="50">'301'!$H$47:$H$49</definedName>
    <definedName name="OSRRefH22_5x_0" localSheetId="51">'306'!$H$43</definedName>
    <definedName name="OSRRefH22_5x_0" localSheetId="53">'307'!$H$99</definedName>
    <definedName name="OSRRefH22_5x_0" localSheetId="54">'308'!$H$93</definedName>
    <definedName name="OSRRefH22_5x_0" localSheetId="67">'309'!$H$45</definedName>
    <definedName name="OSRRefH22_5x_0" localSheetId="66">'310'!$H$54:$H$55</definedName>
    <definedName name="OSRRefH22_5x_0" localSheetId="74">'310 &amp; 491'!$H$63:$H$65</definedName>
    <definedName name="OSRRefH22_5x_0" localSheetId="55">'311'!$H$92</definedName>
    <definedName name="OSRRefH22_5x_0" localSheetId="68">'313'!$H$51</definedName>
    <definedName name="OSRRefH22_5x_0" localSheetId="58">'314'!$H$77</definedName>
    <definedName name="OSRRefH22_5x_0" localSheetId="60">'315'!$H$107:$H$108</definedName>
    <definedName name="OSRRefH22_5x_0" localSheetId="62">'316'!$H$57</definedName>
    <definedName name="OSRRefH22_5x_0" localSheetId="65">'317'!$H$83:$H$84</definedName>
    <definedName name="OSRRefH22_5x_0" localSheetId="63">'320'!$H$50</definedName>
    <definedName name="OSRRefH22_5x_0" localSheetId="69">'321'!$H$45</definedName>
    <definedName name="OSRRefH22_5x_0" localSheetId="70">'322'!$H$45</definedName>
    <definedName name="OSRRefH22_5x_0" localSheetId="71">'325'!$H$45:$H$46</definedName>
    <definedName name="OSRRefH22_5x_0" localSheetId="56">'326'!$H$85:$H$86</definedName>
    <definedName name="OSRRefH22_5x_0" localSheetId="52">'330'!$H$108</definedName>
    <definedName name="OSRRefH22_5x_0" localSheetId="59">'331'!$H$115:$H$116</definedName>
    <definedName name="OSRRefH22_5x_0" localSheetId="61">'332'!$H$66</definedName>
    <definedName name="OSRRefH22_5x_0" localSheetId="76">'405'!$H$44:$H$45</definedName>
    <definedName name="OSRRefH22_5x_0" localSheetId="77">'406'!$H$46</definedName>
    <definedName name="OSRRefH22_5x_0" localSheetId="78">'411'!$H$45</definedName>
    <definedName name="OSRRefH22_5x_0" localSheetId="79">'412'!$H$46</definedName>
    <definedName name="OSRRefH22_5x_0" localSheetId="80">'413'!$H$45</definedName>
    <definedName name="OSRRefH22_5x_0" localSheetId="81">'414'!$H$46</definedName>
    <definedName name="OSRRefH22_5x_0" localSheetId="82">'415'!$H$46:$H$47</definedName>
    <definedName name="OSRRefH22_5x_0" localSheetId="83">'418'!$H$46:$H$47</definedName>
    <definedName name="OSRRefH22_5x_0" localSheetId="84">'420'!$H$44</definedName>
    <definedName name="OSRRefH22_5x_0" localSheetId="85">'423'!$H$39</definedName>
    <definedName name="OSRRefH22_5x_0" localSheetId="86">'424'!$H$39</definedName>
    <definedName name="OSRRefH22_5x_0" localSheetId="87">'425'!$H$50</definedName>
    <definedName name="OSRRefH22_5x_0" localSheetId="90">'430'!$H$38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4">'450'!$H$48</definedName>
    <definedName name="OSRRefH22_5x_0" localSheetId="75">'491'!$H$56:$H$58</definedName>
    <definedName name="OSRRefH22_5x_0" localSheetId="89">'492'!$H$52</definedName>
    <definedName name="OSRRefH22_5x_0" localSheetId="96">'501'!$H$43:$H$44</definedName>
    <definedName name="OSRRefH22_5x_0" localSheetId="39">'Div 2'!$H$46</definedName>
    <definedName name="OSRRefH22_5x_0" localSheetId="47">'Div 3'!$H$201:$H$203</definedName>
    <definedName name="OSRRefH22_5x_0" localSheetId="73">'Div 4'!$H$57:$H$59</definedName>
    <definedName name="OSRRefH22_5x_0" localSheetId="95">'Div 5'!$H$43:$H$44</definedName>
    <definedName name="OSRRefH22_5x_0" localSheetId="64">'Div 6'!$H$83:$H$84</definedName>
    <definedName name="OSRRefH22_5x_0" localSheetId="2">Summary!$H$235:$H$238</definedName>
    <definedName name="OSRRefH22_6x_0" localSheetId="41">'201'!$H$41</definedName>
    <definedName name="OSRRefH22_6x_0" localSheetId="42">'202'!$H$43:$H$44</definedName>
    <definedName name="OSRRefH22_6x_0" localSheetId="43">'203'!$H$45</definedName>
    <definedName name="OSRRefH22_6x_0" localSheetId="44">'204'!$H$45:$H$47</definedName>
    <definedName name="OSRRefH22_6x_0" localSheetId="45">'205'!$H$41:$H$43</definedName>
    <definedName name="OSRRefH22_6x_0" localSheetId="46">'206'!$H$42:$H$43</definedName>
    <definedName name="OSRRefH22_6x_0" localSheetId="48">'300'!$H$200:$H$201</definedName>
    <definedName name="OSRRefH22_6x_0" localSheetId="49">'300 &amp; 317'!$H$226:$H$227</definedName>
    <definedName name="OSRRefH22_6x_0" localSheetId="50">'301'!$H$51:$H$52</definedName>
    <definedName name="OSRRefH22_6x_0" localSheetId="51">'306'!$H$45:$H$46</definedName>
    <definedName name="OSRRefH22_6x_0" localSheetId="53">'307'!$H$101</definedName>
    <definedName name="OSRRefH22_6x_0" localSheetId="54">'308'!$H$95:$H$96</definedName>
    <definedName name="OSRRefH22_6x_0" localSheetId="67">'309'!$H$47</definedName>
    <definedName name="OSRRefH22_6x_0" localSheetId="66">'310'!$H$57</definedName>
    <definedName name="OSRRefH22_6x_0" localSheetId="74">'310 &amp; 491'!$H$67</definedName>
    <definedName name="OSRRefH22_6x_0" localSheetId="55">'311'!$H$94:$H$95</definedName>
    <definedName name="OSRRefH22_6x_0" localSheetId="68">'313'!$H$53</definedName>
    <definedName name="OSRRefH22_6x_0" localSheetId="58">'314'!$H$79:$H$80</definedName>
    <definedName name="OSRRefH22_6x_0" localSheetId="60">'315'!$H$110:$H$111</definedName>
    <definedName name="OSRRefH22_6x_0" localSheetId="62">'316'!$H$59:$H$60</definedName>
    <definedName name="OSRRefH22_6x_0" localSheetId="65">'317'!$H$86</definedName>
    <definedName name="OSRRefH22_6x_0" localSheetId="63">'320'!$H$52</definedName>
    <definedName name="OSRRefH22_6x_0" localSheetId="69">'321'!$H$47</definedName>
    <definedName name="OSRRefH22_6x_0" localSheetId="70">'322'!$H$47</definedName>
    <definedName name="OSRRefH22_6x_0" localSheetId="71">'325'!$H$48</definedName>
    <definedName name="OSRRefH22_6x_0" localSheetId="56">'326'!$H$88</definedName>
    <definedName name="OSRRefH22_6x_0" localSheetId="52">'330'!$H$110</definedName>
    <definedName name="OSRRefH22_6x_0" localSheetId="59">'331'!$H$118</definedName>
    <definedName name="OSRRefH22_6x_0" localSheetId="61">'332'!$H$68:$H$69</definedName>
    <definedName name="OSRRefH22_6x_0" localSheetId="76">'405'!$H$47</definedName>
    <definedName name="OSRRefH22_6x_0" localSheetId="77">'406'!$H$48</definedName>
    <definedName name="OSRRefH22_6x_0" localSheetId="78">'411'!$H$47</definedName>
    <definedName name="OSRRefH22_6x_0" localSheetId="79">'412'!$H$48</definedName>
    <definedName name="OSRRefH22_6x_0" localSheetId="80">'413'!$H$47</definedName>
    <definedName name="OSRRefH22_6x_0" localSheetId="81">'414'!$H$48</definedName>
    <definedName name="OSRRefH22_6x_0" localSheetId="82">'415'!$H$49</definedName>
    <definedName name="OSRRefH22_6x_0" localSheetId="83">'418'!$H$49</definedName>
    <definedName name="OSRRefH22_6x_0" localSheetId="84">'420'!$H$46:$H$47</definedName>
    <definedName name="OSRRefH22_6x_0" localSheetId="85">'423'!$H$41</definedName>
    <definedName name="OSRRefH22_6x_0" localSheetId="86">'424'!$H$41</definedName>
    <definedName name="OSRRefH22_6x_0" localSheetId="87">'425'!$H$52</definedName>
    <definedName name="OSRRefH22_6x_0" localSheetId="90">'430'!$H$40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4">'450'!$H$50</definedName>
    <definedName name="OSRRefH22_6x_0" localSheetId="75">'491'!$H$60</definedName>
    <definedName name="OSRRefH22_6x_0" localSheetId="89">'492'!$H$54</definedName>
    <definedName name="OSRRefH22_6x_0" localSheetId="96">'501'!$H$46</definedName>
    <definedName name="OSRRefH22_6x_0" localSheetId="39">'Div 2'!$H$48</definedName>
    <definedName name="OSRRefH22_6x_0" localSheetId="47">'Div 3'!$H$205:$H$206</definedName>
    <definedName name="OSRRefH22_6x_0" localSheetId="73">'Div 4'!$H$61</definedName>
    <definedName name="OSRRefH22_6x_0" localSheetId="95">'Div 5'!$H$46</definedName>
    <definedName name="OSRRefH22_6x_0" localSheetId="64">'Div 6'!$H$86</definedName>
    <definedName name="OSRRefH22_6x_0" localSheetId="2">Summary!$H$240:$H$241</definedName>
    <definedName name="OSRRefH22_7x_0" localSheetId="41">'201'!$H$43</definedName>
    <definedName name="OSRRefH22_7x_0" localSheetId="42">'202'!$H$46</definedName>
    <definedName name="OSRRefH22_7x_0" localSheetId="43">'203'!$H$47</definedName>
    <definedName name="OSRRefH22_7x_0" localSheetId="44">'204'!$H$49</definedName>
    <definedName name="OSRRefH22_7x_0" localSheetId="45">'205'!$H$45</definedName>
    <definedName name="OSRRefH22_7x_0" localSheetId="46">'206'!$H$45</definedName>
    <definedName name="OSRRefH22_7x_0" localSheetId="48">'300'!$H$203</definedName>
    <definedName name="OSRRefH22_7x_0" localSheetId="49">'300 &amp; 317'!$H$229</definedName>
    <definedName name="OSRRefH22_7x_0" localSheetId="50">'301'!$H$54</definedName>
    <definedName name="OSRRefH22_7x_0" localSheetId="51">'306'!$H$48:$H$50</definedName>
    <definedName name="OSRRefH22_7x_0" localSheetId="53">'307'!$H$103:$H$104</definedName>
    <definedName name="OSRRefH22_7x_0" localSheetId="54">'308'!$H$98</definedName>
    <definedName name="OSRRefH22_7x_0" localSheetId="67">'309'!$H$49</definedName>
    <definedName name="OSRRefH22_7x_0" localSheetId="66">'310'!$H$59</definedName>
    <definedName name="OSRRefH22_7x_0" localSheetId="74">'310 &amp; 491'!$H$69</definedName>
    <definedName name="OSRRefH22_7x_0" localSheetId="55">'311'!$H$97</definedName>
    <definedName name="OSRRefH22_7x_0" localSheetId="68">'313'!$H$55</definedName>
    <definedName name="OSRRefH22_7x_0" localSheetId="58">'314'!$H$82</definedName>
    <definedName name="OSRRefH22_7x_0" localSheetId="60">'315'!$H$113</definedName>
    <definedName name="OSRRefH22_7x_0" localSheetId="62">'316'!$H$62</definedName>
    <definedName name="OSRRefH22_7x_0" localSheetId="65">'317'!$H$88</definedName>
    <definedName name="OSRRefH22_7x_0" localSheetId="63">'320'!$H$54:$H$55</definedName>
    <definedName name="OSRRefH22_7x_0" localSheetId="69">'321'!$H$49:$H$51</definedName>
    <definedName name="OSRRefH22_7x_0" localSheetId="70">'322'!$H$49</definedName>
    <definedName name="OSRRefH22_7x_0" localSheetId="71">'325'!$H$50</definedName>
    <definedName name="OSRRefH22_7x_0" localSheetId="56">'326'!$H$90</definedName>
    <definedName name="OSRRefH22_7x_0" localSheetId="52">'330'!$H$112</definedName>
    <definedName name="OSRRefH22_7x_0" localSheetId="59">'331'!$H$120:$H$121</definedName>
    <definedName name="OSRRefH22_7x_0" localSheetId="61">'332'!$H$71</definedName>
    <definedName name="OSRRefH22_7x_0" localSheetId="76">'405'!$H$49</definedName>
    <definedName name="OSRRefH22_7x_0" localSheetId="77">'406'!$H$50</definedName>
    <definedName name="OSRRefH22_7x_0" localSheetId="78">'411'!$H$49</definedName>
    <definedName name="OSRRefH22_7x_0" localSheetId="79">'412'!$H$50</definedName>
    <definedName name="OSRRefH22_7x_0" localSheetId="80">'413'!$H$49:$H$51</definedName>
    <definedName name="OSRRefH22_7x_0" localSheetId="81">'414'!$H$50</definedName>
    <definedName name="OSRRefH22_7x_0" localSheetId="82">'415'!$H$51</definedName>
    <definedName name="OSRRefH22_7x_0" localSheetId="83">'418'!$H$51</definedName>
    <definedName name="OSRRefH22_7x_0" localSheetId="84">'420'!$H$49</definedName>
    <definedName name="OSRRefH22_7x_0" localSheetId="86">'424'!$H$43</definedName>
    <definedName name="OSRRefH22_7x_0" localSheetId="87">'425'!$H$54</definedName>
    <definedName name="OSRRefH22_7x_0" localSheetId="90">'430'!$H$42</definedName>
    <definedName name="OSRRefH22_7x_0" localSheetId="91">'433'!$H$53</definedName>
    <definedName name="OSRRefH22_7x_0" localSheetId="92">'435'!$H$43:$H$45</definedName>
    <definedName name="OSRRefH22_7x_0" localSheetId="93">'444'!$H$52</definedName>
    <definedName name="OSRRefH22_7x_0" localSheetId="94">'450'!$H$52</definedName>
    <definedName name="OSRRefH22_7x_0" localSheetId="75">'491'!$H$62</definedName>
    <definedName name="OSRRefH22_7x_0" localSheetId="89">'492'!$H$56</definedName>
    <definedName name="OSRRefH22_7x_0" localSheetId="96">'501'!$H$48</definedName>
    <definedName name="OSRRefH22_7x_0" localSheetId="39">'Div 2'!$H$50</definedName>
    <definedName name="OSRRefH22_7x_0" localSheetId="47">'Div 3'!$H$208</definedName>
    <definedName name="OSRRefH22_7x_0" localSheetId="73">'Div 4'!$H$63</definedName>
    <definedName name="OSRRefH22_7x_0" localSheetId="95">'Div 5'!$H$48</definedName>
    <definedName name="OSRRefH22_7x_0" localSheetId="64">'Div 6'!$H$88</definedName>
    <definedName name="OSRRefH22_7x_0" localSheetId="2">Summary!$H$243</definedName>
    <definedName name="OSRRefH22_8x_0" localSheetId="41">'201'!$H$45</definedName>
    <definedName name="OSRRefH22_8x_0" localSheetId="42">'202'!$H$48</definedName>
    <definedName name="OSRRefH22_8x_0" localSheetId="43">'203'!$H$49</definedName>
    <definedName name="OSRRefH22_8x_0" localSheetId="44">'204'!$H$51:$H$52</definedName>
    <definedName name="OSRRefH22_8x_0" localSheetId="45">'205'!$H$47</definedName>
    <definedName name="OSRRefH22_8x_0" localSheetId="46">'206'!$H$47</definedName>
    <definedName name="OSRRefH22_8x_0" localSheetId="48">'300'!$H$205</definedName>
    <definedName name="OSRRefH22_8x_0" localSheetId="49">'300 &amp; 317'!$H$231</definedName>
    <definedName name="OSRRefH22_8x_0" localSheetId="50">'301'!$H$56</definedName>
    <definedName name="OSRRefH22_8x_0" localSheetId="51">'306'!$H$52</definedName>
    <definedName name="OSRRefH22_8x_0" localSheetId="53">'307'!$H$106:$H$107</definedName>
    <definedName name="OSRRefH22_8x_0" localSheetId="54">'308'!$H$100:$H$101</definedName>
    <definedName name="OSRRefH22_8x_0" localSheetId="67">'309'!$H$51</definedName>
    <definedName name="OSRRefH22_8x_0" localSheetId="66">'310'!$H$61</definedName>
    <definedName name="OSRRefH22_8x_0" localSheetId="74">'310 &amp; 491'!$H$71</definedName>
    <definedName name="OSRRefH22_8x_0" localSheetId="55">'311'!$H$99:$H$100</definedName>
    <definedName name="OSRRefH22_8x_0" localSheetId="68">'313'!$H$57:$H$59</definedName>
    <definedName name="OSRRefH22_8x_0" localSheetId="58">'314'!$H$84</definedName>
    <definedName name="OSRRefH22_8x_0" localSheetId="60">'315'!$H$115</definedName>
    <definedName name="OSRRefH22_8x_0" localSheetId="62">'316'!$H$64:$H$66</definedName>
    <definedName name="OSRRefH22_8x_0" localSheetId="65">'317'!$H$90:$H$91</definedName>
    <definedName name="OSRRefH22_8x_0" localSheetId="63">'320'!$H$57</definedName>
    <definedName name="OSRRefH22_8x_0" localSheetId="69">'321'!$H$53</definedName>
    <definedName name="OSRRefH22_8x_0" localSheetId="70">'322'!$H$51:$H$52</definedName>
    <definedName name="OSRRefH22_8x_0" localSheetId="71">'325'!$H$52</definedName>
    <definedName name="OSRRefH22_8x_0" localSheetId="56">'326'!$H$92</definedName>
    <definedName name="OSRRefH22_8x_0" localSheetId="52">'330'!$H$114:$H$115</definedName>
    <definedName name="OSRRefH22_8x_0" localSheetId="59">'331'!$H$123</definedName>
    <definedName name="OSRRefH22_8x_0" localSheetId="61">'332'!$H$73</definedName>
    <definedName name="OSRRefH22_8x_0" localSheetId="76">'405'!$H$51</definedName>
    <definedName name="OSRRefH22_8x_0" localSheetId="77">'406'!$H$52</definedName>
    <definedName name="OSRRefH22_8x_0" localSheetId="78">'411'!$H$51</definedName>
    <definedName name="OSRRefH22_8x_0" localSheetId="79">'412'!$H$52</definedName>
    <definedName name="OSRRefH22_8x_0" localSheetId="80">'413'!$H$53:$H$55</definedName>
    <definedName name="OSRRefH22_8x_0" localSheetId="81">'414'!$H$52</definedName>
    <definedName name="OSRRefH22_8x_0" localSheetId="82">'415'!$H$53</definedName>
    <definedName name="OSRRefH22_8x_0" localSheetId="83">'418'!$H$53</definedName>
    <definedName name="OSRRefH22_8x_0" localSheetId="86">'424'!$H$45:$H$46</definedName>
    <definedName name="OSRRefH22_8x_0" localSheetId="87">'425'!$H$56</definedName>
    <definedName name="OSRRefH22_8x_0" localSheetId="91">'433'!$H$55</definedName>
    <definedName name="OSRRefH22_8x_0" localSheetId="92">'435'!$H$47</definedName>
    <definedName name="OSRRefH22_8x_0" localSheetId="93">'444'!$H$54</definedName>
    <definedName name="OSRRefH22_8x_0" localSheetId="94">'450'!$H$54</definedName>
    <definedName name="OSRRefH22_8x_0" localSheetId="75">'491'!$H$64</definedName>
    <definedName name="OSRRefH22_8x_0" localSheetId="89">'492'!$H$58</definedName>
    <definedName name="OSRRefH22_8x_0" localSheetId="96">'501'!$H$50</definedName>
    <definedName name="OSRRefH22_8x_0" localSheetId="39">'Div 2'!$H$52</definedName>
    <definedName name="OSRRefH22_8x_0" localSheetId="47">'Div 3'!$H$210</definedName>
    <definedName name="OSRRefH22_8x_0" localSheetId="73">'Div 4'!$H$65</definedName>
    <definedName name="OSRRefH22_8x_0" localSheetId="95">'Div 5'!$H$50</definedName>
    <definedName name="OSRRefH22_8x_0" localSheetId="64">'Div 6'!$H$90:$H$91</definedName>
    <definedName name="OSRRefH22_8x_0" localSheetId="2">Summary!$H$245</definedName>
    <definedName name="OSRRefH22_9x_0" localSheetId="41">'201'!$H$47:$H$49</definedName>
    <definedName name="OSRRefH22_9x_0" localSheetId="42">'202'!$H$50:$H$52</definedName>
    <definedName name="OSRRefH22_9x_0" localSheetId="43">'203'!$H$51:$H$53</definedName>
    <definedName name="OSRRefH22_9x_0" localSheetId="44">'204'!$H$54</definedName>
    <definedName name="OSRRefH22_9x_0" localSheetId="48">'300'!$H$207</definedName>
    <definedName name="OSRRefH22_9x_0" localSheetId="49">'300 &amp; 317'!$H$233</definedName>
    <definedName name="OSRRefH22_9x_0" localSheetId="50">'301'!$H$58</definedName>
    <definedName name="OSRRefH22_9x_0" localSheetId="51">'306'!$H$54</definedName>
    <definedName name="OSRRefH22_9x_0" localSheetId="53">'307'!$H$109:$H$112</definedName>
    <definedName name="OSRRefH22_9x_0" localSheetId="54">'308'!$H$103:$H$104</definedName>
    <definedName name="OSRRefH22_9x_0" localSheetId="67">'309'!$H$53:$H$54</definedName>
    <definedName name="OSRRefH22_9x_0" localSheetId="66">'310'!$H$63</definedName>
    <definedName name="OSRRefH22_9x_0" localSheetId="74">'310 &amp; 491'!$H$73</definedName>
    <definedName name="OSRRefH22_9x_0" localSheetId="55">'311'!$H$102:$H$103</definedName>
    <definedName name="OSRRefH22_9x_0" localSheetId="68">'313'!$H$61</definedName>
    <definedName name="OSRRefH22_9x_0" localSheetId="60">'315'!$H$117:$H$118</definedName>
    <definedName name="OSRRefH22_9x_0" localSheetId="62">'316'!$H$68</definedName>
    <definedName name="OSRRefH22_9x_0" localSheetId="65">'317'!$H$93:$H$94</definedName>
    <definedName name="OSRRefH22_9x_0" localSheetId="69">'321'!$H$55:$H$57</definedName>
    <definedName name="OSRRefH22_9x_0" localSheetId="70">'322'!$H$54:$H$56</definedName>
    <definedName name="OSRRefH22_9x_0" localSheetId="71">'325'!$H$54</definedName>
    <definedName name="OSRRefH22_9x_0" localSheetId="56">'326'!$H$94</definedName>
    <definedName name="OSRRefH22_9x_0" localSheetId="52">'330'!$H$117:$H$118</definedName>
    <definedName name="OSRRefH22_9x_0" localSheetId="59">'331'!$H$125</definedName>
    <definedName name="OSRRefH22_9x_0" localSheetId="61">'332'!$H$75:$H$77</definedName>
    <definedName name="OSRRefH22_9x_0" localSheetId="76">'405'!$H$53</definedName>
    <definedName name="OSRRefH22_9x_0" localSheetId="77">'406'!$H$54:$H$56</definedName>
    <definedName name="OSRRefH22_9x_0" localSheetId="78">'411'!$H$53</definedName>
    <definedName name="OSRRefH22_9x_0" localSheetId="79">'412'!$H$54:$H$56</definedName>
    <definedName name="OSRRefH22_9x_0" localSheetId="80">'413'!$H$57:$H$62</definedName>
    <definedName name="OSRRefH22_9x_0" localSheetId="81">'414'!$H$54:$H$55</definedName>
    <definedName name="OSRRefH22_9x_0" localSheetId="82">'415'!$H$55</definedName>
    <definedName name="OSRRefH22_9x_0" localSheetId="83">'418'!$H$55</definedName>
    <definedName name="OSRRefH22_9x_0" localSheetId="86">'424'!$H$48</definedName>
    <definedName name="OSRRefH22_9x_0" localSheetId="87">'425'!$H$58:$H$60</definedName>
    <definedName name="OSRRefH22_9x_0" localSheetId="91">'433'!$H$57</definedName>
    <definedName name="OSRRefH22_9x_0" localSheetId="93">'444'!$H$56</definedName>
    <definedName name="OSRRefH22_9x_0" localSheetId="94">'450'!$H$56</definedName>
    <definedName name="OSRRefH22_9x_0" localSheetId="75">'491'!$H$66</definedName>
    <definedName name="OSRRefH22_9x_0" localSheetId="89">'492'!$H$60</definedName>
    <definedName name="OSRRefH22_9x_0" localSheetId="96">'501'!$H$52:$H$54</definedName>
    <definedName name="OSRRefH22_9x_0" localSheetId="39">'Div 2'!$H$54:$H$55</definedName>
    <definedName name="OSRRefH22_9x_0" localSheetId="47">'Div 3'!$H$212</definedName>
    <definedName name="OSRRefH22_9x_0" localSheetId="73">'Div 4'!$H$67</definedName>
    <definedName name="OSRRefH22_9x_0" localSheetId="95">'Div 5'!$H$52:$H$54</definedName>
    <definedName name="OSRRefH22_9x_0" localSheetId="64">'Div 6'!$H$93:$H$94</definedName>
    <definedName name="OSRRefH22_9x_0" localSheetId="2">Summary!$H$247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'202'!$H$20:$H$27,'202'!$H$29:$H$33,'202'!$H$35,'202'!$H$37,'202'!$H$39,'202'!$H$41,'202'!$H$43:$H$44,'202'!$H$46,'202'!$H$48,'202'!$H$50:$H$52,'202'!$H$54,'202'!$H$56,'202'!$H$58:$H$60,'202'!$H$62,'202'!$H$64,'202'!$H$66</definedName>
    <definedName name="OSRRefH22x_0" localSheetId="43">'203'!$H$20:$H$29,'203'!$H$31:$H$35,'203'!$H$37,'203'!$H$39,'203'!$H$41,'203'!$H$43,'203'!$H$45,'203'!$H$47,'203'!$H$49,'203'!$H$51:$H$53,'203'!$H$55:$H$56,'203'!$H$58,'203'!$H$60:$H$63,'203'!$H$65,'203'!$H$67,'203'!$H$69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'205'!$H$20:$H$27,'205'!$H$29,'205'!$H$31,'205'!$H$33,'205'!$H$35:$H$37,'205'!$H$39,'205'!$H$41:$H$43,'205'!$H$45,'205'!$H$47</definedName>
    <definedName name="OSRRefH22x_0" localSheetId="46">'206'!$H$20:$H$27,'206'!$H$29:$H$32,'206'!$H$34,'206'!$H$36,'206'!$H$38,'206'!$H$40,'206'!$H$42:$H$43,'206'!$H$45,'206'!$H$47</definedName>
    <definedName name="OSRRefH22x_0" localSheetId="48">'300'!$H$170:$H$179,'300'!$H$181:$H$187,'300'!$H$189,'300'!$H$191:$H$192,'300'!$H$194,'300'!$H$196:$H$198,'300'!$H$200:$H$201,'300'!$H$203,'300'!$H$205,'300'!$H$207,'300'!$H$209:$H$210,'300'!$H$212,'300'!$H$214,'300'!$H$216:$H$218,'300'!$H$220,'300'!$H$222,'300'!$H$224:$H$227,'300'!$H$229:$H$231,'300'!$H$233:$H$236,'300'!$H$238:$H$239,'300'!$H$241:$H$248,'300'!$H$250:$H$251,'300'!$H$253,'300'!$H$255:$H$257,'300'!$H$259</definedName>
    <definedName name="OSRRefH22x_0" localSheetId="49">'300 &amp; 317'!$H$196:$H$205,'300 &amp; 317'!$H$207:$H$213,'300 &amp; 317'!$H$215,'300 &amp; 317'!$H$217:$H$218,'300 &amp; 317'!$H$220,'300 &amp; 317'!$H$222:$H$224,'300 &amp; 317'!$H$226:$H$227,'300 &amp; 317'!$H$229,'300 &amp; 317'!$H$231,'300 &amp; 317'!$H$233,'300 &amp; 317'!$H$235:$H$236,'300 &amp; 317'!$H$238,'300 &amp; 317'!$H$240,'300 &amp; 317'!$H$242:$H$244,'300 &amp; 317'!$H$246,'300 &amp; 317'!$H$248,'300 &amp; 317'!$H$250:$H$253,'300 &amp; 317'!$H$255:$H$257,'300 &amp; 317'!$H$259:$H$262,'300 &amp; 317'!$H$264:$H$265,'300 &amp; 317'!$H$267:$H$274,'300 &amp; 317'!$H$276:$H$277,'300 &amp; 317'!$H$279,'300 &amp; 317'!$H$281:$H$283,'300 &amp; 317'!$H$285</definedName>
    <definedName name="OSRRefH22x_0" localSheetId="50">'301'!$H$21:$H$30,'301'!$H$32:$H$38,'301'!$H$40,'301'!$H$42:$H$43,'301'!$H$45,'301'!$H$47:$H$49,'301'!$H$51:$H$52,'301'!$H$54,'301'!$H$56,'301'!$H$58,'301'!$H$60,'301'!$H$62,'301'!$H$64,'301'!$H$66,'301'!$H$68,'301'!$H$70:$H$73,'301'!$H$75:$H$77,'301'!$H$79:$H$80,'301'!$H$82:$H$88,'301'!$H$90,'301'!$H$92,'301'!$H$94:$H$96,'301'!$H$98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'307'!$H$78:$H$85,'307'!$H$87:$H$90,'307'!$H$92,'307'!$H$94,'307'!$H$96:$H$97,'307'!$H$99,'307'!$H$101,'307'!$H$103:$H$104,'307'!$H$106:$H$107,'307'!$H$109:$H$112,'307'!$H$114,'307'!$H$116</definedName>
    <definedName name="OSRRefH22x_0" localSheetId="54">'308'!$H$68:$H$76,'308'!$H$78:$H$84,'308'!$H$86,'308'!$H$88:$H$89,'308'!$H$91,'308'!$H$93,'308'!$H$95:$H$96,'308'!$H$98,'308'!$H$100:$H$101,'308'!$H$103:$H$104,'308'!$H$106:$H$107,'308'!$H$109:$H$111,'308'!$H$113:$H$114,'308'!$H$116,'308'!$H$118</definedName>
    <definedName name="OSRRefH22x_0" localSheetId="67">'309'!$H$24:$H$31,'309'!$H$33:$H$37,'309'!$H$39,'309'!$H$41,'309'!$H$43,'309'!$H$45,'309'!$H$47,'309'!$H$49,'309'!$H$51,'309'!$H$53:$H$54,'309'!$H$56:$H$58,'309'!$H$60:$H$62,'309'!$H$64</definedName>
    <definedName name="OSRRefH22x_0" localSheetId="66">'310'!$H$32:$H$39,'310'!$H$41:$H$46,'310'!$H$48,'310'!$H$50,'310'!$H$52,'310'!$H$54:$H$55,'310'!$H$57,'310'!$H$59,'310'!$H$61,'310'!$H$63,'310'!$H$65,'310'!$H$67,'310'!$H$69,'310'!$H$71,'310'!$H$73:$H$75,'310'!$H$77,'310'!$H$79:$H$82,'310'!$H$84,'310'!$H$86:$H$94,'310'!$H$96,'310'!$H$98,'310'!$H$100,'310'!$H$102</definedName>
    <definedName name="OSRRefH22x_0" localSheetId="74">'310 &amp; 491'!$H$39:$H$47,'310 &amp; 491'!$H$49:$H$55,'310 &amp; 491'!$H$57,'310 &amp; 491'!$H$59,'310 &amp; 491'!$H$61,'310 &amp; 491'!$H$63:$H$65,'310 &amp; 491'!$H$67,'310 &amp; 491'!$H$69,'310 &amp; 491'!$H$71,'310 &amp; 491'!$H$73,'310 &amp; 491'!$H$75:$H$76,'310 &amp; 491'!$H$78:$H$79,'310 &amp; 491'!$H$81,'310 &amp; 491'!$H$83,'310 &amp; 491'!$H$85,'310 &amp; 491'!$H$87,'310 &amp; 491'!$H$89:$H$92,'310 &amp; 491'!$H$94:$H$95,'310 &amp; 491'!$H$97:$H$101,'310 &amp; 491'!$H$103:$H$104,'310 &amp; 491'!$H$106:$H$115,'310 &amp; 491'!$H$117,'310 &amp; 491'!$H$119,'310 &amp; 491'!$H$121:$H$123,'310 &amp; 491'!$H$125</definedName>
    <definedName name="OSRRefH22x_0" localSheetId="55">'311'!$H$67:$H$75,'311'!$H$77:$H$83,'311'!$H$85,'311'!$H$87:$H$88,'311'!$H$90,'311'!$H$92,'311'!$H$94:$H$95,'311'!$H$97,'311'!$H$99:$H$100,'311'!$H$102:$H$103,'311'!$H$105:$H$106,'311'!$H$108:$H$110,'311'!$H$112:$H$113,'311'!$H$115,'311'!$H$117</definedName>
    <definedName name="OSRRefH22x_0" localSheetId="68">'313'!$H$29:$H$36,'313'!$H$38:$H$43,'313'!$H$45,'313'!$H$47,'313'!$H$49,'313'!$H$51,'313'!$H$53,'313'!$H$55,'313'!$H$57:$H$59,'313'!$H$61,'313'!$H$63:$H$68,'313'!$H$70,'313'!$H$72</definedName>
    <definedName name="OSRRefH22x_0" localSheetId="58">'314'!$H$56:$H$64,'314'!$H$66:$H$68,'314'!$H$70,'314'!$H$72:$H$73,'314'!$H$75,'314'!$H$77,'314'!$H$79:$H$80,'314'!$H$82,'314'!$H$84</definedName>
    <definedName name="OSRRefH22x_0" localSheetId="60">'315'!$H$84:$H$91,'315'!$H$93:$H$98,'315'!$H$100,'315'!$H$102:$H$103,'315'!$H$105,'315'!$H$107:$H$108,'315'!$H$110:$H$111,'315'!$H$113,'315'!$H$115,'315'!$H$117:$H$118,'315'!$H$120:$H$121,'315'!$H$123:$H$127,'315'!$H$129,'315'!$H$131,'315'!$H$133:$H$134</definedName>
    <definedName name="OSRRefH22x_0" localSheetId="62">'316'!$H$37:$H$44,'316'!$H$46:$H$49,'316'!$H$51,'316'!$H$53,'316'!$H$55,'316'!$H$57,'316'!$H$59:$H$60,'316'!$H$62,'316'!$H$64:$H$66,'316'!$H$68,'316'!$H$70,'316'!$H$72:$H$77,'316'!$H$79,'316'!$H$81,'316'!$H$83</definedName>
    <definedName name="OSRRefH22x_0" localSheetId="65">'317'!$H$61:$H$69,'317'!$H$71:$H$75,'317'!$H$77,'317'!$H$79,'317'!$H$81,'317'!$H$83:$H$84,'317'!$H$86,'317'!$H$88,'317'!$H$90:$H$91,'317'!$H$93:$H$94,'317'!$H$96:$H$100,'317'!$H$102,'317'!$H$104,'317'!$H$106</definedName>
    <definedName name="OSRRefH22x_0" localSheetId="63">'320'!$H$29:$H$35,'320'!$H$37:$H$41,'320'!$H$43,'320'!$H$45,'320'!$H$47:$H$48,'320'!$H$50,'320'!$H$52,'320'!$H$54:$H$55,'320'!$H$57</definedName>
    <definedName name="OSRRefH22x_0" localSheetId="69">'321'!$H$24:$H$31,'321'!$H$33:$H$37,'321'!$H$39,'321'!$H$41,'321'!$H$43,'321'!$H$45,'321'!$H$47,'321'!$H$49:$H$51,'321'!$H$53,'321'!$H$55:$H$57,'321'!$H$59:$H$63,'321'!$H$65,'321'!$H$67</definedName>
    <definedName name="OSRRefH22x_0" localSheetId="70">'322'!$H$24:$H$31,'322'!$H$33:$H$37,'322'!$H$39,'322'!$H$41,'322'!$H$43,'322'!$H$45,'322'!$H$47,'322'!$H$49,'322'!$H$51:$H$52,'322'!$H$54:$H$56,'322'!$H$58:$H$64,'322'!$H$66,'322'!$H$68,'322'!$H$70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'325'!$H$24:$H$31,'325'!$H$33:$H$37,'325'!$H$39,'325'!$H$41,'325'!$H$43,'325'!$H$45:$H$46,'325'!$H$48,'325'!$H$50,'325'!$H$52,'325'!$H$54,'325'!$H$56,'325'!$H$58:$H$60,'325'!$H$62:$H$64,'325'!$H$66,'325'!$H$68:$H$72,'325'!$H$74,'325'!$H$76,'325'!$H$78</definedName>
    <definedName name="OSRRefH22x_0" localSheetId="56">'326'!$H$63:$H$70,'326'!$H$72:$H$77,'326'!$H$79,'326'!$H$81,'326'!$H$83,'326'!$H$85:$H$86,'326'!$H$88,'326'!$H$90,'326'!$H$92,'326'!$H$94,'326'!$H$96,'326'!$H$98,'326'!$H$100:$H$102,'326'!$H$104:$H$106,'326'!$H$108:$H$109,'326'!$H$111:$H$116,'326'!$H$118,'326'!$H$120,'326'!$H$122,'326'!$H$124</definedName>
    <definedName name="OSRRefH22x_0" localSheetId="72">'327'!$H$23,'327'!$H$25,'327'!$H$27</definedName>
    <definedName name="OSRRefH22x_0" localSheetId="52">'330'!$H$85:$H$93,'330'!$H$95:$H$99,'330'!$H$101,'330'!$H$103,'330'!$H$105:$H$106,'330'!$H$108,'330'!$H$110,'330'!$H$112,'330'!$H$114:$H$115,'330'!$H$117:$H$118,'330'!$H$120,'330'!$H$122:$H$125,'330'!$H$127,'330'!$H$129,'330'!$H$131</definedName>
    <definedName name="OSRRefH22x_0" localSheetId="59">'331'!$H$93:$H$100,'331'!$H$102:$H$107,'331'!$H$109,'331'!$H$111,'331'!$H$113,'331'!$H$115:$H$116,'331'!$H$118,'331'!$H$120:$H$121,'331'!$H$123,'331'!$H$125,'331'!$H$127:$H$128,'331'!$H$130,'331'!$H$132,'331'!$H$134:$H$136,'331'!$H$138:$H$139,'331'!$H$141:$H$143,'331'!$H$145:$H$146,'331'!$H$148:$H$153,'331'!$H$155,'331'!$H$157,'331'!$H$159:$H$160,'331'!$H$162</definedName>
    <definedName name="OSRRefH22x_0" localSheetId="61">'332'!$H$45:$H$52,'332'!$H$54:$H$58,'332'!$H$60,'332'!$H$62,'332'!$H$64,'332'!$H$66,'332'!$H$68:$H$69,'332'!$H$71,'332'!$H$73,'332'!$H$75:$H$77,'332'!$H$79,'332'!$H$81,'332'!$H$83:$H$88,'332'!$H$90,'332'!$H$92,'332'!$H$94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'406'!$H$24:$H$31,'406'!$H$33:$H$38,'406'!$H$40,'406'!$H$42,'406'!$H$44,'406'!$H$46,'406'!$H$48,'406'!$H$50,'406'!$H$52,'406'!$H$54:$H$56,'406'!$H$58:$H$59,'406'!$H$61:$H$66,'406'!$H$68,'406'!$H$70,'406'!$H$72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79">'412'!$H$24:$H$31,'412'!$H$33:$H$38,'412'!$H$40,'412'!$H$42,'412'!$H$44,'412'!$H$46,'412'!$H$48,'412'!$H$50,'412'!$H$52,'412'!$H$54:$H$56,'412'!$H$58:$H$60,'412'!$H$62:$H$67,'412'!$H$69,'412'!$H$71</definedName>
    <definedName name="OSRRefH22x_0" localSheetId="80">'413'!$H$24:$H$31,'413'!$H$33:$H$37,'413'!$H$39,'413'!$H$41,'413'!$H$43,'413'!$H$45,'413'!$H$47,'413'!$H$49:$H$51,'413'!$H$53:$H$55,'413'!$H$57:$H$62,'413'!$H$64,'413'!$H$66</definedName>
    <definedName name="OSRRefH22x_0" localSheetId="81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2">'415'!$H$24:$H$31,'415'!$H$33:$H$38,'415'!$H$40,'415'!$H$42,'415'!$H$44,'415'!$H$46:$H$47,'415'!$H$49,'415'!$H$51,'415'!$H$53,'415'!$H$55,'415'!$H$57,'415'!$H$59:$H$62,'415'!$H$64:$H$68,'415'!$H$70:$H$71,'415'!$H$73:$H$81,'415'!$H$83,'415'!$H$85,'415'!$H$87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4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'424'!$H$24:$H$25,'424'!$H$27:$H$31,'424'!$H$33,'424'!$H$35,'424'!$H$37,'424'!$H$39,'424'!$H$41,'424'!$H$43,'424'!$H$45:$H$46,'424'!$H$48,'424'!$H$50,'424'!$H$52:$H$56,'424'!$H$58</definedName>
    <definedName name="OSRRefH22x_0" localSheetId="87">'425'!$H$27:$H$35,'425'!$H$37:$H$42,'425'!$H$44,'425'!$H$46,'425'!$H$48,'425'!$H$50,'425'!$H$52,'425'!$H$54,'425'!$H$56,'425'!$H$58:$H$60,'425'!$H$62,'425'!$H$64:$H$66,'425'!$H$68:$H$74,'425'!$H$76,'425'!$H$78</definedName>
    <definedName name="OSRRefH22x_0" localSheetId="90">'430'!$H$20:$H$27,'430'!$H$29,'430'!$H$31,'430'!$H$33,'430'!$H$35:$H$36,'430'!$H$38,'430'!$H$40,'430'!$H$42</definedName>
    <definedName name="OSRRefH22x_0" localSheetId="91">'433'!$H$26:$H$34,'433'!$H$36:$H$41,'433'!$H$43,'433'!$H$45,'433'!$H$47,'433'!$H$49,'433'!$H$51,'433'!$H$53,'433'!$H$55,'433'!$H$57,'433'!$H$59,'433'!$H$61:$H$63,'433'!$H$65:$H$67,'433'!$H$69:$H$76,'433'!$H$78,'433'!$H$80,'433'!$H$82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'444'!$H$25:$H$33,'444'!$H$35:$H$40,'444'!$H$42,'444'!$H$44,'444'!$H$46,'444'!$H$48,'444'!$H$50,'444'!$H$52,'444'!$H$54,'444'!$H$56,'444'!$H$58,'444'!$H$60:$H$62,'444'!$H$64:$H$67,'444'!$H$69,'444'!$H$71:$H$79,'444'!$H$81,'444'!$H$83,'444'!$H$85:$H$86</definedName>
    <definedName name="OSRRefH22x_0" localSheetId="94">'450'!$H$25:$H$33,'450'!$H$35:$H$40,'450'!$H$42,'450'!$H$44,'450'!$H$46,'450'!$H$48,'450'!$H$50,'450'!$H$52,'450'!$H$54,'450'!$H$56,'450'!$H$58,'450'!$H$60,'450'!$H$62:$H$63,'450'!$H$65:$H$67,'450'!$H$69:$H$74,'450'!$H$76,'450'!$H$78,'450'!$H$80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,'491'!$H$66,'491'!$H$68,'491'!$H$70:$H$71,'491'!$H$73,'491'!$H$75,'491'!$H$77,'491'!$H$79,'491'!$H$81:$H$84,'491'!$H$86:$H$87,'491'!$H$89:$H$93,'491'!$H$95:$H$96,'491'!$H$98:$H$107,'491'!$H$109,'491'!$H$111,'491'!$H$113:$H$115,'491'!$H$117</definedName>
    <definedName name="OSRRefH22x_0" localSheetId="89">'492'!$H$28:$H$36,'492'!$H$38:$H$44,'492'!$H$46,'492'!$H$48,'492'!$H$50,'492'!$H$52,'492'!$H$54,'492'!$H$56,'492'!$H$58,'492'!$H$60,'492'!$H$62,'492'!$H$64,'492'!$H$66:$H$68,'492'!$H$70:$H$73,'492'!$H$75,'492'!$H$77:$H$85,'492'!$H$87,'492'!$H$89,'492'!$H$91:$H$92</definedName>
    <definedName name="OSRRefH22x_0" localSheetId="96">'501'!$H$21:$H$29,'501'!$H$31:$H$35,'501'!$H$37,'501'!$H$39,'501'!$H$41,'501'!$H$43:$H$44,'501'!$H$46,'501'!$H$48,'501'!$H$50,'501'!$H$52:$H$54,'501'!$H$56,'501'!$H$58:$H$60,'501'!$H$62,'501'!$H$64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3'!$H$175:$H$184,'Div 3'!$H$186:$H$192,'Div 3'!$H$194,'Div 3'!$H$196:$H$197,'Div 3'!$H$199,'Div 3'!$H$201:$H$203,'Div 3'!$H$205:$H$206,'Div 3'!$H$208,'Div 3'!$H$210,'Div 3'!$H$212,'Div 3'!$H$214:$H$215,'Div 3'!$H$217,'Div 3'!$H$219,'Div 3'!$H$221,'Div 3'!$H$223:$H$225,'Div 3'!$H$227,'Div 3'!$H$229,'Div 3'!$H$231:$H$234,'Div 3'!$H$236:$H$238,'Div 3'!$H$240:$H$244,'Div 3'!$H$246:$H$247,'Div 3'!$H$249:$H$257,'Div 3'!$H$259:$H$260,'Div 3'!$H$262,'Div 3'!$H$264:$H$266,'Div 3'!$H$268</definedName>
    <definedName name="OSRRefH22x_0" localSheetId="73">'Div 4'!$H$33:$H$41,'Div 4'!$H$43:$H$49,'Div 4'!$H$51,'Div 4'!$H$53,'Div 4'!$H$55,'Div 4'!$H$57:$H$59,'Div 4'!$H$61,'Div 4'!$H$63,'Div 4'!$H$65,'Div 4'!$H$67,'Div 4'!$H$69,'Div 4'!$H$71:$H$72,'Div 4'!$H$74,'Div 4'!$H$76,'Div 4'!$H$78,'Div 4'!$H$80,'Div 4'!$H$82,'Div 4'!$H$84:$H$87,'Div 4'!$H$89:$H$90,'Div 4'!$H$92:$H$96,'Div 4'!$H$98:$H$99,'Div 4'!$H$101:$H$110,'Div 4'!$H$112,'Div 4'!$H$114,'Div 4'!$H$116:$H$118,'Div 4'!$H$120</definedName>
    <definedName name="OSRRefH22x_0" localSheetId="95">'Div 5'!$H$21:$H$29,'Div 5'!$H$31:$H$35,'Div 5'!$H$37,'Div 5'!$H$39,'Div 5'!$H$41,'Div 5'!$H$43:$H$44,'Div 5'!$H$46,'Div 5'!$H$48,'Div 5'!$H$50,'Div 5'!$H$52:$H$54,'Div 5'!$H$56,'Div 5'!$H$58:$H$60,'Div 5'!$H$62,'Div 5'!$H$64</definedName>
    <definedName name="OSRRefH22x_0" localSheetId="64">'Div 6'!$H$61:$H$69,'Div 6'!$H$71:$H$75,'Div 6'!$H$77,'Div 6'!$H$79,'Div 6'!$H$81,'Div 6'!$H$83:$H$84,'Div 6'!$H$86,'Div 6'!$H$88,'Div 6'!$H$90:$H$91,'Div 6'!$H$93:$H$94,'Div 6'!$H$96:$H$100,'Div 6'!$H$102,'Div 6'!$H$104,'Div 6'!$H$106</definedName>
    <definedName name="OSRRefH22x_0" localSheetId="2">Summary!$H$209:$H$218,Summary!$H$220:$H$226,Summary!$H$228,Summary!$H$230:$H$231,Summary!$H$233,Summary!$H$235:$H$238,Summary!$H$240:$H$241,Summary!$H$243,Summary!$H$245,Summary!$H$247,Summary!$H$249:$H$250,Summary!$H$252:$H$253,Summary!$H$255,Summary!$H$257,Summary!$H$259:$H$261,Summary!$H$263,Summary!$H$265,Summary!$H$267,Summary!$H$269:$H$272,Summary!$H$274:$H$276,Summary!$H$278:$H$282,Summary!$H$284:$H$285,Summary!$H$287:$H$296,Summary!$H$298:$H$299,Summary!$H$301,Summary!$H$303:$H$305,Summary!$H$307</definedName>
    <definedName name="OSRRefH25x_0" localSheetId="48">'300'!$H$262:$H$270</definedName>
    <definedName name="OSRRefH25x_0" localSheetId="49">'300 &amp; 317'!$H$288:$H$299</definedName>
    <definedName name="OSRRefH25x_0" localSheetId="50">'301'!$H$101:$H$103</definedName>
    <definedName name="OSRRefH25x_0" localSheetId="53">'307'!$H$119</definedName>
    <definedName name="OSRRefH25x_0" localSheetId="54">'308'!$H$121:$H$123</definedName>
    <definedName name="OSRRefH25x_0" localSheetId="74">'310 &amp; 491'!$H$128:$H$130</definedName>
    <definedName name="OSRRefH25x_0" localSheetId="55">'311'!$H$120:$H$122</definedName>
    <definedName name="OSRRefH25x_0" localSheetId="60">'315'!$H$137:$H$139</definedName>
    <definedName name="OSRRefH25x_0" localSheetId="62">'316'!$H$86</definedName>
    <definedName name="OSRRefH25x_0" localSheetId="65">'317'!$H$109:$H$112</definedName>
    <definedName name="OSRRefH25x_0" localSheetId="63">'320'!$H$60:$H$64</definedName>
    <definedName name="OSRRefH25x_0" localSheetId="52">'330'!$H$134</definedName>
    <definedName name="OSRRefH25x_0" localSheetId="59">'331'!$H$165:$H$167</definedName>
    <definedName name="OSRRefH25x_0" localSheetId="61">'332'!$H$97:$H$102</definedName>
    <definedName name="OSRRefH25x_0" localSheetId="78">'411'!$H$94:$H$95</definedName>
    <definedName name="OSRRefH25x_0" localSheetId="80">'413'!$H$69</definedName>
    <definedName name="OSRRefH25x_0" localSheetId="82">'415'!$H$90</definedName>
    <definedName name="OSRRefH25x_0" localSheetId="83">'418'!$H$85</definedName>
    <definedName name="OSRRefH25x_0" localSheetId="85">'423'!$H$44</definedName>
    <definedName name="OSRRefH25x_0" localSheetId="86">'424'!$H$61</definedName>
    <definedName name="OSRRefH25x_0" localSheetId="87">'425'!$H$81</definedName>
    <definedName name="OSRRefH25x_0" localSheetId="88">'455'!$H$32:$H$34</definedName>
    <definedName name="OSRRefH25x_0" localSheetId="75">'491'!$H$120:$H$122</definedName>
    <definedName name="OSRRefH25x_0" localSheetId="96">'501'!$H$67</definedName>
    <definedName name="OSRRefH25x_0" localSheetId="47">'Div 3'!$H$271:$H$279</definedName>
    <definedName name="OSRRefH25x_0" localSheetId="73">'Div 4'!$H$123:$H$125</definedName>
    <definedName name="OSRRefH25x_0" localSheetId="95">'Div 5'!$H$67</definedName>
    <definedName name="OSRRefH25x_0" localSheetId="64">'Div 6'!$H$109:$H$112</definedName>
    <definedName name="OSRRefH25x_0" localSheetId="2">Summary!$H$310:$H$322</definedName>
    <definedName name="OSRRefP13x_0" localSheetId="48">'300'!$P$13:$P$111</definedName>
    <definedName name="OSRRefP13x_0" localSheetId="49">'300 &amp; 317'!$P$13:$P$129</definedName>
    <definedName name="OSRRefP13x_0" localSheetId="53">'307'!$P$13:$P$49</definedName>
    <definedName name="OSRRefP13x_0" localSheetId="54">'308'!$P$13:$P$43</definedName>
    <definedName name="OSRRefP13x_0" localSheetId="67">'309'!$P$13:$P$14</definedName>
    <definedName name="OSRRefP13x_0" localSheetId="66">'310'!$P$13:$P$22</definedName>
    <definedName name="OSRRefP13x_0" localSheetId="74">'310 &amp; 491'!$P$13:$P$29</definedName>
    <definedName name="OSRRefP13x_0" localSheetId="55">'311'!$P$13:$P$42</definedName>
    <definedName name="OSRRefP13x_0" localSheetId="68">'313'!$P$13:$P$19</definedName>
    <definedName name="OSRRefP13x_0" localSheetId="58">'314'!$P$13:$P$33</definedName>
    <definedName name="OSRRefP13x_0" localSheetId="60">'315'!$P$13:$P$51</definedName>
    <definedName name="OSRRefP13x_0" localSheetId="62">'316'!$P$13:$P$29</definedName>
    <definedName name="OSRRefP13x_0" localSheetId="65">'317'!$P$13:$P$37</definedName>
    <definedName name="OSRRefP13x_0" localSheetId="63">'320'!$P$13:$P$16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56">'326'!$P$13:$P$38</definedName>
    <definedName name="OSRRefP13x_0" localSheetId="72">'327'!$P$13</definedName>
    <definedName name="OSRRefP13x_0" localSheetId="52">'330'!$P$13:$P$53</definedName>
    <definedName name="OSRRefP13x_0" localSheetId="59">'331'!$P$13:$P$55</definedName>
    <definedName name="OSRRefP13x_0" localSheetId="61">'332'!$P$13:$P$32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'424'!$P$13:$P$14</definedName>
    <definedName name="OSRRefP13x_0" localSheetId="87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'491'!$P$13:$P$22</definedName>
    <definedName name="OSRRefP13x_0" localSheetId="89">'492'!$P$13:$P$18</definedName>
    <definedName name="OSRRefP13x_0" localSheetId="96">'501'!$P$13</definedName>
    <definedName name="OSRRefP13x_0" localSheetId="47">'Div 3'!$P$13:$P$114</definedName>
    <definedName name="OSRRefP13x_0" localSheetId="73">'Div 4'!$P$13:$P$23</definedName>
    <definedName name="OSRRefP13x_0" localSheetId="95">'Div 5'!$P$13</definedName>
    <definedName name="OSRRefP13x_0" localSheetId="64">'Div 6'!$P$13:$P$37</definedName>
    <definedName name="OSRRefP13x_0" localSheetId="2">Summary!$P$13:$P$140</definedName>
    <definedName name="OSRRefP16x_0" localSheetId="48">'300'!$P$114:$P$164</definedName>
    <definedName name="OSRRefP16x_0" localSheetId="49">'300 &amp; 317'!$P$132:$P$190</definedName>
    <definedName name="OSRRefP16x_0" localSheetId="50">'301'!$P$15</definedName>
    <definedName name="OSRRefP16x_0" localSheetId="53">'307'!$P$52:$P$72</definedName>
    <definedName name="OSRRefP16x_0" localSheetId="54">'308'!$P$46:$P$62</definedName>
    <definedName name="OSRRefP16x_0" localSheetId="67">'309'!$P$17:$P$18</definedName>
    <definedName name="OSRRefP16x_0" localSheetId="66">'310'!$P$25:$P$26</definedName>
    <definedName name="OSRRefP16x_0" localSheetId="74">'310 &amp; 491'!$P$32:$P$33</definedName>
    <definedName name="OSRRefP16x_0" localSheetId="55">'311'!$P$45:$P$61</definedName>
    <definedName name="OSRRefP16x_0" localSheetId="68">'313'!$P$22:$P$23</definedName>
    <definedName name="OSRRefP16x_0" localSheetId="58">'314'!$P$36:$P$50</definedName>
    <definedName name="OSRRefP16x_0" localSheetId="60">'315'!$P$54:$P$78</definedName>
    <definedName name="OSRRefP16x_0" localSheetId="65">'317'!$P$40:$P$55</definedName>
    <definedName name="OSRRefP16x_0" localSheetId="63">'320'!$P$19:$P$23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56">'326'!$P$41:$P$57</definedName>
    <definedName name="OSRRefP16x_0" localSheetId="72">'327'!$P$16:$P$17</definedName>
    <definedName name="OSRRefP16x_0" localSheetId="52">'330'!$P$56:$P$79</definedName>
    <definedName name="OSRRefP16x_0" localSheetId="59">'331'!$P$58:$P$87</definedName>
    <definedName name="OSRRefP16x_0" localSheetId="61">'332'!$P$35:$P$39</definedName>
    <definedName name="OSRRefP16x_0" localSheetId="76">'405'!$P$17:$P$18</definedName>
    <definedName name="OSRRefP16x_0" localSheetId="77">'406'!$P$17:$P$18</definedName>
    <definedName name="OSRRefP16x_0" localSheetId="79">'412'!$P$17:$P$18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'420'!$P$17:$P$18</definedName>
    <definedName name="OSRRefP16x_0" localSheetId="85">'423'!$P$15</definedName>
    <definedName name="OSRRefP16x_0" localSheetId="86">'424'!$P$17:$P$18</definedName>
    <definedName name="OSRRefP16x_0" localSheetId="87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'491'!$P$25:$P$26</definedName>
    <definedName name="OSRRefP16x_0" localSheetId="89">'492'!$P$21:$P$22</definedName>
    <definedName name="OSRRefP16x_0" localSheetId="47">'Div 3'!$P$117:$P$169</definedName>
    <definedName name="OSRRefP16x_0" localSheetId="73">'Div 4'!$P$26:$P$27</definedName>
    <definedName name="OSRRefP16x_0" localSheetId="64">'Div 6'!$P$40:$P$55</definedName>
    <definedName name="OSRRefP16x_0" localSheetId="2">Summary!$P$143:$P$203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'300'!$P$170:$P$179</definedName>
    <definedName name="OSRRefP22_0x_0" localSheetId="49">'300 &amp; 317'!$P$196:$P$205</definedName>
    <definedName name="OSRRefP22_0x_0" localSheetId="50">'301'!$P$21:$P$30</definedName>
    <definedName name="OSRRefP22_0x_0" localSheetId="51">'306'!$P$20:$P$28</definedName>
    <definedName name="OSRRefP22_0x_0" localSheetId="53">'307'!$P$78:$P$85</definedName>
    <definedName name="OSRRefP22_0x_0" localSheetId="54">'308'!$P$68:$P$76</definedName>
    <definedName name="OSRRefP22_0x_0" localSheetId="67">'309'!$P$24:$P$31</definedName>
    <definedName name="OSRRefP22_0x_0" localSheetId="66">'310'!$P$32:$P$39</definedName>
    <definedName name="OSRRefP22_0x_0" localSheetId="74">'310 &amp; 491'!$P$39:$P$47</definedName>
    <definedName name="OSRRefP22_0x_0" localSheetId="55">'311'!$P$67:$P$75</definedName>
    <definedName name="OSRRefP22_0x_0" localSheetId="68">'313'!$P$29:$P$36</definedName>
    <definedName name="OSRRefP22_0x_0" localSheetId="58">'314'!$P$56:$P$64</definedName>
    <definedName name="OSRRefP22_0x_0" localSheetId="60">'315'!$P$84:$P$91</definedName>
    <definedName name="OSRRefP22_0x_0" localSheetId="62">'316'!$P$37:$P$44</definedName>
    <definedName name="OSRRefP22_0x_0" localSheetId="65">'317'!$P$61:$P$69</definedName>
    <definedName name="OSRRefP22_0x_0" localSheetId="63">'320'!$P$29:$P$35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56">'326'!$P$63:$P$70</definedName>
    <definedName name="OSRRefP22_0x_0" localSheetId="72">'327'!$P$23</definedName>
    <definedName name="OSRRefP22_0x_0" localSheetId="52">'330'!$P$85:$P$93</definedName>
    <definedName name="OSRRefP22_0x_0" localSheetId="59">'331'!$P$93:$P$100</definedName>
    <definedName name="OSRRefP22_0x_0" localSheetId="61">'332'!$P$45:$P$52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'412'!$P$24:$P$31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'420'!$P$24:$P$31</definedName>
    <definedName name="OSRRefP22_0x_0" localSheetId="85">'423'!$P$21:$P$28</definedName>
    <definedName name="OSRRefP22_0x_0" localSheetId="86">'424'!$P$24:$P$25</definedName>
    <definedName name="OSRRefP22_0x_0" localSheetId="87">'425'!$P$27:$P$35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'491'!$P$32:$P$40</definedName>
    <definedName name="OSRRefP22_0x_0" localSheetId="89">'492'!$P$28:$P$36</definedName>
    <definedName name="OSRRefP22_0x_0" localSheetId="96">'501'!$P$21:$P$29</definedName>
    <definedName name="OSRRefP22_0x_0" localSheetId="39">'Div 2'!$P$20:$P$30</definedName>
    <definedName name="OSRRefP22_0x_0" localSheetId="47">'Div 3'!$P$175:$P$184</definedName>
    <definedName name="OSRRefP22_0x_0" localSheetId="73">'Div 4'!$P$33:$P$41</definedName>
    <definedName name="OSRRefP22_0x_0" localSheetId="95">'Div 5'!$P$21:$P$29</definedName>
    <definedName name="OSRRefP22_0x_0" localSheetId="64">'Div 6'!$P$61:$P$69</definedName>
    <definedName name="OSRRefP22_0x_0" localSheetId="2">Summary!$P$209:$P$218</definedName>
    <definedName name="OSRRefP22_10x_0" localSheetId="41">'201'!$P$51:$P$53</definedName>
    <definedName name="OSRRefP22_10x_0" localSheetId="42">'202'!$P$54</definedName>
    <definedName name="OSRRefP22_10x_0" localSheetId="43">'203'!$P$55:$P$56</definedName>
    <definedName name="OSRRefP22_10x_0" localSheetId="44">'204'!$P$56:$P$57</definedName>
    <definedName name="OSRRefP22_10x_0" localSheetId="48">'300'!$P$209:$P$210</definedName>
    <definedName name="OSRRefP22_10x_0" localSheetId="49">'300 &amp; 317'!$P$235:$P$236</definedName>
    <definedName name="OSRRefP22_10x_0" localSheetId="50">'301'!$P$60</definedName>
    <definedName name="OSRRefP22_10x_0" localSheetId="53">'307'!$P$114</definedName>
    <definedName name="OSRRefP22_10x_0" localSheetId="54">'308'!$P$106:$P$107</definedName>
    <definedName name="OSRRefP22_10x_0" localSheetId="67">'309'!$P$56:$P$58</definedName>
    <definedName name="OSRRefP22_10x_0" localSheetId="66">'310'!$P$65</definedName>
    <definedName name="OSRRefP22_10x_0" localSheetId="74">'310 &amp; 491'!$P$75:$P$76</definedName>
    <definedName name="OSRRefP22_10x_0" localSheetId="55">'311'!$P$105:$P$106</definedName>
    <definedName name="OSRRefP22_10x_0" localSheetId="68">'313'!$P$63:$P$68</definedName>
    <definedName name="OSRRefP22_10x_0" localSheetId="60">'315'!$P$120:$P$121</definedName>
    <definedName name="OSRRefP22_10x_0" localSheetId="62">'316'!$P$70</definedName>
    <definedName name="OSRRefP22_10x_0" localSheetId="65">'317'!$P$96:$P$100</definedName>
    <definedName name="OSRRefP22_10x_0" localSheetId="69">'321'!$P$59:$P$63</definedName>
    <definedName name="OSRRefP22_10x_0" localSheetId="70">'322'!$P$58:$P$64</definedName>
    <definedName name="OSRRefP22_10x_0" localSheetId="71">'325'!$P$56</definedName>
    <definedName name="OSRRefP22_10x_0" localSheetId="56">'326'!$P$96</definedName>
    <definedName name="OSRRefP22_10x_0" localSheetId="52">'330'!$P$120</definedName>
    <definedName name="OSRRefP22_10x_0" localSheetId="59">'331'!$P$127:$P$128</definedName>
    <definedName name="OSRRefP22_10x_0" localSheetId="61">'332'!$P$79</definedName>
    <definedName name="OSRRefP22_10x_0" localSheetId="76">'405'!$P$55:$P$56</definedName>
    <definedName name="OSRRefP22_10x_0" localSheetId="77">'406'!$P$58:$P$59</definedName>
    <definedName name="OSRRefP22_10x_0" localSheetId="78">'411'!$P$55</definedName>
    <definedName name="OSRRefP22_10x_0" localSheetId="79">'412'!$P$58:$P$60</definedName>
    <definedName name="OSRRefP22_10x_0" localSheetId="80">'413'!$P$64</definedName>
    <definedName name="OSRRefP22_10x_0" localSheetId="81">'414'!$P$57</definedName>
    <definedName name="OSRRefP22_10x_0" localSheetId="82">'415'!$P$57</definedName>
    <definedName name="OSRRefP22_10x_0" localSheetId="83">'418'!$P$57:$P$58</definedName>
    <definedName name="OSRRefP22_10x_0" localSheetId="86">'424'!$P$50</definedName>
    <definedName name="OSRRefP22_10x_0" localSheetId="87">'425'!$P$62</definedName>
    <definedName name="OSRRefP22_10x_0" localSheetId="91">'433'!$P$59</definedName>
    <definedName name="OSRRefP22_10x_0" localSheetId="93">'444'!$P$58</definedName>
    <definedName name="OSRRefP22_10x_0" localSheetId="94">'450'!$P$58</definedName>
    <definedName name="OSRRefP22_10x_0" localSheetId="75">'491'!$P$68</definedName>
    <definedName name="OSRRefP22_10x_0" localSheetId="89">'492'!$P$62</definedName>
    <definedName name="OSRRefP22_10x_0" localSheetId="96">'501'!$P$56</definedName>
    <definedName name="OSRRefP22_10x_0" localSheetId="39">'Div 2'!$P$57</definedName>
    <definedName name="OSRRefP22_10x_0" localSheetId="47">'Div 3'!$P$214:$P$215</definedName>
    <definedName name="OSRRefP22_10x_0" localSheetId="73">'Div 4'!$P$69</definedName>
    <definedName name="OSRRefP22_10x_0" localSheetId="95">'Div 5'!$P$56</definedName>
    <definedName name="OSRRefP22_10x_0" localSheetId="64">'Div 6'!$P$96:$P$100</definedName>
    <definedName name="OSRRefP22_10x_0" localSheetId="2">Summary!$P$249:$P$250</definedName>
    <definedName name="OSRRefP22_11x_0" localSheetId="41">'201'!$P$55</definedName>
    <definedName name="OSRRefP22_11x_0" localSheetId="42">'202'!$P$56</definedName>
    <definedName name="OSRRefP22_11x_0" localSheetId="43">'203'!$P$58</definedName>
    <definedName name="OSRRefP22_11x_0" localSheetId="48">'300'!$P$212</definedName>
    <definedName name="OSRRefP22_11x_0" localSheetId="49">'300 &amp; 317'!$P$238</definedName>
    <definedName name="OSRRefP22_11x_0" localSheetId="50">'301'!$P$62</definedName>
    <definedName name="OSRRefP22_11x_0" localSheetId="53">'307'!$P$116</definedName>
    <definedName name="OSRRefP22_11x_0" localSheetId="54">'308'!$P$109:$P$111</definedName>
    <definedName name="OSRRefP22_11x_0" localSheetId="67">'309'!$P$60:$P$62</definedName>
    <definedName name="OSRRefP22_11x_0" localSheetId="66">'310'!$P$67</definedName>
    <definedName name="OSRRefP22_11x_0" localSheetId="74">'310 &amp; 491'!$P$78:$P$79</definedName>
    <definedName name="OSRRefP22_11x_0" localSheetId="55">'311'!$P$108:$P$110</definedName>
    <definedName name="OSRRefP22_11x_0" localSheetId="68">'313'!$P$70</definedName>
    <definedName name="OSRRefP22_11x_0" localSheetId="60">'315'!$P$123:$P$127</definedName>
    <definedName name="OSRRefP22_11x_0" localSheetId="62">'316'!$P$72:$P$77</definedName>
    <definedName name="OSRRefP22_11x_0" localSheetId="65">'317'!$P$102</definedName>
    <definedName name="OSRRefP22_11x_0" localSheetId="69">'321'!$P$65</definedName>
    <definedName name="OSRRefP22_11x_0" localSheetId="70">'322'!$P$66</definedName>
    <definedName name="OSRRefP22_11x_0" localSheetId="71">'325'!$P$58:$P$60</definedName>
    <definedName name="OSRRefP22_11x_0" localSheetId="56">'326'!$P$98</definedName>
    <definedName name="OSRRefP22_11x_0" localSheetId="52">'330'!$P$122:$P$125</definedName>
    <definedName name="OSRRefP22_11x_0" localSheetId="59">'331'!$P$130</definedName>
    <definedName name="OSRRefP22_11x_0" localSheetId="61">'332'!$P$81</definedName>
    <definedName name="OSRRefP22_11x_0" localSheetId="76">'405'!$P$58</definedName>
    <definedName name="OSRRefP22_11x_0" localSheetId="77">'406'!$P$61:$P$66</definedName>
    <definedName name="OSRRefP22_11x_0" localSheetId="78">'411'!$P$57</definedName>
    <definedName name="OSRRefP22_11x_0" localSheetId="79">'412'!$P$62:$P$67</definedName>
    <definedName name="OSRRefP22_11x_0" localSheetId="80">'413'!$P$66</definedName>
    <definedName name="OSRRefP22_11x_0" localSheetId="81">'414'!$P$59</definedName>
    <definedName name="OSRRefP22_11x_0" localSheetId="82">'415'!$P$59:$P$62</definedName>
    <definedName name="OSRRefP22_11x_0" localSheetId="83">'418'!$P$60:$P$62</definedName>
    <definedName name="OSRRefP22_11x_0" localSheetId="86">'424'!$P$52:$P$56</definedName>
    <definedName name="OSRRefP22_11x_0" localSheetId="87">'425'!$P$64:$P$66</definedName>
    <definedName name="OSRRefP22_11x_0" localSheetId="91">'433'!$P$61:$P$63</definedName>
    <definedName name="OSRRefP22_11x_0" localSheetId="93">'444'!$P$60:$P$62</definedName>
    <definedName name="OSRRefP22_11x_0" localSheetId="94">'450'!$P$60</definedName>
    <definedName name="OSRRefP22_11x_0" localSheetId="75">'491'!$P$70:$P$71</definedName>
    <definedName name="OSRRefP22_11x_0" localSheetId="89">'492'!$P$64</definedName>
    <definedName name="OSRRefP22_11x_0" localSheetId="96">'501'!$P$58:$P$60</definedName>
    <definedName name="OSRRefP22_11x_0" localSheetId="39">'Div 2'!$P$59</definedName>
    <definedName name="OSRRefP22_11x_0" localSheetId="47">'Div 3'!$P$217</definedName>
    <definedName name="OSRRefP22_11x_0" localSheetId="73">'Div 4'!$P$71:$P$72</definedName>
    <definedName name="OSRRefP22_11x_0" localSheetId="95">'Div 5'!$P$58:$P$60</definedName>
    <definedName name="OSRRefP22_11x_0" localSheetId="64">'Div 6'!$P$102</definedName>
    <definedName name="OSRRefP22_11x_0" localSheetId="2">Summary!$P$252:$P$253</definedName>
    <definedName name="OSRRefP22_12x_0" localSheetId="41">'201'!$P$57:$P$60</definedName>
    <definedName name="OSRRefP22_12x_0" localSheetId="42">'202'!$P$58:$P$60</definedName>
    <definedName name="OSRRefP22_12x_0" localSheetId="43">'203'!$P$60:$P$63</definedName>
    <definedName name="OSRRefP22_12x_0" localSheetId="48">'300'!$P$214</definedName>
    <definedName name="OSRRefP22_12x_0" localSheetId="49">'300 &amp; 317'!$P$240</definedName>
    <definedName name="OSRRefP22_12x_0" localSheetId="50">'301'!$P$64</definedName>
    <definedName name="OSRRefP22_12x_0" localSheetId="54">'308'!$P$113:$P$114</definedName>
    <definedName name="OSRRefP22_12x_0" localSheetId="67">'309'!$P$64</definedName>
    <definedName name="OSRRefP22_12x_0" localSheetId="66">'310'!$P$69</definedName>
    <definedName name="OSRRefP22_12x_0" localSheetId="74">'310 &amp; 491'!$P$81</definedName>
    <definedName name="OSRRefP22_12x_0" localSheetId="55">'311'!$P$112:$P$113</definedName>
    <definedName name="OSRRefP22_12x_0" localSheetId="68">'313'!$P$72</definedName>
    <definedName name="OSRRefP22_12x_0" localSheetId="60">'315'!$P$129</definedName>
    <definedName name="OSRRefP22_12x_0" localSheetId="62">'316'!$P$79</definedName>
    <definedName name="OSRRefP22_12x_0" localSheetId="65">'317'!$P$104</definedName>
    <definedName name="OSRRefP22_12x_0" localSheetId="69">'321'!$P$67</definedName>
    <definedName name="OSRRefP22_12x_0" localSheetId="70">'322'!$P$68</definedName>
    <definedName name="OSRRefP22_12x_0" localSheetId="71">'325'!$P$62:$P$64</definedName>
    <definedName name="OSRRefP22_12x_0" localSheetId="56">'326'!$P$100:$P$102</definedName>
    <definedName name="OSRRefP22_12x_0" localSheetId="52">'330'!$P$127</definedName>
    <definedName name="OSRRefP22_12x_0" localSheetId="59">'331'!$P$132</definedName>
    <definedName name="OSRRefP22_12x_0" localSheetId="61">'332'!$P$83:$P$88</definedName>
    <definedName name="OSRRefP22_12x_0" localSheetId="76">'405'!$P$60:$P$62</definedName>
    <definedName name="OSRRefP22_12x_0" localSheetId="77">'406'!$P$68</definedName>
    <definedName name="OSRRefP22_12x_0" localSheetId="78">'411'!$P$59:$P$62</definedName>
    <definedName name="OSRRefP22_12x_0" localSheetId="79">'412'!$P$69</definedName>
    <definedName name="OSRRefP22_12x_0" localSheetId="81">'414'!$P$61</definedName>
    <definedName name="OSRRefP22_12x_0" localSheetId="82">'415'!$P$64:$P$68</definedName>
    <definedName name="OSRRefP22_12x_0" localSheetId="83">'418'!$P$64:$P$66</definedName>
    <definedName name="OSRRefP22_12x_0" localSheetId="86">'424'!$P$58</definedName>
    <definedName name="OSRRefP22_12x_0" localSheetId="87">'425'!$P$68:$P$74</definedName>
    <definedName name="OSRRefP22_12x_0" localSheetId="91">'433'!$P$65:$P$67</definedName>
    <definedName name="OSRRefP22_12x_0" localSheetId="93">'444'!$P$64:$P$67</definedName>
    <definedName name="OSRRefP22_12x_0" localSheetId="94">'450'!$P$62:$P$63</definedName>
    <definedName name="OSRRefP22_12x_0" localSheetId="75">'491'!$P$73</definedName>
    <definedName name="OSRRefP22_12x_0" localSheetId="89">'492'!$P$66:$P$68</definedName>
    <definedName name="OSRRefP22_12x_0" localSheetId="96">'501'!$P$62</definedName>
    <definedName name="OSRRefP22_12x_0" localSheetId="39">'Div 2'!$P$61:$P$64</definedName>
    <definedName name="OSRRefP22_12x_0" localSheetId="47">'Div 3'!$P$219</definedName>
    <definedName name="OSRRefP22_12x_0" localSheetId="73">'Div 4'!$P$74</definedName>
    <definedName name="OSRRefP22_12x_0" localSheetId="95">'Div 5'!$P$62</definedName>
    <definedName name="OSRRefP22_12x_0" localSheetId="64">'Div 6'!$P$104</definedName>
    <definedName name="OSRRefP22_12x_0" localSheetId="2">Summary!$P$255</definedName>
    <definedName name="OSRRefP22_13x_0" localSheetId="41">'201'!$P$62</definedName>
    <definedName name="OSRRefP22_13x_0" localSheetId="42">'202'!$P$62</definedName>
    <definedName name="OSRRefP22_13x_0" localSheetId="43">'203'!$P$65</definedName>
    <definedName name="OSRRefP22_13x_0" localSheetId="48">'300'!$P$216:$P$218</definedName>
    <definedName name="OSRRefP22_13x_0" localSheetId="49">'300 &amp; 317'!$P$242:$P$244</definedName>
    <definedName name="OSRRefP22_13x_0" localSheetId="50">'301'!$P$66</definedName>
    <definedName name="OSRRefP22_13x_0" localSheetId="54">'308'!$P$116</definedName>
    <definedName name="OSRRefP22_13x_0" localSheetId="66">'310'!$P$71</definedName>
    <definedName name="OSRRefP22_13x_0" localSheetId="74">'310 &amp; 491'!$P$83</definedName>
    <definedName name="OSRRefP22_13x_0" localSheetId="55">'311'!$P$115</definedName>
    <definedName name="OSRRefP22_13x_0" localSheetId="60">'315'!$P$131</definedName>
    <definedName name="OSRRefP22_13x_0" localSheetId="62">'316'!$P$81</definedName>
    <definedName name="OSRRefP22_13x_0" localSheetId="65">'317'!$P$106</definedName>
    <definedName name="OSRRefP22_13x_0" localSheetId="70">'322'!$P$70</definedName>
    <definedName name="OSRRefP22_13x_0" localSheetId="71">'325'!$P$66</definedName>
    <definedName name="OSRRefP22_13x_0" localSheetId="56">'326'!$P$104:$P$106</definedName>
    <definedName name="OSRRefP22_13x_0" localSheetId="52">'330'!$P$129</definedName>
    <definedName name="OSRRefP22_13x_0" localSheetId="59">'331'!$P$134:$P$136</definedName>
    <definedName name="OSRRefP22_13x_0" localSheetId="61">'332'!$P$90</definedName>
    <definedName name="OSRRefP22_13x_0" localSheetId="76">'405'!$P$64:$P$65</definedName>
    <definedName name="OSRRefP22_13x_0" localSheetId="77">'406'!$P$70</definedName>
    <definedName name="OSRRefP22_13x_0" localSheetId="78">'411'!$P$64:$P$68</definedName>
    <definedName name="OSRRefP22_13x_0" localSheetId="79">'412'!$P$71</definedName>
    <definedName name="OSRRefP22_13x_0" localSheetId="81">'414'!$P$63:$P$69</definedName>
    <definedName name="OSRRefP22_13x_0" localSheetId="82">'415'!$P$70:$P$71</definedName>
    <definedName name="OSRRefP22_13x_0" localSheetId="83">'418'!$P$68:$P$69</definedName>
    <definedName name="OSRRefP22_13x_0" localSheetId="87">'425'!$P$76</definedName>
    <definedName name="OSRRefP22_13x_0" localSheetId="91">'433'!$P$69:$P$76</definedName>
    <definedName name="OSRRefP22_13x_0" localSheetId="93">'444'!$P$69</definedName>
    <definedName name="OSRRefP22_13x_0" localSheetId="94">'450'!$P$65:$P$67</definedName>
    <definedName name="OSRRefP22_13x_0" localSheetId="75">'491'!$P$75</definedName>
    <definedName name="OSRRefP22_13x_0" localSheetId="89">'492'!$P$70:$P$73</definedName>
    <definedName name="OSRRefP22_13x_0" localSheetId="96">'501'!$P$64</definedName>
    <definedName name="OSRRefP22_13x_0" localSheetId="39">'Div 2'!$P$66:$P$68</definedName>
    <definedName name="OSRRefP22_13x_0" localSheetId="47">'Div 3'!$P$221</definedName>
    <definedName name="OSRRefP22_13x_0" localSheetId="73">'Div 4'!$P$76</definedName>
    <definedName name="OSRRefP22_13x_0" localSheetId="95">'Div 5'!$P$64</definedName>
    <definedName name="OSRRefP22_13x_0" localSheetId="64">'Div 6'!$P$106</definedName>
    <definedName name="OSRRefP22_13x_0" localSheetId="2">Summary!$P$257</definedName>
    <definedName name="OSRRefP22_14x_0" localSheetId="41">'201'!$P$64</definedName>
    <definedName name="OSRRefP22_14x_0" localSheetId="42">'202'!$P$64</definedName>
    <definedName name="OSRRefP22_14x_0" localSheetId="43">'203'!$P$67</definedName>
    <definedName name="OSRRefP22_14x_0" localSheetId="48">'300'!$P$220</definedName>
    <definedName name="OSRRefP22_14x_0" localSheetId="49">'300 &amp; 317'!$P$246</definedName>
    <definedName name="OSRRefP22_14x_0" localSheetId="50">'301'!$P$68</definedName>
    <definedName name="OSRRefP22_14x_0" localSheetId="54">'308'!$P$118</definedName>
    <definedName name="OSRRefP22_14x_0" localSheetId="66">'310'!$P$73:$P$75</definedName>
    <definedName name="OSRRefP22_14x_0" localSheetId="74">'310 &amp; 491'!$P$85</definedName>
    <definedName name="OSRRefP22_14x_0" localSheetId="55">'311'!$P$117</definedName>
    <definedName name="OSRRefP22_14x_0" localSheetId="60">'315'!$P$133:$P$134</definedName>
    <definedName name="OSRRefP22_14x_0" localSheetId="62">'316'!$P$83</definedName>
    <definedName name="OSRRefP22_14x_0" localSheetId="71">'325'!$P$68:$P$72</definedName>
    <definedName name="OSRRefP22_14x_0" localSheetId="56">'326'!$P$108:$P$109</definedName>
    <definedName name="OSRRefP22_14x_0" localSheetId="52">'330'!$P$131</definedName>
    <definedName name="OSRRefP22_14x_0" localSheetId="59">'331'!$P$138:$P$139</definedName>
    <definedName name="OSRRefP22_14x_0" localSheetId="61">'332'!$P$92</definedName>
    <definedName name="OSRRefP22_14x_0" localSheetId="76">'405'!$P$67:$P$73</definedName>
    <definedName name="OSRRefP22_14x_0" localSheetId="77">'406'!$P$72</definedName>
    <definedName name="OSRRefP22_14x_0" localSheetId="78">'411'!$P$70:$P$71</definedName>
    <definedName name="OSRRefP22_14x_0" localSheetId="81">'414'!$P$71</definedName>
    <definedName name="OSRRefP22_14x_0" localSheetId="82">'415'!$P$73:$P$81</definedName>
    <definedName name="OSRRefP22_14x_0" localSheetId="83">'418'!$P$71:$P$78</definedName>
    <definedName name="OSRRefP22_14x_0" localSheetId="87">'425'!$P$78</definedName>
    <definedName name="OSRRefP22_14x_0" localSheetId="91">'433'!$P$78</definedName>
    <definedName name="OSRRefP22_14x_0" localSheetId="93">'444'!$P$71:$P$79</definedName>
    <definedName name="OSRRefP22_14x_0" localSheetId="94">'450'!$P$69:$P$74</definedName>
    <definedName name="OSRRefP22_14x_0" localSheetId="75">'491'!$P$77</definedName>
    <definedName name="OSRRefP22_14x_0" localSheetId="89">'492'!$P$75</definedName>
    <definedName name="OSRRefP22_14x_0" localSheetId="39">'Div 2'!$P$70:$P$71</definedName>
    <definedName name="OSRRefP22_14x_0" localSheetId="47">'Div 3'!$P$223:$P$225</definedName>
    <definedName name="OSRRefP22_14x_0" localSheetId="73">'Div 4'!$P$78</definedName>
    <definedName name="OSRRefP22_14x_0" localSheetId="2">Summary!$P$259:$P$261</definedName>
    <definedName name="OSRRefP22_15x_0" localSheetId="41">'201'!$P$66</definedName>
    <definedName name="OSRRefP22_15x_0" localSheetId="42">'202'!$P$66</definedName>
    <definedName name="OSRRefP22_15x_0" localSheetId="43">'203'!$P$69</definedName>
    <definedName name="OSRRefP22_15x_0" localSheetId="48">'300'!$P$222</definedName>
    <definedName name="OSRRefP22_15x_0" localSheetId="49">'300 &amp; 317'!$P$248</definedName>
    <definedName name="OSRRefP22_15x_0" localSheetId="50">'301'!$P$70:$P$73</definedName>
    <definedName name="OSRRefP22_15x_0" localSheetId="66">'310'!$P$77</definedName>
    <definedName name="OSRRefP22_15x_0" localSheetId="74">'310 &amp; 491'!$P$87</definedName>
    <definedName name="OSRRefP22_15x_0" localSheetId="71">'325'!$P$74</definedName>
    <definedName name="OSRRefP22_15x_0" localSheetId="56">'326'!$P$111:$P$116</definedName>
    <definedName name="OSRRefP22_15x_0" localSheetId="59">'331'!$P$141:$P$143</definedName>
    <definedName name="OSRRefP22_15x_0" localSheetId="61">'332'!$P$94</definedName>
    <definedName name="OSRRefP22_15x_0" localSheetId="76">'405'!$P$75</definedName>
    <definedName name="OSRRefP22_15x_0" localSheetId="78">'411'!$P$73:$P$81</definedName>
    <definedName name="OSRRefP22_15x_0" localSheetId="81">'414'!$P$73</definedName>
    <definedName name="OSRRefP22_15x_0" localSheetId="82">'415'!$P$83</definedName>
    <definedName name="OSRRefP22_15x_0" localSheetId="83">'418'!$P$80</definedName>
    <definedName name="OSRRefP22_15x_0" localSheetId="91">'433'!$P$80</definedName>
    <definedName name="OSRRefP22_15x_0" localSheetId="93">'444'!$P$81</definedName>
    <definedName name="OSRRefP22_15x_0" localSheetId="94">'450'!$P$76</definedName>
    <definedName name="OSRRefP22_15x_0" localSheetId="75">'491'!$P$79</definedName>
    <definedName name="OSRRefP22_15x_0" localSheetId="89">'492'!$P$77:$P$85</definedName>
    <definedName name="OSRRefP22_15x_0" localSheetId="39">'Div 2'!$P$73</definedName>
    <definedName name="OSRRefP22_15x_0" localSheetId="47">'Div 3'!$P$227</definedName>
    <definedName name="OSRRefP22_15x_0" localSheetId="73">'Div 4'!$P$80</definedName>
    <definedName name="OSRRefP22_15x_0" localSheetId="2">Summary!$P$263</definedName>
    <definedName name="OSRRefP22_16x_0" localSheetId="48">'300'!$P$224:$P$227</definedName>
    <definedName name="OSRRefP22_16x_0" localSheetId="49">'300 &amp; 317'!$P$250:$P$253</definedName>
    <definedName name="OSRRefP22_16x_0" localSheetId="50">'301'!$P$75:$P$77</definedName>
    <definedName name="OSRRefP22_16x_0" localSheetId="66">'310'!$P$79:$P$82</definedName>
    <definedName name="OSRRefP22_16x_0" localSheetId="74">'310 &amp; 491'!$P$89:$P$92</definedName>
    <definedName name="OSRRefP22_16x_0" localSheetId="71">'325'!$P$76</definedName>
    <definedName name="OSRRefP22_16x_0" localSheetId="56">'326'!$P$118</definedName>
    <definedName name="OSRRefP22_16x_0" localSheetId="59">'331'!$P$145:$P$146</definedName>
    <definedName name="OSRRefP22_16x_0" localSheetId="76">'405'!$P$77</definedName>
    <definedName name="OSRRefP22_16x_0" localSheetId="78">'411'!$P$83</definedName>
    <definedName name="OSRRefP22_16x_0" localSheetId="82">'415'!$P$85</definedName>
    <definedName name="OSRRefP22_16x_0" localSheetId="83">'418'!$P$82</definedName>
    <definedName name="OSRRefP22_16x_0" localSheetId="91">'433'!$P$82</definedName>
    <definedName name="OSRRefP22_16x_0" localSheetId="93">'444'!$P$83</definedName>
    <definedName name="OSRRefP22_16x_0" localSheetId="94">'450'!$P$78</definedName>
    <definedName name="OSRRefP22_16x_0" localSheetId="75">'491'!$P$81:$P$84</definedName>
    <definedName name="OSRRefP22_16x_0" localSheetId="89">'492'!$P$87</definedName>
    <definedName name="OSRRefP22_16x_0" localSheetId="39">'Div 2'!$P$75:$P$79</definedName>
    <definedName name="OSRRefP22_16x_0" localSheetId="47">'Div 3'!$P$229</definedName>
    <definedName name="OSRRefP22_16x_0" localSheetId="73">'Div 4'!$P$82</definedName>
    <definedName name="OSRRefP22_16x_0" localSheetId="2">Summary!$P$265</definedName>
    <definedName name="OSRRefP22_17x_0" localSheetId="48">'300'!$P$229:$P$231</definedName>
    <definedName name="OSRRefP22_17x_0" localSheetId="49">'300 &amp; 317'!$P$255:$P$257</definedName>
    <definedName name="OSRRefP22_17x_0" localSheetId="50">'301'!$P$79:$P$80</definedName>
    <definedName name="OSRRefP22_17x_0" localSheetId="66">'310'!$P$84</definedName>
    <definedName name="OSRRefP22_17x_0" localSheetId="74">'310 &amp; 491'!$P$94:$P$95</definedName>
    <definedName name="OSRRefP22_17x_0" localSheetId="71">'325'!$P$78</definedName>
    <definedName name="OSRRefP22_17x_0" localSheetId="56">'326'!$P$120</definedName>
    <definedName name="OSRRefP22_17x_0" localSheetId="59">'331'!$P$148:$P$153</definedName>
    <definedName name="OSRRefP22_17x_0" localSheetId="76">'405'!$P$79</definedName>
    <definedName name="OSRRefP22_17x_0" localSheetId="78">'411'!$P$85</definedName>
    <definedName name="OSRRefP22_17x_0" localSheetId="82">'415'!$P$87</definedName>
    <definedName name="OSRRefP22_17x_0" localSheetId="93">'444'!$P$85:$P$86</definedName>
    <definedName name="OSRRefP22_17x_0" localSheetId="94">'450'!$P$80</definedName>
    <definedName name="OSRRefP22_17x_0" localSheetId="75">'491'!$P$86:$P$87</definedName>
    <definedName name="OSRRefP22_17x_0" localSheetId="89">'492'!$P$89</definedName>
    <definedName name="OSRRefP22_17x_0" localSheetId="39">'Div 2'!$P$81:$P$82</definedName>
    <definedName name="OSRRefP22_17x_0" localSheetId="47">'Div 3'!$P$231:$P$234</definedName>
    <definedName name="OSRRefP22_17x_0" localSheetId="73">'Div 4'!$P$84:$P$87</definedName>
    <definedName name="OSRRefP22_17x_0" localSheetId="2">Summary!$P$267</definedName>
    <definedName name="OSRRefP22_18x_0" localSheetId="48">'300'!$P$233:$P$236</definedName>
    <definedName name="OSRRefP22_18x_0" localSheetId="49">'300 &amp; 317'!$P$259:$P$262</definedName>
    <definedName name="OSRRefP22_18x_0" localSheetId="50">'301'!$P$82:$P$88</definedName>
    <definedName name="OSRRefP22_18x_0" localSheetId="66">'310'!$P$86:$P$94</definedName>
    <definedName name="OSRRefP22_18x_0" localSheetId="74">'310 &amp; 491'!$P$97:$P$101</definedName>
    <definedName name="OSRRefP22_18x_0" localSheetId="56">'326'!$P$122</definedName>
    <definedName name="OSRRefP22_18x_0" localSheetId="59">'331'!$P$155</definedName>
    <definedName name="OSRRefP22_18x_0" localSheetId="78">'411'!$P$87:$P$89</definedName>
    <definedName name="OSRRefP22_18x_0" localSheetId="75">'491'!$P$89:$P$93</definedName>
    <definedName name="OSRRefP22_18x_0" localSheetId="89">'492'!$P$91:$P$92</definedName>
    <definedName name="OSRRefP22_18x_0" localSheetId="39">'Div 2'!$P$84</definedName>
    <definedName name="OSRRefP22_18x_0" localSheetId="47">'Div 3'!$P$236:$P$238</definedName>
    <definedName name="OSRRefP22_18x_0" localSheetId="73">'Div 4'!$P$89:$P$90</definedName>
    <definedName name="OSRRefP22_18x_0" localSheetId="2">Summary!$P$269:$P$272</definedName>
    <definedName name="OSRRefP22_19x_0" localSheetId="48">'300'!$P$238:$P$239</definedName>
    <definedName name="OSRRefP22_19x_0" localSheetId="49">'300 &amp; 317'!$P$264:$P$265</definedName>
    <definedName name="OSRRefP22_19x_0" localSheetId="50">'301'!$P$90</definedName>
    <definedName name="OSRRefP22_19x_0" localSheetId="66">'310'!$P$96</definedName>
    <definedName name="OSRRefP22_19x_0" localSheetId="74">'310 &amp; 491'!$P$103:$P$104</definedName>
    <definedName name="OSRRefP22_19x_0" localSheetId="56">'326'!$P$124</definedName>
    <definedName name="OSRRefP22_19x_0" localSheetId="59">'331'!$P$157</definedName>
    <definedName name="OSRRefP22_19x_0" localSheetId="78">'411'!$P$91</definedName>
    <definedName name="OSRRefP22_19x_0" localSheetId="75">'491'!$P$95:$P$96</definedName>
    <definedName name="OSRRefP22_19x_0" localSheetId="39">'Div 2'!$P$86:$P$87</definedName>
    <definedName name="OSRRefP22_19x_0" localSheetId="47">'Div 3'!$P$240:$P$244</definedName>
    <definedName name="OSRRefP22_19x_0" localSheetId="73">'Div 4'!$P$92:$P$96</definedName>
    <definedName name="OSRRefP22_19x_0" localSheetId="2">Summary!$P$274:$P$276</definedName>
    <definedName name="OSRRefP22_1x_0" localSheetId="40">'200'!$P$22</definedName>
    <definedName name="OSRRefP22_1x_0" localSheetId="41">'201'!$P$29:$P$31</definedName>
    <definedName name="OSRRefP22_1x_0" localSheetId="42">'202'!$P$29:$P$33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'300'!$P$181:$P$187</definedName>
    <definedName name="OSRRefP22_1x_0" localSheetId="49">'300 &amp; 317'!$P$207:$P$213</definedName>
    <definedName name="OSRRefP22_1x_0" localSheetId="50">'301'!$P$32:$P$38</definedName>
    <definedName name="OSRRefP22_1x_0" localSheetId="51">'306'!$P$30:$P$35</definedName>
    <definedName name="OSRRefP22_1x_0" localSheetId="53">'307'!$P$87:$P$90</definedName>
    <definedName name="OSRRefP22_1x_0" localSheetId="54">'308'!$P$78:$P$84</definedName>
    <definedName name="OSRRefP22_1x_0" localSheetId="67">'309'!$P$33:$P$37</definedName>
    <definedName name="OSRRefP22_1x_0" localSheetId="66">'310'!$P$41:$P$46</definedName>
    <definedName name="OSRRefP22_1x_0" localSheetId="74">'310 &amp; 491'!$P$49:$P$55</definedName>
    <definedName name="OSRRefP22_1x_0" localSheetId="55">'311'!$P$77:$P$83</definedName>
    <definedName name="OSRRefP22_1x_0" localSheetId="68">'313'!$P$38:$P$43</definedName>
    <definedName name="OSRRefP22_1x_0" localSheetId="58">'314'!$P$66:$P$68</definedName>
    <definedName name="OSRRefP22_1x_0" localSheetId="60">'315'!$P$93:$P$98</definedName>
    <definedName name="OSRRefP22_1x_0" localSheetId="62">'316'!$P$46:$P$49</definedName>
    <definedName name="OSRRefP22_1x_0" localSheetId="65">'317'!$P$71:$P$75</definedName>
    <definedName name="OSRRefP22_1x_0" localSheetId="63">'320'!$P$37:$P$41</definedName>
    <definedName name="OSRRefP22_1x_0" localSheetId="69">'321'!$P$33:$P$37</definedName>
    <definedName name="OSRRefP22_1x_0" localSheetId="70">'322'!$P$33:$P$37</definedName>
    <definedName name="OSRRefP22_1x_0" localSheetId="71">'325'!$P$33:$P$37</definedName>
    <definedName name="OSRRefP22_1x_0" localSheetId="56">'326'!$P$72:$P$77</definedName>
    <definedName name="OSRRefP22_1x_0" localSheetId="72">'327'!$P$25</definedName>
    <definedName name="OSRRefP22_1x_0" localSheetId="52">'330'!$P$95:$P$99</definedName>
    <definedName name="OSRRefP22_1x_0" localSheetId="59">'331'!$P$102:$P$107</definedName>
    <definedName name="OSRRefP22_1x_0" localSheetId="61">'332'!$P$54:$P$58</definedName>
    <definedName name="OSRRefP22_1x_0" localSheetId="76">'405'!$P$33:$P$36</definedName>
    <definedName name="OSRRefP22_1x_0" localSheetId="77">'406'!$P$33:$P$38</definedName>
    <definedName name="OSRRefP22_1x_0" localSheetId="78">'411'!$P$30:$P$35</definedName>
    <definedName name="OSRRefP22_1x_0" localSheetId="79">'412'!$P$33:$P$38</definedName>
    <definedName name="OSRRefP22_1x_0" localSheetId="80">'413'!$P$33:$P$37</definedName>
    <definedName name="OSRRefP22_1x_0" localSheetId="81">'414'!$P$33:$P$38</definedName>
    <definedName name="OSRRefP22_1x_0" localSheetId="82">'415'!$P$33:$P$38</definedName>
    <definedName name="OSRRefP22_1x_0" localSheetId="83">'418'!$P$33:$P$38</definedName>
    <definedName name="OSRRefP22_1x_0" localSheetId="84">'420'!$P$33:$P$36</definedName>
    <definedName name="OSRRefP22_1x_0" localSheetId="85">'423'!$P$30:$P$31</definedName>
    <definedName name="OSRRefP22_1x_0" localSheetId="86">'424'!$P$27:$P$31</definedName>
    <definedName name="OSRRefP22_1x_0" localSheetId="87">'425'!$P$37:$P$42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'491'!$P$42:$P$48</definedName>
    <definedName name="OSRRefP22_1x_0" localSheetId="89">'492'!$P$38:$P$44</definedName>
    <definedName name="OSRRefP22_1x_0" localSheetId="96">'501'!$P$31:$P$35</definedName>
    <definedName name="OSRRefP22_1x_0" localSheetId="39">'Div 2'!$P$32:$P$38</definedName>
    <definedName name="OSRRefP22_1x_0" localSheetId="47">'Div 3'!$P$186:$P$192</definedName>
    <definedName name="OSRRefP22_1x_0" localSheetId="73">'Div 4'!$P$43:$P$49</definedName>
    <definedName name="OSRRefP22_1x_0" localSheetId="95">'Div 5'!$P$31:$P$35</definedName>
    <definedName name="OSRRefP22_1x_0" localSheetId="64">'Div 6'!$P$71:$P$75</definedName>
    <definedName name="OSRRefP22_1x_0" localSheetId="2">Summary!$P$220:$P$226</definedName>
    <definedName name="OSRRefP22_20x_0" localSheetId="48">'300'!$P$241:$P$248</definedName>
    <definedName name="OSRRefP22_20x_0" localSheetId="49">'300 &amp; 317'!$P$267:$P$274</definedName>
    <definedName name="OSRRefP22_20x_0" localSheetId="50">'301'!$P$92</definedName>
    <definedName name="OSRRefP22_20x_0" localSheetId="66">'310'!$P$98</definedName>
    <definedName name="OSRRefP22_20x_0" localSheetId="74">'310 &amp; 491'!$P$106:$P$115</definedName>
    <definedName name="OSRRefP22_20x_0" localSheetId="59">'331'!$P$159:$P$160</definedName>
    <definedName name="OSRRefP22_20x_0" localSheetId="75">'491'!$P$98:$P$107</definedName>
    <definedName name="OSRRefP22_20x_0" localSheetId="47">'Div 3'!$P$246:$P$247</definedName>
    <definedName name="OSRRefP22_20x_0" localSheetId="73">'Div 4'!$P$98:$P$99</definedName>
    <definedName name="OSRRefP22_20x_0" localSheetId="2">Summary!$P$278:$P$282</definedName>
    <definedName name="OSRRefP22_21x_0" localSheetId="48">'300'!$P$250:$P$251</definedName>
    <definedName name="OSRRefP22_21x_0" localSheetId="49">'300 &amp; 317'!$P$276:$P$277</definedName>
    <definedName name="OSRRefP22_21x_0" localSheetId="50">'301'!$P$94:$P$96</definedName>
    <definedName name="OSRRefP22_21x_0" localSheetId="66">'310'!$P$100</definedName>
    <definedName name="OSRRefP22_21x_0" localSheetId="74">'310 &amp; 491'!$P$117</definedName>
    <definedName name="OSRRefP22_21x_0" localSheetId="59">'331'!$P$162</definedName>
    <definedName name="OSRRefP22_21x_0" localSheetId="75">'491'!$P$109</definedName>
    <definedName name="OSRRefP22_21x_0" localSheetId="47">'Div 3'!$P$249:$P$257</definedName>
    <definedName name="OSRRefP22_21x_0" localSheetId="73">'Div 4'!$P$101:$P$110</definedName>
    <definedName name="OSRRefP22_21x_0" localSheetId="2">Summary!$P$284:$P$285</definedName>
    <definedName name="OSRRefP22_22x_0" localSheetId="48">'300'!$P$253</definedName>
    <definedName name="OSRRefP22_22x_0" localSheetId="49">'300 &amp; 317'!$P$279</definedName>
    <definedName name="OSRRefP22_22x_0" localSheetId="50">'301'!$P$98</definedName>
    <definedName name="OSRRefP22_22x_0" localSheetId="66">'310'!$P$102</definedName>
    <definedName name="OSRRefP22_22x_0" localSheetId="74">'310 &amp; 491'!$P$119</definedName>
    <definedName name="OSRRefP22_22x_0" localSheetId="75">'491'!$P$111</definedName>
    <definedName name="OSRRefP22_22x_0" localSheetId="47">'Div 3'!$P$259:$P$260</definedName>
    <definedName name="OSRRefP22_22x_0" localSheetId="73">'Div 4'!$P$112</definedName>
    <definedName name="OSRRefP22_22x_0" localSheetId="2">Summary!$P$287:$P$296</definedName>
    <definedName name="OSRRefP22_23x_0" localSheetId="48">'300'!$P$255:$P$257</definedName>
    <definedName name="OSRRefP22_23x_0" localSheetId="49">'300 &amp; 317'!$P$281:$P$283</definedName>
    <definedName name="OSRRefP22_23x_0" localSheetId="74">'310 &amp; 491'!$P$121:$P$123</definedName>
    <definedName name="OSRRefP22_23x_0" localSheetId="75">'491'!$P$113:$P$115</definedName>
    <definedName name="OSRRefP22_23x_0" localSheetId="47">'Div 3'!$P$262</definedName>
    <definedName name="OSRRefP22_23x_0" localSheetId="73">'Div 4'!$P$114</definedName>
    <definedName name="OSRRefP22_23x_0" localSheetId="2">Summary!$P$298:$P$299</definedName>
    <definedName name="OSRRefP22_24x_0" localSheetId="48">'300'!$P$259</definedName>
    <definedName name="OSRRefP22_24x_0" localSheetId="49">'300 &amp; 317'!$P$285</definedName>
    <definedName name="OSRRefP22_24x_0" localSheetId="74">'310 &amp; 491'!$P$125</definedName>
    <definedName name="OSRRefP22_24x_0" localSheetId="75">'491'!$P$117</definedName>
    <definedName name="OSRRefP22_24x_0" localSheetId="47">'Div 3'!$P$264:$P$266</definedName>
    <definedName name="OSRRefP22_24x_0" localSheetId="73">'Div 4'!$P$116:$P$118</definedName>
    <definedName name="OSRRefP22_24x_0" localSheetId="2">Summary!$P$301</definedName>
    <definedName name="OSRRefP22_25x_0" localSheetId="47">'Div 3'!$P$268</definedName>
    <definedName name="OSRRefP22_25x_0" localSheetId="73">'Div 4'!$P$120</definedName>
    <definedName name="OSRRefP22_25x_0" localSheetId="2">Summary!$P$303:$P$305</definedName>
    <definedName name="OSRRefP22_26x_0" localSheetId="2">Summary!$P$307</definedName>
    <definedName name="OSRRefP22_2x_0" localSheetId="40">'200'!$P$24</definedName>
    <definedName name="OSRRefP22_2x_0" localSheetId="41">'201'!$P$33</definedName>
    <definedName name="OSRRefP22_2x_0" localSheetId="42">'202'!$P$35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'300'!$P$189</definedName>
    <definedName name="OSRRefP22_2x_0" localSheetId="49">'300 &amp; 317'!$P$215</definedName>
    <definedName name="OSRRefP22_2x_0" localSheetId="50">'301'!$P$40</definedName>
    <definedName name="OSRRefP22_2x_0" localSheetId="51">'306'!$P$37</definedName>
    <definedName name="OSRRefP22_2x_0" localSheetId="53">'307'!$P$92</definedName>
    <definedName name="OSRRefP22_2x_0" localSheetId="54">'308'!$P$86</definedName>
    <definedName name="OSRRefP22_2x_0" localSheetId="67">'309'!$P$39</definedName>
    <definedName name="OSRRefP22_2x_0" localSheetId="66">'310'!$P$48</definedName>
    <definedName name="OSRRefP22_2x_0" localSheetId="74">'310 &amp; 491'!$P$57</definedName>
    <definedName name="OSRRefP22_2x_0" localSheetId="55">'311'!$P$85</definedName>
    <definedName name="OSRRefP22_2x_0" localSheetId="68">'313'!$P$45</definedName>
    <definedName name="OSRRefP22_2x_0" localSheetId="58">'314'!$P$70</definedName>
    <definedName name="OSRRefP22_2x_0" localSheetId="60">'315'!$P$100</definedName>
    <definedName name="OSRRefP22_2x_0" localSheetId="62">'316'!$P$51</definedName>
    <definedName name="OSRRefP22_2x_0" localSheetId="65">'317'!$P$77</definedName>
    <definedName name="OSRRefP22_2x_0" localSheetId="63">'320'!$P$43</definedName>
    <definedName name="OSRRefP22_2x_0" localSheetId="69">'321'!$P$39</definedName>
    <definedName name="OSRRefP22_2x_0" localSheetId="70">'322'!$P$39</definedName>
    <definedName name="OSRRefP22_2x_0" localSheetId="71">'325'!$P$39</definedName>
    <definedName name="OSRRefP22_2x_0" localSheetId="56">'326'!$P$79</definedName>
    <definedName name="OSRRefP22_2x_0" localSheetId="72">'327'!$P$27</definedName>
    <definedName name="OSRRefP22_2x_0" localSheetId="52">'330'!$P$101</definedName>
    <definedName name="OSRRefP22_2x_0" localSheetId="59">'331'!$P$109</definedName>
    <definedName name="OSRRefP22_2x_0" localSheetId="61">'332'!$P$60</definedName>
    <definedName name="OSRRefP22_2x_0" localSheetId="76">'405'!$P$38</definedName>
    <definedName name="OSRRefP22_2x_0" localSheetId="77">'406'!$P$40</definedName>
    <definedName name="OSRRefP22_2x_0" localSheetId="78">'411'!$P$37</definedName>
    <definedName name="OSRRefP22_2x_0" localSheetId="79">'412'!$P$40</definedName>
    <definedName name="OSRRefP22_2x_0" localSheetId="80">'413'!$P$39</definedName>
    <definedName name="OSRRefP22_2x_0" localSheetId="81">'414'!$P$40</definedName>
    <definedName name="OSRRefP22_2x_0" localSheetId="82">'415'!$P$40</definedName>
    <definedName name="OSRRefP22_2x_0" localSheetId="83">'418'!$P$40</definedName>
    <definedName name="OSRRefP22_2x_0" localSheetId="84">'420'!$P$38</definedName>
    <definedName name="OSRRefP22_2x_0" localSheetId="85">'423'!$P$33</definedName>
    <definedName name="OSRRefP22_2x_0" localSheetId="86">'424'!$P$33</definedName>
    <definedName name="OSRRefP22_2x_0" localSheetId="87">'425'!$P$44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4">'450'!$P$42</definedName>
    <definedName name="OSRRefP22_2x_0" localSheetId="75">'491'!$P$50</definedName>
    <definedName name="OSRRefP22_2x_0" localSheetId="89">'492'!$P$46</definedName>
    <definedName name="OSRRefP22_2x_0" localSheetId="96">'501'!$P$37</definedName>
    <definedName name="OSRRefP22_2x_0" localSheetId="39">'Div 2'!$P$40</definedName>
    <definedName name="OSRRefP22_2x_0" localSheetId="47">'Div 3'!$P$194</definedName>
    <definedName name="OSRRefP22_2x_0" localSheetId="73">'Div 4'!$P$51</definedName>
    <definedName name="OSRRefP22_2x_0" localSheetId="95">'Div 5'!$P$37</definedName>
    <definedName name="OSRRefP22_2x_0" localSheetId="64">'Div 6'!$P$77</definedName>
    <definedName name="OSRRefP22_2x_0" localSheetId="2">Summary!$P$228</definedName>
    <definedName name="OSRRefP22_3x_0" localSheetId="40">'200'!$P$26</definedName>
    <definedName name="OSRRefP22_3x_0" localSheetId="41">'201'!$P$35</definedName>
    <definedName name="OSRRefP22_3x_0" localSheetId="42">'202'!$P$37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'300'!$P$191:$P$192</definedName>
    <definedName name="OSRRefP22_3x_0" localSheetId="49">'300 &amp; 317'!$P$217:$P$218</definedName>
    <definedName name="OSRRefP22_3x_0" localSheetId="50">'301'!$P$42:$P$43</definedName>
    <definedName name="OSRRefP22_3x_0" localSheetId="51">'306'!$P$39</definedName>
    <definedName name="OSRRefP22_3x_0" localSheetId="53">'307'!$P$94</definedName>
    <definedName name="OSRRefP22_3x_0" localSheetId="54">'308'!$P$88:$P$89</definedName>
    <definedName name="OSRRefP22_3x_0" localSheetId="67">'309'!$P$41</definedName>
    <definedName name="OSRRefP22_3x_0" localSheetId="66">'310'!$P$50</definedName>
    <definedName name="OSRRefP22_3x_0" localSheetId="74">'310 &amp; 491'!$P$59</definedName>
    <definedName name="OSRRefP22_3x_0" localSheetId="55">'311'!$P$87:$P$88</definedName>
    <definedName name="OSRRefP22_3x_0" localSheetId="68">'313'!$P$47</definedName>
    <definedName name="OSRRefP22_3x_0" localSheetId="58">'314'!$P$72:$P$73</definedName>
    <definedName name="OSRRefP22_3x_0" localSheetId="60">'315'!$P$102:$P$103</definedName>
    <definedName name="OSRRefP22_3x_0" localSheetId="62">'316'!$P$53</definedName>
    <definedName name="OSRRefP22_3x_0" localSheetId="65">'317'!$P$79</definedName>
    <definedName name="OSRRefP22_3x_0" localSheetId="63">'320'!$P$45</definedName>
    <definedName name="OSRRefP22_3x_0" localSheetId="69">'321'!$P$41</definedName>
    <definedName name="OSRRefP22_3x_0" localSheetId="70">'322'!$P$41</definedName>
    <definedName name="OSRRefP22_3x_0" localSheetId="71">'325'!$P$41</definedName>
    <definedName name="OSRRefP22_3x_0" localSheetId="56">'326'!$P$81</definedName>
    <definedName name="OSRRefP22_3x_0" localSheetId="52">'330'!$P$103</definedName>
    <definedName name="OSRRefP22_3x_0" localSheetId="59">'331'!$P$111</definedName>
    <definedName name="OSRRefP22_3x_0" localSheetId="61">'332'!$P$62</definedName>
    <definedName name="OSRRefP22_3x_0" localSheetId="76">'405'!$P$40</definedName>
    <definedName name="OSRRefP22_3x_0" localSheetId="77">'406'!$P$42</definedName>
    <definedName name="OSRRefP22_3x_0" localSheetId="78">'411'!$P$39</definedName>
    <definedName name="OSRRefP22_3x_0" localSheetId="79">'412'!$P$42</definedName>
    <definedName name="OSRRefP22_3x_0" localSheetId="80">'413'!$P$41</definedName>
    <definedName name="OSRRefP22_3x_0" localSheetId="81">'414'!$P$42</definedName>
    <definedName name="OSRRefP22_3x_0" localSheetId="82">'415'!$P$42</definedName>
    <definedName name="OSRRefP22_3x_0" localSheetId="83">'418'!$P$42</definedName>
    <definedName name="OSRRefP22_3x_0" localSheetId="84">'420'!$P$40</definedName>
    <definedName name="OSRRefP22_3x_0" localSheetId="85">'423'!$P$35</definedName>
    <definedName name="OSRRefP22_3x_0" localSheetId="86">'424'!$P$35</definedName>
    <definedName name="OSRRefP22_3x_0" localSheetId="87">'425'!$P$46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4">'450'!$P$44</definedName>
    <definedName name="OSRRefP22_3x_0" localSheetId="75">'491'!$P$52</definedName>
    <definedName name="OSRRefP22_3x_0" localSheetId="89">'492'!$P$48</definedName>
    <definedName name="OSRRefP22_3x_0" localSheetId="96">'501'!$P$39</definedName>
    <definedName name="OSRRefP22_3x_0" localSheetId="39">'Div 2'!$P$42</definedName>
    <definedName name="OSRRefP22_3x_0" localSheetId="47">'Div 3'!$P$196:$P$197</definedName>
    <definedName name="OSRRefP22_3x_0" localSheetId="73">'Div 4'!$P$53</definedName>
    <definedName name="OSRRefP22_3x_0" localSheetId="95">'Div 5'!$P$39</definedName>
    <definedName name="OSRRefP22_3x_0" localSheetId="64">'Div 6'!$P$79</definedName>
    <definedName name="OSRRefP22_3x_0" localSheetId="2">Summary!$P$230:$P$231</definedName>
    <definedName name="OSRRefP22_4x_0" localSheetId="40">'200'!$P$28:$P$29</definedName>
    <definedName name="OSRRefP22_4x_0" localSheetId="41">'201'!$P$37</definedName>
    <definedName name="OSRRefP22_4x_0" localSheetId="42">'202'!$P$39</definedName>
    <definedName name="OSRRefP22_4x_0" localSheetId="43">'203'!$P$41</definedName>
    <definedName name="OSRRefP22_4x_0" localSheetId="44">'204'!$P$41</definedName>
    <definedName name="OSRRefP22_4x_0" localSheetId="45">'205'!$P$35:$P$37</definedName>
    <definedName name="OSRRefP22_4x_0" localSheetId="46">'206'!$P$38</definedName>
    <definedName name="OSRRefP22_4x_0" localSheetId="48">'300'!$P$194</definedName>
    <definedName name="OSRRefP22_4x_0" localSheetId="49">'300 &amp; 317'!$P$220</definedName>
    <definedName name="OSRRefP22_4x_0" localSheetId="50">'301'!$P$45</definedName>
    <definedName name="OSRRefP22_4x_0" localSheetId="51">'306'!$P$41</definedName>
    <definedName name="OSRRefP22_4x_0" localSheetId="53">'307'!$P$96:$P$97</definedName>
    <definedName name="OSRRefP22_4x_0" localSheetId="54">'308'!$P$91</definedName>
    <definedName name="OSRRefP22_4x_0" localSheetId="67">'309'!$P$43</definedName>
    <definedName name="OSRRefP22_4x_0" localSheetId="66">'310'!$P$52</definedName>
    <definedName name="OSRRefP22_4x_0" localSheetId="74">'310 &amp; 491'!$P$61</definedName>
    <definedName name="OSRRefP22_4x_0" localSheetId="55">'311'!$P$90</definedName>
    <definedName name="OSRRefP22_4x_0" localSheetId="68">'313'!$P$49</definedName>
    <definedName name="OSRRefP22_4x_0" localSheetId="58">'314'!$P$75</definedName>
    <definedName name="OSRRefP22_4x_0" localSheetId="60">'315'!$P$105</definedName>
    <definedName name="OSRRefP22_4x_0" localSheetId="62">'316'!$P$55</definedName>
    <definedName name="OSRRefP22_4x_0" localSheetId="65">'317'!$P$81</definedName>
    <definedName name="OSRRefP22_4x_0" localSheetId="63">'320'!$P$47:$P$48</definedName>
    <definedName name="OSRRefP22_4x_0" localSheetId="69">'321'!$P$43</definedName>
    <definedName name="OSRRefP22_4x_0" localSheetId="70">'322'!$P$43</definedName>
    <definedName name="OSRRefP22_4x_0" localSheetId="71">'325'!$P$43</definedName>
    <definedName name="OSRRefP22_4x_0" localSheetId="56">'326'!$P$83</definedName>
    <definedName name="OSRRefP22_4x_0" localSheetId="52">'330'!$P$105:$P$106</definedName>
    <definedName name="OSRRefP22_4x_0" localSheetId="59">'331'!$P$113</definedName>
    <definedName name="OSRRefP22_4x_0" localSheetId="61">'332'!$P$64</definedName>
    <definedName name="OSRRefP22_4x_0" localSheetId="76">'405'!$P$42</definedName>
    <definedName name="OSRRefP22_4x_0" localSheetId="77">'406'!$P$44</definedName>
    <definedName name="OSRRefP22_4x_0" localSheetId="78">'411'!$P$41:$P$43</definedName>
    <definedName name="OSRRefP22_4x_0" localSheetId="79">'412'!$P$44</definedName>
    <definedName name="OSRRefP22_4x_0" localSheetId="80">'413'!$P$43</definedName>
    <definedName name="OSRRefP22_4x_0" localSheetId="81">'414'!$P$44</definedName>
    <definedName name="OSRRefP22_4x_0" localSheetId="82">'415'!$P$44</definedName>
    <definedName name="OSRRefP22_4x_0" localSheetId="83">'418'!$P$44</definedName>
    <definedName name="OSRRefP22_4x_0" localSheetId="84">'420'!$P$42</definedName>
    <definedName name="OSRRefP22_4x_0" localSheetId="85">'423'!$P$37</definedName>
    <definedName name="OSRRefP22_4x_0" localSheetId="86">'424'!$P$37</definedName>
    <definedName name="OSRRefP22_4x_0" localSheetId="87">'425'!$P$48</definedName>
    <definedName name="OSRRefP22_4x_0" localSheetId="90">'430'!$P$35:$P$36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4">'450'!$P$46</definedName>
    <definedName name="OSRRefP22_4x_0" localSheetId="75">'491'!$P$54</definedName>
    <definedName name="OSRRefP22_4x_0" localSheetId="89">'492'!$P$50</definedName>
    <definedName name="OSRRefP22_4x_0" localSheetId="96">'501'!$P$41</definedName>
    <definedName name="OSRRefP22_4x_0" localSheetId="39">'Div 2'!$P$44</definedName>
    <definedName name="OSRRefP22_4x_0" localSheetId="47">'Div 3'!$P$199</definedName>
    <definedName name="OSRRefP22_4x_0" localSheetId="73">'Div 4'!$P$55</definedName>
    <definedName name="OSRRefP22_4x_0" localSheetId="95">'Div 5'!$P$41</definedName>
    <definedName name="OSRRefP22_4x_0" localSheetId="64">'Div 6'!$P$81</definedName>
    <definedName name="OSRRefP22_4x_0" localSheetId="2">Summary!$P$233</definedName>
    <definedName name="OSRRefP22_5x_0" localSheetId="41">'201'!$P$39</definedName>
    <definedName name="OSRRefP22_5x_0" localSheetId="42">'202'!$P$41</definedName>
    <definedName name="OSRRefP22_5x_0" localSheetId="43">'203'!$P$43</definedName>
    <definedName name="OSRRefP22_5x_0" localSheetId="44">'204'!$P$43</definedName>
    <definedName name="OSRRefP22_5x_0" localSheetId="45">'205'!$P$39</definedName>
    <definedName name="OSRRefP22_5x_0" localSheetId="46">'206'!$P$40</definedName>
    <definedName name="OSRRefP22_5x_0" localSheetId="48">'300'!$P$196:$P$198</definedName>
    <definedName name="OSRRefP22_5x_0" localSheetId="49">'300 &amp; 317'!$P$222:$P$224</definedName>
    <definedName name="OSRRefP22_5x_0" localSheetId="50">'301'!$P$47:$P$49</definedName>
    <definedName name="OSRRefP22_5x_0" localSheetId="51">'306'!$P$43</definedName>
    <definedName name="OSRRefP22_5x_0" localSheetId="53">'307'!$P$99</definedName>
    <definedName name="OSRRefP22_5x_0" localSheetId="54">'308'!$P$93</definedName>
    <definedName name="OSRRefP22_5x_0" localSheetId="67">'309'!$P$45</definedName>
    <definedName name="OSRRefP22_5x_0" localSheetId="66">'310'!$P$54:$P$55</definedName>
    <definedName name="OSRRefP22_5x_0" localSheetId="74">'310 &amp; 491'!$P$63:$P$65</definedName>
    <definedName name="OSRRefP22_5x_0" localSheetId="55">'311'!$P$92</definedName>
    <definedName name="OSRRefP22_5x_0" localSheetId="68">'313'!$P$51</definedName>
    <definedName name="OSRRefP22_5x_0" localSheetId="58">'314'!$P$77</definedName>
    <definedName name="OSRRefP22_5x_0" localSheetId="60">'315'!$P$107:$P$108</definedName>
    <definedName name="OSRRefP22_5x_0" localSheetId="62">'316'!$P$57</definedName>
    <definedName name="OSRRefP22_5x_0" localSheetId="65">'317'!$P$83:$P$84</definedName>
    <definedName name="OSRRefP22_5x_0" localSheetId="63">'320'!$P$50</definedName>
    <definedName name="OSRRefP22_5x_0" localSheetId="69">'321'!$P$45</definedName>
    <definedName name="OSRRefP22_5x_0" localSheetId="70">'322'!$P$45</definedName>
    <definedName name="OSRRefP22_5x_0" localSheetId="71">'325'!$P$45:$P$46</definedName>
    <definedName name="OSRRefP22_5x_0" localSheetId="56">'326'!$P$85:$P$86</definedName>
    <definedName name="OSRRefP22_5x_0" localSheetId="52">'330'!$P$108</definedName>
    <definedName name="OSRRefP22_5x_0" localSheetId="59">'331'!$P$115:$P$116</definedName>
    <definedName name="OSRRefP22_5x_0" localSheetId="61">'332'!$P$66</definedName>
    <definedName name="OSRRefP22_5x_0" localSheetId="76">'405'!$P$44:$P$45</definedName>
    <definedName name="OSRRefP22_5x_0" localSheetId="77">'406'!$P$46</definedName>
    <definedName name="OSRRefP22_5x_0" localSheetId="78">'411'!$P$45</definedName>
    <definedName name="OSRRefP22_5x_0" localSheetId="79">'412'!$P$46</definedName>
    <definedName name="OSRRefP22_5x_0" localSheetId="80">'413'!$P$45</definedName>
    <definedName name="OSRRefP22_5x_0" localSheetId="81">'414'!$P$46</definedName>
    <definedName name="OSRRefP22_5x_0" localSheetId="82">'415'!$P$46:$P$47</definedName>
    <definedName name="OSRRefP22_5x_0" localSheetId="83">'418'!$P$46:$P$47</definedName>
    <definedName name="OSRRefP22_5x_0" localSheetId="84">'420'!$P$44</definedName>
    <definedName name="OSRRefP22_5x_0" localSheetId="85">'423'!$P$39</definedName>
    <definedName name="OSRRefP22_5x_0" localSheetId="86">'424'!$P$39</definedName>
    <definedName name="OSRRefP22_5x_0" localSheetId="87">'425'!$P$50</definedName>
    <definedName name="OSRRefP22_5x_0" localSheetId="90">'430'!$P$38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4">'450'!$P$48</definedName>
    <definedName name="OSRRefP22_5x_0" localSheetId="75">'491'!$P$56:$P$58</definedName>
    <definedName name="OSRRefP22_5x_0" localSheetId="89">'492'!$P$52</definedName>
    <definedName name="OSRRefP22_5x_0" localSheetId="96">'501'!$P$43:$P$44</definedName>
    <definedName name="OSRRefP22_5x_0" localSheetId="39">'Div 2'!$P$46</definedName>
    <definedName name="OSRRefP22_5x_0" localSheetId="47">'Div 3'!$P$201:$P$203</definedName>
    <definedName name="OSRRefP22_5x_0" localSheetId="73">'Div 4'!$P$57:$P$59</definedName>
    <definedName name="OSRRefP22_5x_0" localSheetId="95">'Div 5'!$P$43:$P$44</definedName>
    <definedName name="OSRRefP22_5x_0" localSheetId="64">'Div 6'!$P$83:$P$84</definedName>
    <definedName name="OSRRefP22_5x_0" localSheetId="2">Summary!$P$235:$P$238</definedName>
    <definedName name="OSRRefP22_6x_0" localSheetId="41">'201'!$P$41</definedName>
    <definedName name="OSRRefP22_6x_0" localSheetId="42">'202'!$P$43:$P$44</definedName>
    <definedName name="OSRRefP22_6x_0" localSheetId="43">'203'!$P$45</definedName>
    <definedName name="OSRRefP22_6x_0" localSheetId="44">'204'!$P$45:$P$47</definedName>
    <definedName name="OSRRefP22_6x_0" localSheetId="45">'205'!$P$41:$P$43</definedName>
    <definedName name="OSRRefP22_6x_0" localSheetId="46">'206'!$P$42:$P$43</definedName>
    <definedName name="OSRRefP22_6x_0" localSheetId="48">'300'!$P$200:$P$201</definedName>
    <definedName name="OSRRefP22_6x_0" localSheetId="49">'300 &amp; 317'!$P$226:$P$227</definedName>
    <definedName name="OSRRefP22_6x_0" localSheetId="50">'301'!$P$51:$P$52</definedName>
    <definedName name="OSRRefP22_6x_0" localSheetId="51">'306'!$P$45:$P$46</definedName>
    <definedName name="OSRRefP22_6x_0" localSheetId="53">'307'!$P$101</definedName>
    <definedName name="OSRRefP22_6x_0" localSheetId="54">'308'!$P$95:$P$96</definedName>
    <definedName name="OSRRefP22_6x_0" localSheetId="67">'309'!$P$47</definedName>
    <definedName name="OSRRefP22_6x_0" localSheetId="66">'310'!$P$57</definedName>
    <definedName name="OSRRefP22_6x_0" localSheetId="74">'310 &amp; 491'!$P$67</definedName>
    <definedName name="OSRRefP22_6x_0" localSheetId="55">'311'!$P$94:$P$95</definedName>
    <definedName name="OSRRefP22_6x_0" localSheetId="68">'313'!$P$53</definedName>
    <definedName name="OSRRefP22_6x_0" localSheetId="58">'314'!$P$79:$P$80</definedName>
    <definedName name="OSRRefP22_6x_0" localSheetId="60">'315'!$P$110:$P$111</definedName>
    <definedName name="OSRRefP22_6x_0" localSheetId="62">'316'!$P$59:$P$60</definedName>
    <definedName name="OSRRefP22_6x_0" localSheetId="65">'317'!$P$86</definedName>
    <definedName name="OSRRefP22_6x_0" localSheetId="63">'320'!$P$52</definedName>
    <definedName name="OSRRefP22_6x_0" localSheetId="69">'321'!$P$47</definedName>
    <definedName name="OSRRefP22_6x_0" localSheetId="70">'322'!$P$47</definedName>
    <definedName name="OSRRefP22_6x_0" localSheetId="71">'325'!$P$48</definedName>
    <definedName name="OSRRefP22_6x_0" localSheetId="56">'326'!$P$88</definedName>
    <definedName name="OSRRefP22_6x_0" localSheetId="52">'330'!$P$110</definedName>
    <definedName name="OSRRefP22_6x_0" localSheetId="59">'331'!$P$118</definedName>
    <definedName name="OSRRefP22_6x_0" localSheetId="61">'332'!$P$68:$P$69</definedName>
    <definedName name="OSRRefP22_6x_0" localSheetId="76">'405'!$P$47</definedName>
    <definedName name="OSRRefP22_6x_0" localSheetId="77">'406'!$P$48</definedName>
    <definedName name="OSRRefP22_6x_0" localSheetId="78">'411'!$P$47</definedName>
    <definedName name="OSRRefP22_6x_0" localSheetId="79">'412'!$P$48</definedName>
    <definedName name="OSRRefP22_6x_0" localSheetId="80">'413'!$P$47</definedName>
    <definedName name="OSRRefP22_6x_0" localSheetId="81">'414'!$P$48</definedName>
    <definedName name="OSRRefP22_6x_0" localSheetId="82">'415'!$P$49</definedName>
    <definedName name="OSRRefP22_6x_0" localSheetId="83">'418'!$P$49</definedName>
    <definedName name="OSRRefP22_6x_0" localSheetId="84">'420'!$P$46:$P$47</definedName>
    <definedName name="OSRRefP22_6x_0" localSheetId="85">'423'!$P$41</definedName>
    <definedName name="OSRRefP22_6x_0" localSheetId="86">'424'!$P$41</definedName>
    <definedName name="OSRRefP22_6x_0" localSheetId="87">'425'!$P$52</definedName>
    <definedName name="OSRRefP22_6x_0" localSheetId="90">'430'!$P$40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4">'450'!$P$50</definedName>
    <definedName name="OSRRefP22_6x_0" localSheetId="75">'491'!$P$60</definedName>
    <definedName name="OSRRefP22_6x_0" localSheetId="89">'492'!$P$54</definedName>
    <definedName name="OSRRefP22_6x_0" localSheetId="96">'501'!$P$46</definedName>
    <definedName name="OSRRefP22_6x_0" localSheetId="39">'Div 2'!$P$48</definedName>
    <definedName name="OSRRefP22_6x_0" localSheetId="47">'Div 3'!$P$205:$P$206</definedName>
    <definedName name="OSRRefP22_6x_0" localSheetId="73">'Div 4'!$P$61</definedName>
    <definedName name="OSRRefP22_6x_0" localSheetId="95">'Div 5'!$P$46</definedName>
    <definedName name="OSRRefP22_6x_0" localSheetId="64">'Div 6'!$P$86</definedName>
    <definedName name="OSRRefP22_6x_0" localSheetId="2">Summary!$P$240:$P$241</definedName>
    <definedName name="OSRRefP22_7x_0" localSheetId="41">'201'!$P$43</definedName>
    <definedName name="OSRRefP22_7x_0" localSheetId="42">'202'!$P$46</definedName>
    <definedName name="OSRRefP22_7x_0" localSheetId="43">'203'!$P$47</definedName>
    <definedName name="OSRRefP22_7x_0" localSheetId="44">'204'!$P$49</definedName>
    <definedName name="OSRRefP22_7x_0" localSheetId="45">'205'!$P$45</definedName>
    <definedName name="OSRRefP22_7x_0" localSheetId="46">'206'!$P$45</definedName>
    <definedName name="OSRRefP22_7x_0" localSheetId="48">'300'!$P$203</definedName>
    <definedName name="OSRRefP22_7x_0" localSheetId="49">'300 &amp; 317'!$P$229</definedName>
    <definedName name="OSRRefP22_7x_0" localSheetId="50">'301'!$P$54</definedName>
    <definedName name="OSRRefP22_7x_0" localSheetId="51">'306'!$P$48:$P$50</definedName>
    <definedName name="OSRRefP22_7x_0" localSheetId="53">'307'!$P$103:$P$104</definedName>
    <definedName name="OSRRefP22_7x_0" localSheetId="54">'308'!$P$98</definedName>
    <definedName name="OSRRefP22_7x_0" localSheetId="67">'309'!$P$49</definedName>
    <definedName name="OSRRefP22_7x_0" localSheetId="66">'310'!$P$59</definedName>
    <definedName name="OSRRefP22_7x_0" localSheetId="74">'310 &amp; 491'!$P$69</definedName>
    <definedName name="OSRRefP22_7x_0" localSheetId="55">'311'!$P$97</definedName>
    <definedName name="OSRRefP22_7x_0" localSheetId="68">'313'!$P$55</definedName>
    <definedName name="OSRRefP22_7x_0" localSheetId="58">'314'!$P$82</definedName>
    <definedName name="OSRRefP22_7x_0" localSheetId="60">'315'!$P$113</definedName>
    <definedName name="OSRRefP22_7x_0" localSheetId="62">'316'!$P$62</definedName>
    <definedName name="OSRRefP22_7x_0" localSheetId="65">'317'!$P$88</definedName>
    <definedName name="OSRRefP22_7x_0" localSheetId="63">'320'!$P$54:$P$55</definedName>
    <definedName name="OSRRefP22_7x_0" localSheetId="69">'321'!$P$49:$P$51</definedName>
    <definedName name="OSRRefP22_7x_0" localSheetId="70">'322'!$P$49</definedName>
    <definedName name="OSRRefP22_7x_0" localSheetId="71">'325'!$P$50</definedName>
    <definedName name="OSRRefP22_7x_0" localSheetId="56">'326'!$P$90</definedName>
    <definedName name="OSRRefP22_7x_0" localSheetId="52">'330'!$P$112</definedName>
    <definedName name="OSRRefP22_7x_0" localSheetId="59">'331'!$P$120:$P$121</definedName>
    <definedName name="OSRRefP22_7x_0" localSheetId="61">'332'!$P$71</definedName>
    <definedName name="OSRRefP22_7x_0" localSheetId="76">'405'!$P$49</definedName>
    <definedName name="OSRRefP22_7x_0" localSheetId="77">'406'!$P$50</definedName>
    <definedName name="OSRRefP22_7x_0" localSheetId="78">'411'!$P$49</definedName>
    <definedName name="OSRRefP22_7x_0" localSheetId="79">'412'!$P$50</definedName>
    <definedName name="OSRRefP22_7x_0" localSheetId="80">'413'!$P$49:$P$51</definedName>
    <definedName name="OSRRefP22_7x_0" localSheetId="81">'414'!$P$50</definedName>
    <definedName name="OSRRefP22_7x_0" localSheetId="82">'415'!$P$51</definedName>
    <definedName name="OSRRefP22_7x_0" localSheetId="83">'418'!$P$51</definedName>
    <definedName name="OSRRefP22_7x_0" localSheetId="84">'420'!$P$49</definedName>
    <definedName name="OSRRefP22_7x_0" localSheetId="86">'424'!$P$43</definedName>
    <definedName name="OSRRefP22_7x_0" localSheetId="87">'425'!$P$54</definedName>
    <definedName name="OSRRefP22_7x_0" localSheetId="90">'430'!$P$42</definedName>
    <definedName name="OSRRefP22_7x_0" localSheetId="91">'433'!$P$53</definedName>
    <definedName name="OSRRefP22_7x_0" localSheetId="92">'435'!$P$43:$P$45</definedName>
    <definedName name="OSRRefP22_7x_0" localSheetId="93">'444'!$P$52</definedName>
    <definedName name="OSRRefP22_7x_0" localSheetId="94">'450'!$P$52</definedName>
    <definedName name="OSRRefP22_7x_0" localSheetId="75">'491'!$P$62</definedName>
    <definedName name="OSRRefP22_7x_0" localSheetId="89">'492'!$P$56</definedName>
    <definedName name="OSRRefP22_7x_0" localSheetId="96">'501'!$P$48</definedName>
    <definedName name="OSRRefP22_7x_0" localSheetId="39">'Div 2'!$P$50</definedName>
    <definedName name="OSRRefP22_7x_0" localSheetId="47">'Div 3'!$P$208</definedName>
    <definedName name="OSRRefP22_7x_0" localSheetId="73">'Div 4'!$P$63</definedName>
    <definedName name="OSRRefP22_7x_0" localSheetId="95">'Div 5'!$P$48</definedName>
    <definedName name="OSRRefP22_7x_0" localSheetId="64">'Div 6'!$P$88</definedName>
    <definedName name="OSRRefP22_7x_0" localSheetId="2">Summary!$P$243</definedName>
    <definedName name="OSRRefP22_8x_0" localSheetId="41">'201'!$P$45</definedName>
    <definedName name="OSRRefP22_8x_0" localSheetId="42">'202'!$P$48</definedName>
    <definedName name="OSRRefP22_8x_0" localSheetId="43">'203'!$P$49</definedName>
    <definedName name="OSRRefP22_8x_0" localSheetId="44">'204'!$P$51:$P$52</definedName>
    <definedName name="OSRRefP22_8x_0" localSheetId="45">'205'!$P$47</definedName>
    <definedName name="OSRRefP22_8x_0" localSheetId="46">'206'!$P$47</definedName>
    <definedName name="OSRRefP22_8x_0" localSheetId="48">'300'!$P$205</definedName>
    <definedName name="OSRRefP22_8x_0" localSheetId="49">'300 &amp; 317'!$P$231</definedName>
    <definedName name="OSRRefP22_8x_0" localSheetId="50">'301'!$P$56</definedName>
    <definedName name="OSRRefP22_8x_0" localSheetId="51">'306'!$P$52</definedName>
    <definedName name="OSRRefP22_8x_0" localSheetId="53">'307'!$P$106:$P$107</definedName>
    <definedName name="OSRRefP22_8x_0" localSheetId="54">'308'!$P$100:$P$101</definedName>
    <definedName name="OSRRefP22_8x_0" localSheetId="67">'309'!$P$51</definedName>
    <definedName name="OSRRefP22_8x_0" localSheetId="66">'310'!$P$61</definedName>
    <definedName name="OSRRefP22_8x_0" localSheetId="74">'310 &amp; 491'!$P$71</definedName>
    <definedName name="OSRRefP22_8x_0" localSheetId="55">'311'!$P$99:$P$100</definedName>
    <definedName name="OSRRefP22_8x_0" localSheetId="68">'313'!$P$57:$P$59</definedName>
    <definedName name="OSRRefP22_8x_0" localSheetId="58">'314'!$P$84</definedName>
    <definedName name="OSRRefP22_8x_0" localSheetId="60">'315'!$P$115</definedName>
    <definedName name="OSRRefP22_8x_0" localSheetId="62">'316'!$P$64:$P$66</definedName>
    <definedName name="OSRRefP22_8x_0" localSheetId="65">'317'!$P$90:$P$91</definedName>
    <definedName name="OSRRefP22_8x_0" localSheetId="63">'320'!$P$57</definedName>
    <definedName name="OSRRefP22_8x_0" localSheetId="69">'321'!$P$53</definedName>
    <definedName name="OSRRefP22_8x_0" localSheetId="70">'322'!$P$51:$P$52</definedName>
    <definedName name="OSRRefP22_8x_0" localSheetId="71">'325'!$P$52</definedName>
    <definedName name="OSRRefP22_8x_0" localSheetId="56">'326'!$P$92</definedName>
    <definedName name="OSRRefP22_8x_0" localSheetId="52">'330'!$P$114:$P$115</definedName>
    <definedName name="OSRRefP22_8x_0" localSheetId="59">'331'!$P$123</definedName>
    <definedName name="OSRRefP22_8x_0" localSheetId="61">'332'!$P$73</definedName>
    <definedName name="OSRRefP22_8x_0" localSheetId="76">'405'!$P$51</definedName>
    <definedName name="OSRRefP22_8x_0" localSheetId="77">'406'!$P$52</definedName>
    <definedName name="OSRRefP22_8x_0" localSheetId="78">'411'!$P$51</definedName>
    <definedName name="OSRRefP22_8x_0" localSheetId="79">'412'!$P$52</definedName>
    <definedName name="OSRRefP22_8x_0" localSheetId="80">'413'!$P$53:$P$55</definedName>
    <definedName name="OSRRefP22_8x_0" localSheetId="81">'414'!$P$52</definedName>
    <definedName name="OSRRefP22_8x_0" localSheetId="82">'415'!$P$53</definedName>
    <definedName name="OSRRefP22_8x_0" localSheetId="83">'418'!$P$53</definedName>
    <definedName name="OSRRefP22_8x_0" localSheetId="86">'424'!$P$45:$P$46</definedName>
    <definedName name="OSRRefP22_8x_0" localSheetId="87">'425'!$P$56</definedName>
    <definedName name="OSRRefP22_8x_0" localSheetId="91">'433'!$P$55</definedName>
    <definedName name="OSRRefP22_8x_0" localSheetId="92">'435'!$P$47</definedName>
    <definedName name="OSRRefP22_8x_0" localSheetId="93">'444'!$P$54</definedName>
    <definedName name="OSRRefP22_8x_0" localSheetId="94">'450'!$P$54</definedName>
    <definedName name="OSRRefP22_8x_0" localSheetId="75">'491'!$P$64</definedName>
    <definedName name="OSRRefP22_8x_0" localSheetId="89">'492'!$P$58</definedName>
    <definedName name="OSRRefP22_8x_0" localSheetId="96">'501'!$P$50</definedName>
    <definedName name="OSRRefP22_8x_0" localSheetId="39">'Div 2'!$P$52</definedName>
    <definedName name="OSRRefP22_8x_0" localSheetId="47">'Div 3'!$P$210</definedName>
    <definedName name="OSRRefP22_8x_0" localSheetId="73">'Div 4'!$P$65</definedName>
    <definedName name="OSRRefP22_8x_0" localSheetId="95">'Div 5'!$P$50</definedName>
    <definedName name="OSRRefP22_8x_0" localSheetId="64">'Div 6'!$P$90:$P$91</definedName>
    <definedName name="OSRRefP22_8x_0" localSheetId="2">Summary!$P$245</definedName>
    <definedName name="OSRRefP22_9x_0" localSheetId="41">'201'!$P$47:$P$49</definedName>
    <definedName name="OSRRefP22_9x_0" localSheetId="42">'202'!$P$50:$P$52</definedName>
    <definedName name="OSRRefP22_9x_0" localSheetId="43">'203'!$P$51:$P$53</definedName>
    <definedName name="OSRRefP22_9x_0" localSheetId="44">'204'!$P$54</definedName>
    <definedName name="OSRRefP22_9x_0" localSheetId="48">'300'!$P$207</definedName>
    <definedName name="OSRRefP22_9x_0" localSheetId="49">'300 &amp; 317'!$P$233</definedName>
    <definedName name="OSRRefP22_9x_0" localSheetId="50">'301'!$P$58</definedName>
    <definedName name="OSRRefP22_9x_0" localSheetId="51">'306'!$P$54</definedName>
    <definedName name="OSRRefP22_9x_0" localSheetId="53">'307'!$P$109:$P$112</definedName>
    <definedName name="OSRRefP22_9x_0" localSheetId="54">'308'!$P$103:$P$104</definedName>
    <definedName name="OSRRefP22_9x_0" localSheetId="67">'309'!$P$53:$P$54</definedName>
    <definedName name="OSRRefP22_9x_0" localSheetId="66">'310'!$P$63</definedName>
    <definedName name="OSRRefP22_9x_0" localSheetId="74">'310 &amp; 491'!$P$73</definedName>
    <definedName name="OSRRefP22_9x_0" localSheetId="55">'311'!$P$102:$P$103</definedName>
    <definedName name="OSRRefP22_9x_0" localSheetId="68">'313'!$P$61</definedName>
    <definedName name="OSRRefP22_9x_0" localSheetId="60">'315'!$P$117:$P$118</definedName>
    <definedName name="OSRRefP22_9x_0" localSheetId="62">'316'!$P$68</definedName>
    <definedName name="OSRRefP22_9x_0" localSheetId="65">'317'!$P$93:$P$94</definedName>
    <definedName name="OSRRefP22_9x_0" localSheetId="69">'321'!$P$55:$P$57</definedName>
    <definedName name="OSRRefP22_9x_0" localSheetId="70">'322'!$P$54:$P$56</definedName>
    <definedName name="OSRRefP22_9x_0" localSheetId="71">'325'!$P$54</definedName>
    <definedName name="OSRRefP22_9x_0" localSheetId="56">'326'!$P$94</definedName>
    <definedName name="OSRRefP22_9x_0" localSheetId="52">'330'!$P$117:$P$118</definedName>
    <definedName name="OSRRefP22_9x_0" localSheetId="59">'331'!$P$125</definedName>
    <definedName name="OSRRefP22_9x_0" localSheetId="61">'332'!$P$75:$P$77</definedName>
    <definedName name="OSRRefP22_9x_0" localSheetId="76">'405'!$P$53</definedName>
    <definedName name="OSRRefP22_9x_0" localSheetId="77">'406'!$P$54:$P$56</definedName>
    <definedName name="OSRRefP22_9x_0" localSheetId="78">'411'!$P$53</definedName>
    <definedName name="OSRRefP22_9x_0" localSheetId="79">'412'!$P$54:$P$56</definedName>
    <definedName name="OSRRefP22_9x_0" localSheetId="80">'413'!$P$57:$P$62</definedName>
    <definedName name="OSRRefP22_9x_0" localSheetId="81">'414'!$P$54:$P$55</definedName>
    <definedName name="OSRRefP22_9x_0" localSheetId="82">'415'!$P$55</definedName>
    <definedName name="OSRRefP22_9x_0" localSheetId="83">'418'!$P$55</definedName>
    <definedName name="OSRRefP22_9x_0" localSheetId="86">'424'!$P$48</definedName>
    <definedName name="OSRRefP22_9x_0" localSheetId="87">'425'!$P$58:$P$60</definedName>
    <definedName name="OSRRefP22_9x_0" localSheetId="91">'433'!$P$57</definedName>
    <definedName name="OSRRefP22_9x_0" localSheetId="93">'444'!$P$56</definedName>
    <definedName name="OSRRefP22_9x_0" localSheetId="94">'450'!$P$56</definedName>
    <definedName name="OSRRefP22_9x_0" localSheetId="75">'491'!$P$66</definedName>
    <definedName name="OSRRefP22_9x_0" localSheetId="89">'492'!$P$60</definedName>
    <definedName name="OSRRefP22_9x_0" localSheetId="96">'501'!$P$52:$P$54</definedName>
    <definedName name="OSRRefP22_9x_0" localSheetId="39">'Div 2'!$P$54:$P$55</definedName>
    <definedName name="OSRRefP22_9x_0" localSheetId="47">'Div 3'!$P$212</definedName>
    <definedName name="OSRRefP22_9x_0" localSheetId="73">'Div 4'!$P$67</definedName>
    <definedName name="OSRRefP22_9x_0" localSheetId="95">'Div 5'!$P$52:$P$54</definedName>
    <definedName name="OSRRefP22_9x_0" localSheetId="64">'Div 6'!$P$93:$P$94</definedName>
    <definedName name="OSRRefP22_9x_0" localSheetId="2">Summary!$P$247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'202'!$P$20:$P$27,'202'!$P$29:$P$33,'202'!$P$35,'202'!$P$37,'202'!$P$39,'202'!$P$41,'202'!$P$43:$P$44,'202'!$P$46,'202'!$P$48,'202'!$P$50:$P$52,'202'!$P$54,'202'!$P$56,'202'!$P$58:$P$60,'202'!$P$62,'202'!$P$64,'202'!$P$66</definedName>
    <definedName name="OSRRefP22x_0" localSheetId="43">'203'!$P$20:$P$29,'203'!$P$31:$P$35,'203'!$P$37,'203'!$P$39,'203'!$P$41,'203'!$P$43,'203'!$P$45,'203'!$P$47,'203'!$P$49,'203'!$P$51:$P$53,'203'!$P$55:$P$56,'203'!$P$58,'203'!$P$60:$P$63,'203'!$P$65,'203'!$P$67,'203'!$P$69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'205'!$P$20:$P$27,'205'!$P$29,'205'!$P$31,'205'!$P$33,'205'!$P$35:$P$37,'205'!$P$39,'205'!$P$41:$P$43,'205'!$P$45,'205'!$P$47</definedName>
    <definedName name="OSRRefP22x_0" localSheetId="46">'206'!$P$20:$P$27,'206'!$P$29:$P$32,'206'!$P$34,'206'!$P$36,'206'!$P$38,'206'!$P$40,'206'!$P$42:$P$43,'206'!$P$45,'206'!$P$47</definedName>
    <definedName name="OSRRefP22x_0" localSheetId="48">'300'!$P$170:$P$179,'300'!$P$181:$P$187,'300'!$P$189,'300'!$P$191:$P$192,'300'!$P$194,'300'!$P$196:$P$198,'300'!$P$200:$P$201,'300'!$P$203,'300'!$P$205,'300'!$P$207,'300'!$P$209:$P$210,'300'!$P$212,'300'!$P$214,'300'!$P$216:$P$218,'300'!$P$220,'300'!$P$222,'300'!$P$224:$P$227,'300'!$P$229:$P$231,'300'!$P$233:$P$236,'300'!$P$238:$P$239,'300'!$P$241:$P$248,'300'!$P$250:$P$251,'300'!$P$253,'300'!$P$255:$P$257,'300'!$P$259</definedName>
    <definedName name="OSRRefP22x_0" localSheetId="49">'300 &amp; 317'!$P$196:$P$205,'300 &amp; 317'!$P$207:$P$213,'300 &amp; 317'!$P$215,'300 &amp; 317'!$P$217:$P$218,'300 &amp; 317'!$P$220,'300 &amp; 317'!$P$222:$P$224,'300 &amp; 317'!$P$226:$P$227,'300 &amp; 317'!$P$229,'300 &amp; 317'!$P$231,'300 &amp; 317'!$P$233,'300 &amp; 317'!$P$235:$P$236,'300 &amp; 317'!$P$238,'300 &amp; 317'!$P$240,'300 &amp; 317'!$P$242:$P$244,'300 &amp; 317'!$P$246,'300 &amp; 317'!$P$248,'300 &amp; 317'!$P$250:$P$253,'300 &amp; 317'!$P$255:$P$257,'300 &amp; 317'!$P$259:$P$262,'300 &amp; 317'!$P$264:$P$265,'300 &amp; 317'!$P$267:$P$274,'300 &amp; 317'!$P$276:$P$277,'300 &amp; 317'!$P$279,'300 &amp; 317'!$P$281:$P$283,'300 &amp; 317'!$P$285</definedName>
    <definedName name="OSRRefP22x_0" localSheetId="50">'301'!$P$21:$P$30,'301'!$P$32:$P$38,'301'!$P$40,'301'!$P$42:$P$43,'301'!$P$45,'301'!$P$47:$P$49,'301'!$P$51:$P$52,'301'!$P$54,'301'!$P$56,'301'!$P$58,'301'!$P$60,'301'!$P$62,'301'!$P$64,'301'!$P$66,'301'!$P$68,'301'!$P$70:$P$73,'301'!$P$75:$P$77,'301'!$P$79:$P$80,'301'!$P$82:$P$88,'301'!$P$90,'301'!$P$92,'301'!$P$94:$P$96,'301'!$P$98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'307'!$P$78:$P$85,'307'!$P$87:$P$90,'307'!$P$92,'307'!$P$94,'307'!$P$96:$P$97,'307'!$P$99,'307'!$P$101,'307'!$P$103:$P$104,'307'!$P$106:$P$107,'307'!$P$109:$P$112,'307'!$P$114,'307'!$P$116</definedName>
    <definedName name="OSRRefP22x_0" localSheetId="54">'308'!$P$68:$P$76,'308'!$P$78:$P$84,'308'!$P$86,'308'!$P$88:$P$89,'308'!$P$91,'308'!$P$93,'308'!$P$95:$P$96,'308'!$P$98,'308'!$P$100:$P$101,'308'!$P$103:$P$104,'308'!$P$106:$P$107,'308'!$P$109:$P$111,'308'!$P$113:$P$114,'308'!$P$116,'308'!$P$118</definedName>
    <definedName name="OSRRefP22x_0" localSheetId="67">'309'!$P$24:$P$31,'309'!$P$33:$P$37,'309'!$P$39,'309'!$P$41,'309'!$P$43,'309'!$P$45,'309'!$P$47,'309'!$P$49,'309'!$P$51,'309'!$P$53:$P$54,'309'!$P$56:$P$58,'309'!$P$60:$P$62,'309'!$P$64</definedName>
    <definedName name="OSRRefP22x_0" localSheetId="66">'310'!$P$32:$P$39,'310'!$P$41:$P$46,'310'!$P$48,'310'!$P$50,'310'!$P$52,'310'!$P$54:$P$55,'310'!$P$57,'310'!$P$59,'310'!$P$61,'310'!$P$63,'310'!$P$65,'310'!$P$67,'310'!$P$69,'310'!$P$71,'310'!$P$73:$P$75,'310'!$P$77,'310'!$P$79:$P$82,'310'!$P$84,'310'!$P$86:$P$94,'310'!$P$96,'310'!$P$98,'310'!$P$100,'310'!$P$102</definedName>
    <definedName name="OSRRefP22x_0" localSheetId="74">'310 &amp; 491'!$P$39:$P$47,'310 &amp; 491'!$P$49:$P$55,'310 &amp; 491'!$P$57,'310 &amp; 491'!$P$59,'310 &amp; 491'!$P$61,'310 &amp; 491'!$P$63:$P$65,'310 &amp; 491'!$P$67,'310 &amp; 491'!$P$69,'310 &amp; 491'!$P$71,'310 &amp; 491'!$P$73,'310 &amp; 491'!$P$75:$P$76,'310 &amp; 491'!$P$78:$P$79,'310 &amp; 491'!$P$81,'310 &amp; 491'!$P$83,'310 &amp; 491'!$P$85,'310 &amp; 491'!$P$87,'310 &amp; 491'!$P$89:$P$92,'310 &amp; 491'!$P$94:$P$95,'310 &amp; 491'!$P$97:$P$101,'310 &amp; 491'!$P$103:$P$104,'310 &amp; 491'!$P$106:$P$115,'310 &amp; 491'!$P$117,'310 &amp; 491'!$P$119,'310 &amp; 491'!$P$121:$P$123,'310 &amp; 491'!$P$125</definedName>
    <definedName name="OSRRefP22x_0" localSheetId="55">'311'!$P$67:$P$75,'311'!$P$77:$P$83,'311'!$P$85,'311'!$P$87:$P$88,'311'!$P$90,'311'!$P$92,'311'!$P$94:$P$95,'311'!$P$97,'311'!$P$99:$P$100,'311'!$P$102:$P$103,'311'!$P$105:$P$106,'311'!$P$108:$P$110,'311'!$P$112:$P$113,'311'!$P$115,'311'!$P$117</definedName>
    <definedName name="OSRRefP22x_0" localSheetId="68">'313'!$P$29:$P$36,'313'!$P$38:$P$43,'313'!$P$45,'313'!$P$47,'313'!$P$49,'313'!$P$51,'313'!$P$53,'313'!$P$55,'313'!$P$57:$P$59,'313'!$P$61,'313'!$P$63:$P$68,'313'!$P$70,'313'!$P$72</definedName>
    <definedName name="OSRRefP22x_0" localSheetId="58">'314'!$P$56:$P$64,'314'!$P$66:$P$68,'314'!$P$70,'314'!$P$72:$P$73,'314'!$P$75,'314'!$P$77,'314'!$P$79:$P$80,'314'!$P$82,'314'!$P$84</definedName>
    <definedName name="OSRRefP22x_0" localSheetId="60">'315'!$P$84:$P$91,'315'!$P$93:$P$98,'315'!$P$100,'315'!$P$102:$P$103,'315'!$P$105,'315'!$P$107:$P$108,'315'!$P$110:$P$111,'315'!$P$113,'315'!$P$115,'315'!$P$117:$P$118,'315'!$P$120:$P$121,'315'!$P$123:$P$127,'315'!$P$129,'315'!$P$131,'315'!$P$133:$P$134</definedName>
    <definedName name="OSRRefP22x_0" localSheetId="62">'316'!$P$37:$P$44,'316'!$P$46:$P$49,'316'!$P$51,'316'!$P$53,'316'!$P$55,'316'!$P$57,'316'!$P$59:$P$60,'316'!$P$62,'316'!$P$64:$P$66,'316'!$P$68,'316'!$P$70,'316'!$P$72:$P$77,'316'!$P$79,'316'!$P$81,'316'!$P$83</definedName>
    <definedName name="OSRRefP22x_0" localSheetId="65">'317'!$P$61:$P$69,'317'!$P$71:$P$75,'317'!$P$77,'317'!$P$79,'317'!$P$81,'317'!$P$83:$P$84,'317'!$P$86,'317'!$P$88,'317'!$P$90:$P$91,'317'!$P$93:$P$94,'317'!$P$96:$P$100,'317'!$P$102,'317'!$P$104,'317'!$P$106</definedName>
    <definedName name="OSRRefP22x_0" localSheetId="63">'320'!$P$29:$P$35,'320'!$P$37:$P$41,'320'!$P$43,'320'!$P$45,'320'!$P$47:$P$48,'320'!$P$50,'320'!$P$52,'320'!$P$54:$P$55,'320'!$P$57</definedName>
    <definedName name="OSRRefP22x_0" localSheetId="69">'321'!$P$24:$P$31,'321'!$P$33:$P$37,'321'!$P$39,'321'!$P$41,'321'!$P$43,'321'!$P$45,'321'!$P$47,'321'!$P$49:$P$51,'321'!$P$53,'321'!$P$55:$P$57,'321'!$P$59:$P$63,'321'!$P$65,'321'!$P$67</definedName>
    <definedName name="OSRRefP22x_0" localSheetId="70">'322'!$P$24:$P$31,'322'!$P$33:$P$37,'322'!$P$39,'322'!$P$41,'322'!$P$43,'322'!$P$45,'322'!$P$47,'322'!$P$49,'322'!$P$51:$P$52,'322'!$P$54:$P$56,'322'!$P$58:$P$64,'322'!$P$66,'322'!$P$68,'322'!$P$70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'325'!$P$24:$P$31,'325'!$P$33:$P$37,'325'!$P$39,'325'!$P$41,'325'!$P$43,'325'!$P$45:$P$46,'325'!$P$48,'325'!$P$50,'325'!$P$52,'325'!$P$54,'325'!$P$56,'325'!$P$58:$P$60,'325'!$P$62:$P$64,'325'!$P$66,'325'!$P$68:$P$72,'325'!$P$74,'325'!$P$76,'325'!$P$78</definedName>
    <definedName name="OSRRefP22x_0" localSheetId="56">'326'!$P$63:$P$70,'326'!$P$72:$P$77,'326'!$P$79,'326'!$P$81,'326'!$P$83,'326'!$P$85:$P$86,'326'!$P$88,'326'!$P$90,'326'!$P$92,'326'!$P$94,'326'!$P$96,'326'!$P$98,'326'!$P$100:$P$102,'326'!$P$104:$P$106,'326'!$P$108:$P$109,'326'!$P$111:$P$116,'326'!$P$118,'326'!$P$120,'326'!$P$122,'326'!$P$124</definedName>
    <definedName name="OSRRefP22x_0" localSheetId="72">'327'!$P$23,'327'!$P$25,'327'!$P$27</definedName>
    <definedName name="OSRRefP22x_0" localSheetId="52">'330'!$P$85:$P$93,'330'!$P$95:$P$99,'330'!$P$101,'330'!$P$103,'330'!$P$105:$P$106,'330'!$P$108,'330'!$P$110,'330'!$P$112,'330'!$P$114:$P$115,'330'!$P$117:$P$118,'330'!$P$120,'330'!$P$122:$P$125,'330'!$P$127,'330'!$P$129,'330'!$P$131</definedName>
    <definedName name="OSRRefP22x_0" localSheetId="59">'331'!$P$93:$P$100,'331'!$P$102:$P$107,'331'!$P$109,'331'!$P$111,'331'!$P$113,'331'!$P$115:$P$116,'331'!$P$118,'331'!$P$120:$P$121,'331'!$P$123,'331'!$P$125,'331'!$P$127:$P$128,'331'!$P$130,'331'!$P$132,'331'!$P$134:$P$136,'331'!$P$138:$P$139,'331'!$P$141:$P$143,'331'!$P$145:$P$146,'331'!$P$148:$P$153,'331'!$P$155,'331'!$P$157,'331'!$P$159:$P$160,'331'!$P$162</definedName>
    <definedName name="OSRRefP22x_0" localSheetId="61">'332'!$P$45:$P$52,'332'!$P$54:$P$58,'332'!$P$60,'332'!$P$62,'332'!$P$64,'332'!$P$66,'332'!$P$68:$P$69,'332'!$P$71,'332'!$P$73,'332'!$P$75:$P$77,'332'!$P$79,'332'!$P$81,'332'!$P$83:$P$88,'332'!$P$90,'332'!$P$92,'332'!$P$94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'406'!$P$24:$P$31,'406'!$P$33:$P$38,'406'!$P$40,'406'!$P$42,'406'!$P$44,'406'!$P$46,'406'!$P$48,'406'!$P$50,'406'!$P$52,'406'!$P$54:$P$56,'406'!$P$58:$P$59,'406'!$P$61:$P$66,'406'!$P$68,'406'!$P$70,'406'!$P$72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79">'412'!$P$24:$P$31,'412'!$P$33:$P$38,'412'!$P$40,'412'!$P$42,'412'!$P$44,'412'!$P$46,'412'!$P$48,'412'!$P$50,'412'!$P$52,'412'!$P$54:$P$56,'412'!$P$58:$P$60,'412'!$P$62:$P$67,'412'!$P$69,'412'!$P$71</definedName>
    <definedName name="OSRRefP22x_0" localSheetId="80">'413'!$P$24:$P$31,'413'!$P$33:$P$37,'413'!$P$39,'413'!$P$41,'413'!$P$43,'413'!$P$45,'413'!$P$47,'413'!$P$49:$P$51,'413'!$P$53:$P$55,'413'!$P$57:$P$62,'413'!$P$64,'413'!$P$66</definedName>
    <definedName name="OSRRefP22x_0" localSheetId="81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2">'415'!$P$24:$P$31,'415'!$P$33:$P$38,'415'!$P$40,'415'!$P$42,'415'!$P$44,'415'!$P$46:$P$47,'415'!$P$49,'415'!$P$51,'415'!$P$53,'415'!$P$55,'415'!$P$57,'415'!$P$59:$P$62,'415'!$P$64:$P$68,'415'!$P$70:$P$71,'415'!$P$73:$P$81,'415'!$P$83,'415'!$P$85,'415'!$P$87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4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'424'!$P$24:$P$25,'424'!$P$27:$P$31,'424'!$P$33,'424'!$P$35,'424'!$P$37,'424'!$P$39,'424'!$P$41,'424'!$P$43,'424'!$P$45:$P$46,'424'!$P$48,'424'!$P$50,'424'!$P$52:$P$56,'424'!$P$58</definedName>
    <definedName name="OSRRefP22x_0" localSheetId="87">'425'!$P$27:$P$35,'425'!$P$37:$P$42,'425'!$P$44,'425'!$P$46,'425'!$P$48,'425'!$P$50,'425'!$P$52,'425'!$P$54,'425'!$P$56,'425'!$P$58:$P$60,'425'!$P$62,'425'!$P$64:$P$66,'425'!$P$68:$P$74,'425'!$P$76,'425'!$P$78</definedName>
    <definedName name="OSRRefP22x_0" localSheetId="90">'430'!$P$20:$P$27,'430'!$P$29,'430'!$P$31,'430'!$P$33,'430'!$P$35:$P$36,'430'!$P$38,'430'!$P$40,'430'!$P$42</definedName>
    <definedName name="OSRRefP22x_0" localSheetId="91">'433'!$P$26:$P$34,'433'!$P$36:$P$41,'433'!$P$43,'433'!$P$45,'433'!$P$47,'433'!$P$49,'433'!$P$51,'433'!$P$53,'433'!$P$55,'433'!$P$57,'433'!$P$59,'433'!$P$61:$P$63,'433'!$P$65:$P$67,'433'!$P$69:$P$76,'433'!$P$78,'433'!$P$80,'433'!$P$82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'444'!$P$25:$P$33,'444'!$P$35:$P$40,'444'!$P$42,'444'!$P$44,'444'!$P$46,'444'!$P$48,'444'!$P$50,'444'!$P$52,'444'!$P$54,'444'!$P$56,'444'!$P$58,'444'!$P$60:$P$62,'444'!$P$64:$P$67,'444'!$P$69,'444'!$P$71:$P$79,'444'!$P$81,'444'!$P$83,'444'!$P$85:$P$86</definedName>
    <definedName name="OSRRefP22x_0" localSheetId="94">'450'!$P$25:$P$33,'450'!$P$35:$P$40,'450'!$P$42,'450'!$P$44,'450'!$P$46,'450'!$P$48,'450'!$P$50,'450'!$P$52,'450'!$P$54,'450'!$P$56,'450'!$P$58,'450'!$P$60,'450'!$P$62:$P$63,'450'!$P$65:$P$67,'450'!$P$69:$P$74,'450'!$P$76,'450'!$P$78,'450'!$P$80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,'491'!$P$66,'491'!$P$68,'491'!$P$70:$P$71,'491'!$P$73,'491'!$P$75,'491'!$P$77,'491'!$P$79,'491'!$P$81:$P$84,'491'!$P$86:$P$87,'491'!$P$89:$P$93,'491'!$P$95:$P$96,'491'!$P$98:$P$107,'491'!$P$109,'491'!$P$111,'491'!$P$113:$P$115,'491'!$P$117</definedName>
    <definedName name="OSRRefP22x_0" localSheetId="89">'492'!$P$28:$P$36,'492'!$P$38:$P$44,'492'!$P$46,'492'!$P$48,'492'!$P$50,'492'!$P$52,'492'!$P$54,'492'!$P$56,'492'!$P$58,'492'!$P$60,'492'!$P$62,'492'!$P$64,'492'!$P$66:$P$68,'492'!$P$70:$P$73,'492'!$P$75,'492'!$P$77:$P$85,'492'!$P$87,'492'!$P$89,'492'!$P$91:$P$92</definedName>
    <definedName name="OSRRefP22x_0" localSheetId="96">'501'!$P$21:$P$29,'501'!$P$31:$P$35,'501'!$P$37,'501'!$P$39,'501'!$P$41,'501'!$P$43:$P$44,'501'!$P$46,'501'!$P$48,'501'!$P$50,'501'!$P$52:$P$54,'501'!$P$56,'501'!$P$58:$P$60,'501'!$P$62,'501'!$P$64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3'!$P$175:$P$184,'Div 3'!$P$186:$P$192,'Div 3'!$P$194,'Div 3'!$P$196:$P$197,'Div 3'!$P$199,'Div 3'!$P$201:$P$203,'Div 3'!$P$205:$P$206,'Div 3'!$P$208,'Div 3'!$P$210,'Div 3'!$P$212,'Div 3'!$P$214:$P$215,'Div 3'!$P$217,'Div 3'!$P$219,'Div 3'!$P$221,'Div 3'!$P$223:$P$225,'Div 3'!$P$227,'Div 3'!$P$229,'Div 3'!$P$231:$P$234,'Div 3'!$P$236:$P$238,'Div 3'!$P$240:$P$244,'Div 3'!$P$246:$P$247,'Div 3'!$P$249:$P$257,'Div 3'!$P$259:$P$260,'Div 3'!$P$262,'Div 3'!$P$264:$P$266,'Div 3'!$P$268</definedName>
    <definedName name="OSRRefP22x_0" localSheetId="73">'Div 4'!$P$33:$P$41,'Div 4'!$P$43:$P$49,'Div 4'!$P$51,'Div 4'!$P$53,'Div 4'!$P$55,'Div 4'!$P$57:$P$59,'Div 4'!$P$61,'Div 4'!$P$63,'Div 4'!$P$65,'Div 4'!$P$67,'Div 4'!$P$69,'Div 4'!$P$71:$P$72,'Div 4'!$P$74,'Div 4'!$P$76,'Div 4'!$P$78,'Div 4'!$P$80,'Div 4'!$P$82,'Div 4'!$P$84:$P$87,'Div 4'!$P$89:$P$90,'Div 4'!$P$92:$P$96,'Div 4'!$P$98:$P$99,'Div 4'!$P$101:$P$110,'Div 4'!$P$112,'Div 4'!$P$114,'Div 4'!$P$116:$P$118,'Div 4'!$P$120</definedName>
    <definedName name="OSRRefP22x_0" localSheetId="95">'Div 5'!$P$21:$P$29,'Div 5'!$P$31:$P$35,'Div 5'!$P$37,'Div 5'!$P$39,'Div 5'!$P$41,'Div 5'!$P$43:$P$44,'Div 5'!$P$46,'Div 5'!$P$48,'Div 5'!$P$50,'Div 5'!$P$52:$P$54,'Div 5'!$P$56,'Div 5'!$P$58:$P$60,'Div 5'!$P$62,'Div 5'!$P$64</definedName>
    <definedName name="OSRRefP22x_0" localSheetId="64">'Div 6'!$P$61:$P$69,'Div 6'!$P$71:$P$75,'Div 6'!$P$77,'Div 6'!$P$79,'Div 6'!$P$81,'Div 6'!$P$83:$P$84,'Div 6'!$P$86,'Div 6'!$P$88,'Div 6'!$P$90:$P$91,'Div 6'!$P$93:$P$94,'Div 6'!$P$96:$P$100,'Div 6'!$P$102,'Div 6'!$P$104,'Div 6'!$P$106</definedName>
    <definedName name="OSRRefP22x_0" localSheetId="2">Summary!$P$209:$P$218,Summary!$P$220:$P$226,Summary!$P$228,Summary!$P$230:$P$231,Summary!$P$233,Summary!$P$235:$P$238,Summary!$P$240:$P$241,Summary!$P$243,Summary!$P$245,Summary!$P$247,Summary!$P$249:$P$250,Summary!$P$252:$P$253,Summary!$P$255,Summary!$P$257,Summary!$P$259:$P$261,Summary!$P$263,Summary!$P$265,Summary!$P$267,Summary!$P$269:$P$272,Summary!$P$274:$P$276,Summary!$P$278:$P$282,Summary!$P$284:$P$285,Summary!$P$287:$P$296,Summary!$P$298:$P$299,Summary!$P$301,Summary!$P$303:$P$305,Summary!$P$307</definedName>
    <definedName name="OSRRefP25x_0" localSheetId="48">'300'!$P$262:$P$270</definedName>
    <definedName name="OSRRefP25x_0" localSheetId="49">'300 &amp; 317'!$P$288:$P$299</definedName>
    <definedName name="OSRRefP25x_0" localSheetId="50">'301'!$P$101:$P$103</definedName>
    <definedName name="OSRRefP25x_0" localSheetId="53">'307'!$P$119</definedName>
    <definedName name="OSRRefP25x_0" localSheetId="54">'308'!$P$121:$P$123</definedName>
    <definedName name="OSRRefP25x_0" localSheetId="74">'310 &amp; 491'!$P$128:$P$130</definedName>
    <definedName name="OSRRefP25x_0" localSheetId="55">'311'!$P$120:$P$122</definedName>
    <definedName name="OSRRefP25x_0" localSheetId="60">'315'!$P$137:$P$139</definedName>
    <definedName name="OSRRefP25x_0" localSheetId="62">'316'!$P$86</definedName>
    <definedName name="OSRRefP25x_0" localSheetId="65">'317'!$P$109:$P$112</definedName>
    <definedName name="OSRRefP25x_0" localSheetId="63">'320'!$P$60:$P$64</definedName>
    <definedName name="OSRRefP25x_0" localSheetId="52">'330'!$P$134</definedName>
    <definedName name="OSRRefP25x_0" localSheetId="59">'331'!$P$165:$P$167</definedName>
    <definedName name="OSRRefP25x_0" localSheetId="61">'332'!$P$97:$P$102</definedName>
    <definedName name="OSRRefP25x_0" localSheetId="78">'411'!$P$94:$P$95</definedName>
    <definedName name="OSRRefP25x_0" localSheetId="80">'413'!$P$69</definedName>
    <definedName name="OSRRefP25x_0" localSheetId="82">'415'!$P$90</definedName>
    <definedName name="OSRRefP25x_0" localSheetId="83">'418'!$P$85</definedName>
    <definedName name="OSRRefP25x_0" localSheetId="85">'423'!$P$44</definedName>
    <definedName name="OSRRefP25x_0" localSheetId="86">'424'!$P$61</definedName>
    <definedName name="OSRRefP25x_0" localSheetId="87">'425'!$P$81</definedName>
    <definedName name="OSRRefP25x_0" localSheetId="88">'455'!$P$32:$P$34</definedName>
    <definedName name="OSRRefP25x_0" localSheetId="75">'491'!$P$120:$P$122</definedName>
    <definedName name="OSRRefP25x_0" localSheetId="96">'501'!$P$67</definedName>
    <definedName name="OSRRefP25x_0" localSheetId="47">'Div 3'!$P$271:$P$279</definedName>
    <definedName name="OSRRefP25x_0" localSheetId="73">'Div 4'!$P$123:$P$125</definedName>
    <definedName name="OSRRefP25x_0" localSheetId="95">'Div 5'!$P$67</definedName>
    <definedName name="OSRRefP25x_0" localSheetId="64">'Div 6'!$P$109:$P$112</definedName>
    <definedName name="OSRRefP25x_0" localSheetId="2">Summary!$P$310:$P$322</definedName>
    <definedName name="OSRRefT13x_0" localSheetId="48">'300'!$T$13:$T$111</definedName>
    <definedName name="OSRRefT13x_0" localSheetId="49">'300 &amp; 317'!$T$13:$T$129</definedName>
    <definedName name="OSRRefT13x_0" localSheetId="53">'307'!$T$13:$T$49</definedName>
    <definedName name="OSRRefT13x_0" localSheetId="54">'308'!$T$13:$T$43</definedName>
    <definedName name="OSRRefT13x_0" localSheetId="67">'309'!$T$13:$T$14</definedName>
    <definedName name="OSRRefT13x_0" localSheetId="66">'310'!$T$13:$T$22</definedName>
    <definedName name="OSRRefT13x_0" localSheetId="74">'310 &amp; 491'!$T$13:$T$29</definedName>
    <definedName name="OSRRefT13x_0" localSheetId="55">'311'!$T$13:$T$42</definedName>
    <definedName name="OSRRefT13x_0" localSheetId="68">'313'!$T$13:$T$19</definedName>
    <definedName name="OSRRefT13x_0" localSheetId="58">'314'!$T$13:$T$33</definedName>
    <definedName name="OSRRefT13x_0" localSheetId="60">'315'!$T$13:$T$51</definedName>
    <definedName name="OSRRefT13x_0" localSheetId="62">'316'!$T$13:$T$29</definedName>
    <definedName name="OSRRefT13x_0" localSheetId="65">'317'!$T$13:$T$37</definedName>
    <definedName name="OSRRefT13x_0" localSheetId="63">'320'!$T$13:$T$16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56">'326'!$T$13:$T$38</definedName>
    <definedName name="OSRRefT13x_0" localSheetId="72">'327'!$T$13</definedName>
    <definedName name="OSRRefT13x_0" localSheetId="52">'330'!$T$13:$T$53</definedName>
    <definedName name="OSRRefT13x_0" localSheetId="59">'331'!$T$13:$T$55</definedName>
    <definedName name="OSRRefT13x_0" localSheetId="61">'332'!$T$13:$T$32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'424'!$T$13:$T$14</definedName>
    <definedName name="OSRRefT13x_0" localSheetId="87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'491'!$T$13:$T$22</definedName>
    <definedName name="OSRRefT13x_0" localSheetId="89">'492'!$T$13:$T$18</definedName>
    <definedName name="OSRRefT13x_0" localSheetId="96">'501'!$T$13</definedName>
    <definedName name="OSRRefT13x_0" localSheetId="47">'Div 3'!$T$13:$T$114</definedName>
    <definedName name="OSRRefT13x_0" localSheetId="73">'Div 4'!$T$13:$T$23</definedName>
    <definedName name="OSRRefT13x_0" localSheetId="95">'Div 5'!$T$13</definedName>
    <definedName name="OSRRefT13x_0" localSheetId="64">'Div 6'!$T$13:$T$37</definedName>
    <definedName name="OSRRefT13x_0" localSheetId="2">Summary!$T$13:$T$140</definedName>
    <definedName name="OSRRefT16x_0" localSheetId="48">'300'!$T$114:$T$164</definedName>
    <definedName name="OSRRefT16x_0" localSheetId="49">'300 &amp; 317'!$T$132:$T$190</definedName>
    <definedName name="OSRRefT16x_0" localSheetId="50">'301'!$T$15</definedName>
    <definedName name="OSRRefT16x_0" localSheetId="53">'307'!$T$52:$T$72</definedName>
    <definedName name="OSRRefT16x_0" localSheetId="54">'308'!$T$46:$T$62</definedName>
    <definedName name="OSRRefT16x_0" localSheetId="67">'309'!$T$17:$T$18</definedName>
    <definedName name="OSRRefT16x_0" localSheetId="66">'310'!$T$25:$T$26</definedName>
    <definedName name="OSRRefT16x_0" localSheetId="74">'310 &amp; 491'!$T$32:$T$33</definedName>
    <definedName name="OSRRefT16x_0" localSheetId="55">'311'!$T$45:$T$61</definedName>
    <definedName name="OSRRefT16x_0" localSheetId="68">'313'!$T$22:$T$23</definedName>
    <definedName name="OSRRefT16x_0" localSheetId="58">'314'!$T$36:$T$50</definedName>
    <definedName name="OSRRefT16x_0" localSheetId="60">'315'!$T$54:$T$78</definedName>
    <definedName name="OSRRefT16x_0" localSheetId="65">'317'!$T$40:$T$55</definedName>
    <definedName name="OSRRefT16x_0" localSheetId="63">'320'!$T$19:$T$23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56">'326'!$T$41:$T$57</definedName>
    <definedName name="OSRRefT16x_0" localSheetId="72">'327'!$T$16:$T$17</definedName>
    <definedName name="OSRRefT16x_0" localSheetId="52">'330'!$T$56:$T$79</definedName>
    <definedName name="OSRRefT16x_0" localSheetId="59">'331'!$T$58:$T$87</definedName>
    <definedName name="OSRRefT16x_0" localSheetId="61">'332'!$T$35:$T$39</definedName>
    <definedName name="OSRRefT16x_0" localSheetId="76">'405'!$T$17:$T$18</definedName>
    <definedName name="OSRRefT16x_0" localSheetId="77">'406'!$T$17:$T$18</definedName>
    <definedName name="OSRRefT16x_0" localSheetId="79">'412'!$T$17:$T$18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'420'!$T$17:$T$18</definedName>
    <definedName name="OSRRefT16x_0" localSheetId="85">'423'!$T$15</definedName>
    <definedName name="OSRRefT16x_0" localSheetId="86">'424'!$T$17:$T$18</definedName>
    <definedName name="OSRRefT16x_0" localSheetId="87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'491'!$T$25:$T$26</definedName>
    <definedName name="OSRRefT16x_0" localSheetId="89">'492'!$T$21:$T$22</definedName>
    <definedName name="OSRRefT16x_0" localSheetId="47">'Div 3'!$T$117:$T$169</definedName>
    <definedName name="OSRRefT16x_0" localSheetId="73">'Div 4'!$T$26:$T$27</definedName>
    <definedName name="OSRRefT16x_0" localSheetId="64">'Div 6'!$T$40:$T$55</definedName>
    <definedName name="OSRRefT16x_0" localSheetId="2">Summary!$T$143:$T$203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'300'!$T$170:$T$179</definedName>
    <definedName name="OSRRefT22_0x_0" localSheetId="49">'300 &amp; 317'!$T$196:$T$205</definedName>
    <definedName name="OSRRefT22_0x_0" localSheetId="50">'301'!$T$21:$T$30</definedName>
    <definedName name="OSRRefT22_0x_0" localSheetId="51">'306'!$T$20:$T$28</definedName>
    <definedName name="OSRRefT22_0x_0" localSheetId="53">'307'!$T$78:$T$85</definedName>
    <definedName name="OSRRefT22_0x_0" localSheetId="54">'308'!$T$68:$T$76</definedName>
    <definedName name="OSRRefT22_0x_0" localSheetId="67">'309'!$T$24:$T$31</definedName>
    <definedName name="OSRRefT22_0x_0" localSheetId="66">'310'!$T$32:$T$39</definedName>
    <definedName name="OSRRefT22_0x_0" localSheetId="74">'310 &amp; 491'!$T$39:$T$47</definedName>
    <definedName name="OSRRefT22_0x_0" localSheetId="55">'311'!$T$67:$T$75</definedName>
    <definedName name="OSRRefT22_0x_0" localSheetId="68">'313'!$T$29:$T$36</definedName>
    <definedName name="OSRRefT22_0x_0" localSheetId="58">'314'!$T$56:$T$64</definedName>
    <definedName name="OSRRefT22_0x_0" localSheetId="60">'315'!$T$84:$T$91</definedName>
    <definedName name="OSRRefT22_0x_0" localSheetId="62">'316'!$T$37:$T$44</definedName>
    <definedName name="OSRRefT22_0x_0" localSheetId="65">'317'!$T$61:$T$69</definedName>
    <definedName name="OSRRefT22_0x_0" localSheetId="63">'320'!$T$29:$T$35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56">'326'!$T$63:$T$70</definedName>
    <definedName name="OSRRefT22_0x_0" localSheetId="72">'327'!$T$23</definedName>
    <definedName name="OSRRefT22_0x_0" localSheetId="52">'330'!$T$85:$T$93</definedName>
    <definedName name="OSRRefT22_0x_0" localSheetId="59">'331'!$T$93:$T$100</definedName>
    <definedName name="OSRRefT22_0x_0" localSheetId="61">'332'!$T$45:$T$52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'412'!$T$24:$T$31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'420'!$T$24:$T$31</definedName>
    <definedName name="OSRRefT22_0x_0" localSheetId="85">'423'!$T$21:$T$28</definedName>
    <definedName name="OSRRefT22_0x_0" localSheetId="86">'424'!$T$24:$T$25</definedName>
    <definedName name="OSRRefT22_0x_0" localSheetId="87">'425'!$T$27:$T$35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'491'!$T$32:$T$40</definedName>
    <definedName name="OSRRefT22_0x_0" localSheetId="89">'492'!$T$28:$T$36</definedName>
    <definedName name="OSRRefT22_0x_0" localSheetId="96">'501'!$T$21:$T$29</definedName>
    <definedName name="OSRRefT22_0x_0" localSheetId="39">'Div 2'!$T$20:$T$30</definedName>
    <definedName name="OSRRefT22_0x_0" localSheetId="47">'Div 3'!$T$175:$T$184</definedName>
    <definedName name="OSRRefT22_0x_0" localSheetId="73">'Div 4'!$T$33:$T$41</definedName>
    <definedName name="OSRRefT22_0x_0" localSheetId="95">'Div 5'!$T$21:$T$29</definedName>
    <definedName name="OSRRefT22_0x_0" localSheetId="64">'Div 6'!$T$61:$T$69</definedName>
    <definedName name="OSRRefT22_0x_0" localSheetId="2">Summary!$T$209:$T$218</definedName>
    <definedName name="OSRRefT22_10x_0" localSheetId="41">'201'!$T$51:$T$53</definedName>
    <definedName name="OSRRefT22_10x_0" localSheetId="42">'202'!$T$54</definedName>
    <definedName name="OSRRefT22_10x_0" localSheetId="43">'203'!$T$55:$T$56</definedName>
    <definedName name="OSRRefT22_10x_0" localSheetId="44">'204'!$T$56:$T$57</definedName>
    <definedName name="OSRRefT22_10x_0" localSheetId="48">'300'!$T$209:$T$210</definedName>
    <definedName name="OSRRefT22_10x_0" localSheetId="49">'300 &amp; 317'!$T$235:$T$236</definedName>
    <definedName name="OSRRefT22_10x_0" localSheetId="50">'301'!$T$60</definedName>
    <definedName name="OSRRefT22_10x_0" localSheetId="53">'307'!$T$114</definedName>
    <definedName name="OSRRefT22_10x_0" localSheetId="54">'308'!$T$106:$T$107</definedName>
    <definedName name="OSRRefT22_10x_0" localSheetId="67">'309'!$T$56:$T$58</definedName>
    <definedName name="OSRRefT22_10x_0" localSheetId="66">'310'!$T$65</definedName>
    <definedName name="OSRRefT22_10x_0" localSheetId="74">'310 &amp; 491'!$T$75:$T$76</definedName>
    <definedName name="OSRRefT22_10x_0" localSheetId="55">'311'!$T$105:$T$106</definedName>
    <definedName name="OSRRefT22_10x_0" localSheetId="68">'313'!$T$63:$T$68</definedName>
    <definedName name="OSRRefT22_10x_0" localSheetId="60">'315'!$T$120:$T$121</definedName>
    <definedName name="OSRRefT22_10x_0" localSheetId="62">'316'!$T$70</definedName>
    <definedName name="OSRRefT22_10x_0" localSheetId="65">'317'!$T$96:$T$100</definedName>
    <definedName name="OSRRefT22_10x_0" localSheetId="69">'321'!$T$59:$T$63</definedName>
    <definedName name="OSRRefT22_10x_0" localSheetId="70">'322'!$T$58:$T$64</definedName>
    <definedName name="OSRRefT22_10x_0" localSheetId="71">'325'!$T$56</definedName>
    <definedName name="OSRRefT22_10x_0" localSheetId="56">'326'!$T$96</definedName>
    <definedName name="OSRRefT22_10x_0" localSheetId="52">'330'!$T$120</definedName>
    <definedName name="OSRRefT22_10x_0" localSheetId="59">'331'!$T$127:$T$128</definedName>
    <definedName name="OSRRefT22_10x_0" localSheetId="61">'332'!$T$79</definedName>
    <definedName name="OSRRefT22_10x_0" localSheetId="76">'405'!$T$55:$T$56</definedName>
    <definedName name="OSRRefT22_10x_0" localSheetId="77">'406'!$T$58:$T$59</definedName>
    <definedName name="OSRRefT22_10x_0" localSheetId="78">'411'!$T$55</definedName>
    <definedName name="OSRRefT22_10x_0" localSheetId="79">'412'!$T$58:$T$60</definedName>
    <definedName name="OSRRefT22_10x_0" localSheetId="80">'413'!$T$64</definedName>
    <definedName name="OSRRefT22_10x_0" localSheetId="81">'414'!$T$57</definedName>
    <definedName name="OSRRefT22_10x_0" localSheetId="82">'415'!$T$57</definedName>
    <definedName name="OSRRefT22_10x_0" localSheetId="83">'418'!$T$57:$T$58</definedName>
    <definedName name="OSRRefT22_10x_0" localSheetId="86">'424'!$T$50</definedName>
    <definedName name="OSRRefT22_10x_0" localSheetId="87">'425'!$T$62</definedName>
    <definedName name="OSRRefT22_10x_0" localSheetId="91">'433'!$T$59</definedName>
    <definedName name="OSRRefT22_10x_0" localSheetId="93">'444'!$T$58</definedName>
    <definedName name="OSRRefT22_10x_0" localSheetId="94">'450'!$T$58</definedName>
    <definedName name="OSRRefT22_10x_0" localSheetId="75">'491'!$T$68</definedName>
    <definedName name="OSRRefT22_10x_0" localSheetId="89">'492'!$T$62</definedName>
    <definedName name="OSRRefT22_10x_0" localSheetId="96">'501'!$T$56</definedName>
    <definedName name="OSRRefT22_10x_0" localSheetId="39">'Div 2'!$T$57</definedName>
    <definedName name="OSRRefT22_10x_0" localSheetId="47">'Div 3'!$T$214:$T$215</definedName>
    <definedName name="OSRRefT22_10x_0" localSheetId="73">'Div 4'!$T$69</definedName>
    <definedName name="OSRRefT22_10x_0" localSheetId="95">'Div 5'!$T$56</definedName>
    <definedName name="OSRRefT22_10x_0" localSheetId="64">'Div 6'!$T$96:$T$100</definedName>
    <definedName name="OSRRefT22_10x_0" localSheetId="2">Summary!$T$249:$T$250</definedName>
    <definedName name="OSRRefT22_11x_0" localSheetId="41">'201'!$T$55</definedName>
    <definedName name="OSRRefT22_11x_0" localSheetId="42">'202'!$T$56</definedName>
    <definedName name="OSRRefT22_11x_0" localSheetId="43">'203'!$T$58</definedName>
    <definedName name="OSRRefT22_11x_0" localSheetId="48">'300'!$T$212</definedName>
    <definedName name="OSRRefT22_11x_0" localSheetId="49">'300 &amp; 317'!$T$238</definedName>
    <definedName name="OSRRefT22_11x_0" localSheetId="50">'301'!$T$62</definedName>
    <definedName name="OSRRefT22_11x_0" localSheetId="53">'307'!$T$116</definedName>
    <definedName name="OSRRefT22_11x_0" localSheetId="54">'308'!$T$109:$T$111</definedName>
    <definedName name="OSRRefT22_11x_0" localSheetId="67">'309'!$T$60:$T$62</definedName>
    <definedName name="OSRRefT22_11x_0" localSheetId="66">'310'!$T$67</definedName>
    <definedName name="OSRRefT22_11x_0" localSheetId="74">'310 &amp; 491'!$T$78:$T$79</definedName>
    <definedName name="OSRRefT22_11x_0" localSheetId="55">'311'!$T$108:$T$110</definedName>
    <definedName name="OSRRefT22_11x_0" localSheetId="68">'313'!$T$70</definedName>
    <definedName name="OSRRefT22_11x_0" localSheetId="60">'315'!$T$123:$T$127</definedName>
    <definedName name="OSRRefT22_11x_0" localSheetId="62">'316'!$T$72:$T$77</definedName>
    <definedName name="OSRRefT22_11x_0" localSheetId="65">'317'!$T$102</definedName>
    <definedName name="OSRRefT22_11x_0" localSheetId="69">'321'!$T$65</definedName>
    <definedName name="OSRRefT22_11x_0" localSheetId="70">'322'!$T$66</definedName>
    <definedName name="OSRRefT22_11x_0" localSheetId="71">'325'!$T$58:$T$60</definedName>
    <definedName name="OSRRefT22_11x_0" localSheetId="56">'326'!$T$98</definedName>
    <definedName name="OSRRefT22_11x_0" localSheetId="52">'330'!$T$122:$T$125</definedName>
    <definedName name="OSRRefT22_11x_0" localSheetId="59">'331'!$T$130</definedName>
    <definedName name="OSRRefT22_11x_0" localSheetId="61">'332'!$T$81</definedName>
    <definedName name="OSRRefT22_11x_0" localSheetId="76">'405'!$T$58</definedName>
    <definedName name="OSRRefT22_11x_0" localSheetId="77">'406'!$T$61:$T$66</definedName>
    <definedName name="OSRRefT22_11x_0" localSheetId="78">'411'!$T$57</definedName>
    <definedName name="OSRRefT22_11x_0" localSheetId="79">'412'!$T$62:$T$67</definedName>
    <definedName name="OSRRefT22_11x_0" localSheetId="80">'413'!$T$66</definedName>
    <definedName name="OSRRefT22_11x_0" localSheetId="81">'414'!$T$59</definedName>
    <definedName name="OSRRefT22_11x_0" localSheetId="82">'415'!$T$59:$T$62</definedName>
    <definedName name="OSRRefT22_11x_0" localSheetId="83">'418'!$T$60:$T$62</definedName>
    <definedName name="OSRRefT22_11x_0" localSheetId="86">'424'!$T$52:$T$56</definedName>
    <definedName name="OSRRefT22_11x_0" localSheetId="87">'425'!$T$64:$T$66</definedName>
    <definedName name="OSRRefT22_11x_0" localSheetId="91">'433'!$T$61:$T$63</definedName>
    <definedName name="OSRRefT22_11x_0" localSheetId="93">'444'!$T$60:$T$62</definedName>
    <definedName name="OSRRefT22_11x_0" localSheetId="94">'450'!$T$60</definedName>
    <definedName name="OSRRefT22_11x_0" localSheetId="75">'491'!$T$70:$T$71</definedName>
    <definedName name="OSRRefT22_11x_0" localSheetId="89">'492'!$T$64</definedName>
    <definedName name="OSRRefT22_11x_0" localSheetId="96">'501'!$T$58:$T$60</definedName>
    <definedName name="OSRRefT22_11x_0" localSheetId="39">'Div 2'!$T$59</definedName>
    <definedName name="OSRRefT22_11x_0" localSheetId="47">'Div 3'!$T$217</definedName>
    <definedName name="OSRRefT22_11x_0" localSheetId="73">'Div 4'!$T$71:$T$72</definedName>
    <definedName name="OSRRefT22_11x_0" localSheetId="95">'Div 5'!$T$58:$T$60</definedName>
    <definedName name="OSRRefT22_11x_0" localSheetId="64">'Div 6'!$T$102</definedName>
    <definedName name="OSRRefT22_11x_0" localSheetId="2">Summary!$T$252:$T$253</definedName>
    <definedName name="OSRRefT22_12x_0" localSheetId="41">'201'!$T$57:$T$60</definedName>
    <definedName name="OSRRefT22_12x_0" localSheetId="42">'202'!$T$58:$T$60</definedName>
    <definedName name="OSRRefT22_12x_0" localSheetId="43">'203'!$T$60:$T$63</definedName>
    <definedName name="OSRRefT22_12x_0" localSheetId="48">'300'!$T$214</definedName>
    <definedName name="OSRRefT22_12x_0" localSheetId="49">'300 &amp; 317'!$T$240</definedName>
    <definedName name="OSRRefT22_12x_0" localSheetId="50">'301'!$T$64</definedName>
    <definedName name="OSRRefT22_12x_0" localSheetId="54">'308'!$T$113:$T$114</definedName>
    <definedName name="OSRRefT22_12x_0" localSheetId="67">'309'!$T$64</definedName>
    <definedName name="OSRRefT22_12x_0" localSheetId="66">'310'!$T$69</definedName>
    <definedName name="OSRRefT22_12x_0" localSheetId="74">'310 &amp; 491'!$T$81</definedName>
    <definedName name="OSRRefT22_12x_0" localSheetId="55">'311'!$T$112:$T$113</definedName>
    <definedName name="OSRRefT22_12x_0" localSheetId="68">'313'!$T$72</definedName>
    <definedName name="OSRRefT22_12x_0" localSheetId="60">'315'!$T$129</definedName>
    <definedName name="OSRRefT22_12x_0" localSheetId="62">'316'!$T$79</definedName>
    <definedName name="OSRRefT22_12x_0" localSheetId="65">'317'!$T$104</definedName>
    <definedName name="OSRRefT22_12x_0" localSheetId="69">'321'!$T$67</definedName>
    <definedName name="OSRRefT22_12x_0" localSheetId="70">'322'!$T$68</definedName>
    <definedName name="OSRRefT22_12x_0" localSheetId="71">'325'!$T$62:$T$64</definedName>
    <definedName name="OSRRefT22_12x_0" localSheetId="56">'326'!$T$100:$T$102</definedName>
    <definedName name="OSRRefT22_12x_0" localSheetId="52">'330'!$T$127</definedName>
    <definedName name="OSRRefT22_12x_0" localSheetId="59">'331'!$T$132</definedName>
    <definedName name="OSRRefT22_12x_0" localSheetId="61">'332'!$T$83:$T$88</definedName>
    <definedName name="OSRRefT22_12x_0" localSheetId="76">'405'!$T$60:$T$62</definedName>
    <definedName name="OSRRefT22_12x_0" localSheetId="77">'406'!$T$68</definedName>
    <definedName name="OSRRefT22_12x_0" localSheetId="78">'411'!$T$59:$T$62</definedName>
    <definedName name="OSRRefT22_12x_0" localSheetId="79">'412'!$T$69</definedName>
    <definedName name="OSRRefT22_12x_0" localSheetId="81">'414'!$T$61</definedName>
    <definedName name="OSRRefT22_12x_0" localSheetId="82">'415'!$T$64:$T$68</definedName>
    <definedName name="OSRRefT22_12x_0" localSheetId="83">'418'!$T$64:$T$66</definedName>
    <definedName name="OSRRefT22_12x_0" localSheetId="86">'424'!$T$58</definedName>
    <definedName name="OSRRefT22_12x_0" localSheetId="87">'425'!$T$68:$T$74</definedName>
    <definedName name="OSRRefT22_12x_0" localSheetId="91">'433'!$T$65:$T$67</definedName>
    <definedName name="OSRRefT22_12x_0" localSheetId="93">'444'!$T$64:$T$67</definedName>
    <definedName name="OSRRefT22_12x_0" localSheetId="94">'450'!$T$62:$T$63</definedName>
    <definedName name="OSRRefT22_12x_0" localSheetId="75">'491'!$T$73</definedName>
    <definedName name="OSRRefT22_12x_0" localSheetId="89">'492'!$T$66:$T$68</definedName>
    <definedName name="OSRRefT22_12x_0" localSheetId="96">'501'!$T$62</definedName>
    <definedName name="OSRRefT22_12x_0" localSheetId="39">'Div 2'!$T$61:$T$64</definedName>
    <definedName name="OSRRefT22_12x_0" localSheetId="47">'Div 3'!$T$219</definedName>
    <definedName name="OSRRefT22_12x_0" localSheetId="73">'Div 4'!$T$74</definedName>
    <definedName name="OSRRefT22_12x_0" localSheetId="95">'Div 5'!$T$62</definedName>
    <definedName name="OSRRefT22_12x_0" localSheetId="64">'Div 6'!$T$104</definedName>
    <definedName name="OSRRefT22_12x_0" localSheetId="2">Summary!$T$255</definedName>
    <definedName name="OSRRefT22_13x_0" localSheetId="41">'201'!$T$62</definedName>
    <definedName name="OSRRefT22_13x_0" localSheetId="42">'202'!$T$62</definedName>
    <definedName name="OSRRefT22_13x_0" localSheetId="43">'203'!$T$65</definedName>
    <definedName name="OSRRefT22_13x_0" localSheetId="48">'300'!$T$216:$T$218</definedName>
    <definedName name="OSRRefT22_13x_0" localSheetId="49">'300 &amp; 317'!$T$242:$T$244</definedName>
    <definedName name="OSRRefT22_13x_0" localSheetId="50">'301'!$T$66</definedName>
    <definedName name="OSRRefT22_13x_0" localSheetId="54">'308'!$T$116</definedName>
    <definedName name="OSRRefT22_13x_0" localSheetId="66">'310'!$T$71</definedName>
    <definedName name="OSRRefT22_13x_0" localSheetId="74">'310 &amp; 491'!$T$83</definedName>
    <definedName name="OSRRefT22_13x_0" localSheetId="55">'311'!$T$115</definedName>
    <definedName name="OSRRefT22_13x_0" localSheetId="60">'315'!$T$131</definedName>
    <definedName name="OSRRefT22_13x_0" localSheetId="62">'316'!$T$81</definedName>
    <definedName name="OSRRefT22_13x_0" localSheetId="65">'317'!$T$106</definedName>
    <definedName name="OSRRefT22_13x_0" localSheetId="70">'322'!$T$70</definedName>
    <definedName name="OSRRefT22_13x_0" localSheetId="71">'325'!$T$66</definedName>
    <definedName name="OSRRefT22_13x_0" localSheetId="56">'326'!$T$104:$T$106</definedName>
    <definedName name="OSRRefT22_13x_0" localSheetId="52">'330'!$T$129</definedName>
    <definedName name="OSRRefT22_13x_0" localSheetId="59">'331'!$T$134:$T$136</definedName>
    <definedName name="OSRRefT22_13x_0" localSheetId="61">'332'!$T$90</definedName>
    <definedName name="OSRRefT22_13x_0" localSheetId="76">'405'!$T$64:$T$65</definedName>
    <definedName name="OSRRefT22_13x_0" localSheetId="77">'406'!$T$70</definedName>
    <definedName name="OSRRefT22_13x_0" localSheetId="78">'411'!$T$64:$T$68</definedName>
    <definedName name="OSRRefT22_13x_0" localSheetId="79">'412'!$T$71</definedName>
    <definedName name="OSRRefT22_13x_0" localSheetId="81">'414'!$T$63:$T$69</definedName>
    <definedName name="OSRRefT22_13x_0" localSheetId="82">'415'!$T$70:$T$71</definedName>
    <definedName name="OSRRefT22_13x_0" localSheetId="83">'418'!$T$68:$T$69</definedName>
    <definedName name="OSRRefT22_13x_0" localSheetId="87">'425'!$T$76</definedName>
    <definedName name="OSRRefT22_13x_0" localSheetId="91">'433'!$T$69:$T$76</definedName>
    <definedName name="OSRRefT22_13x_0" localSheetId="93">'444'!$T$69</definedName>
    <definedName name="OSRRefT22_13x_0" localSheetId="94">'450'!$T$65:$T$67</definedName>
    <definedName name="OSRRefT22_13x_0" localSheetId="75">'491'!$T$75</definedName>
    <definedName name="OSRRefT22_13x_0" localSheetId="89">'492'!$T$70:$T$73</definedName>
    <definedName name="OSRRefT22_13x_0" localSheetId="96">'501'!$T$64</definedName>
    <definedName name="OSRRefT22_13x_0" localSheetId="39">'Div 2'!$T$66:$T$68</definedName>
    <definedName name="OSRRefT22_13x_0" localSheetId="47">'Div 3'!$T$221</definedName>
    <definedName name="OSRRefT22_13x_0" localSheetId="73">'Div 4'!$T$76</definedName>
    <definedName name="OSRRefT22_13x_0" localSheetId="95">'Div 5'!$T$64</definedName>
    <definedName name="OSRRefT22_13x_0" localSheetId="64">'Div 6'!$T$106</definedName>
    <definedName name="OSRRefT22_13x_0" localSheetId="2">Summary!$T$257</definedName>
    <definedName name="OSRRefT22_14x_0" localSheetId="41">'201'!$T$64</definedName>
    <definedName name="OSRRefT22_14x_0" localSheetId="42">'202'!$T$64</definedName>
    <definedName name="OSRRefT22_14x_0" localSheetId="43">'203'!$T$67</definedName>
    <definedName name="OSRRefT22_14x_0" localSheetId="48">'300'!$T$220</definedName>
    <definedName name="OSRRefT22_14x_0" localSheetId="49">'300 &amp; 317'!$T$246</definedName>
    <definedName name="OSRRefT22_14x_0" localSheetId="50">'301'!$T$68</definedName>
    <definedName name="OSRRefT22_14x_0" localSheetId="54">'308'!$T$118</definedName>
    <definedName name="OSRRefT22_14x_0" localSheetId="66">'310'!$T$73:$T$75</definedName>
    <definedName name="OSRRefT22_14x_0" localSheetId="74">'310 &amp; 491'!$T$85</definedName>
    <definedName name="OSRRefT22_14x_0" localSheetId="55">'311'!$T$117</definedName>
    <definedName name="OSRRefT22_14x_0" localSheetId="60">'315'!$T$133:$T$134</definedName>
    <definedName name="OSRRefT22_14x_0" localSheetId="62">'316'!$T$83</definedName>
    <definedName name="OSRRefT22_14x_0" localSheetId="71">'325'!$T$68:$T$72</definedName>
    <definedName name="OSRRefT22_14x_0" localSheetId="56">'326'!$T$108:$T$109</definedName>
    <definedName name="OSRRefT22_14x_0" localSheetId="52">'330'!$T$131</definedName>
    <definedName name="OSRRefT22_14x_0" localSheetId="59">'331'!$T$138:$T$139</definedName>
    <definedName name="OSRRefT22_14x_0" localSheetId="61">'332'!$T$92</definedName>
    <definedName name="OSRRefT22_14x_0" localSheetId="76">'405'!$T$67:$T$73</definedName>
    <definedName name="OSRRefT22_14x_0" localSheetId="77">'406'!$T$72</definedName>
    <definedName name="OSRRefT22_14x_0" localSheetId="78">'411'!$T$70:$T$71</definedName>
    <definedName name="OSRRefT22_14x_0" localSheetId="81">'414'!$T$71</definedName>
    <definedName name="OSRRefT22_14x_0" localSheetId="82">'415'!$T$73:$T$81</definedName>
    <definedName name="OSRRefT22_14x_0" localSheetId="83">'418'!$T$71:$T$78</definedName>
    <definedName name="OSRRefT22_14x_0" localSheetId="87">'425'!$T$78</definedName>
    <definedName name="OSRRefT22_14x_0" localSheetId="91">'433'!$T$78</definedName>
    <definedName name="OSRRefT22_14x_0" localSheetId="93">'444'!$T$71:$T$79</definedName>
    <definedName name="OSRRefT22_14x_0" localSheetId="94">'450'!$T$69:$T$74</definedName>
    <definedName name="OSRRefT22_14x_0" localSheetId="75">'491'!$T$77</definedName>
    <definedName name="OSRRefT22_14x_0" localSheetId="89">'492'!$T$75</definedName>
    <definedName name="OSRRefT22_14x_0" localSheetId="39">'Div 2'!$T$70:$T$71</definedName>
    <definedName name="OSRRefT22_14x_0" localSheetId="47">'Div 3'!$T$223:$T$225</definedName>
    <definedName name="OSRRefT22_14x_0" localSheetId="73">'Div 4'!$T$78</definedName>
    <definedName name="OSRRefT22_14x_0" localSheetId="2">Summary!$T$259:$T$261</definedName>
    <definedName name="OSRRefT22_15x_0" localSheetId="41">'201'!$T$66</definedName>
    <definedName name="OSRRefT22_15x_0" localSheetId="42">'202'!$T$66</definedName>
    <definedName name="OSRRefT22_15x_0" localSheetId="43">'203'!$T$69</definedName>
    <definedName name="OSRRefT22_15x_0" localSheetId="48">'300'!$T$222</definedName>
    <definedName name="OSRRefT22_15x_0" localSheetId="49">'300 &amp; 317'!$T$248</definedName>
    <definedName name="OSRRefT22_15x_0" localSheetId="50">'301'!$T$70:$T$73</definedName>
    <definedName name="OSRRefT22_15x_0" localSheetId="66">'310'!$T$77</definedName>
    <definedName name="OSRRefT22_15x_0" localSheetId="74">'310 &amp; 491'!$T$87</definedName>
    <definedName name="OSRRefT22_15x_0" localSheetId="71">'325'!$T$74</definedName>
    <definedName name="OSRRefT22_15x_0" localSheetId="56">'326'!$T$111:$T$116</definedName>
    <definedName name="OSRRefT22_15x_0" localSheetId="59">'331'!$T$141:$T$143</definedName>
    <definedName name="OSRRefT22_15x_0" localSheetId="61">'332'!$T$94</definedName>
    <definedName name="OSRRefT22_15x_0" localSheetId="76">'405'!$T$75</definedName>
    <definedName name="OSRRefT22_15x_0" localSheetId="78">'411'!$T$73:$T$81</definedName>
    <definedName name="OSRRefT22_15x_0" localSheetId="81">'414'!$T$73</definedName>
    <definedName name="OSRRefT22_15x_0" localSheetId="82">'415'!$T$83</definedName>
    <definedName name="OSRRefT22_15x_0" localSheetId="83">'418'!$T$80</definedName>
    <definedName name="OSRRefT22_15x_0" localSheetId="91">'433'!$T$80</definedName>
    <definedName name="OSRRefT22_15x_0" localSheetId="93">'444'!$T$81</definedName>
    <definedName name="OSRRefT22_15x_0" localSheetId="94">'450'!$T$76</definedName>
    <definedName name="OSRRefT22_15x_0" localSheetId="75">'491'!$T$79</definedName>
    <definedName name="OSRRefT22_15x_0" localSheetId="89">'492'!$T$77:$T$85</definedName>
    <definedName name="OSRRefT22_15x_0" localSheetId="39">'Div 2'!$T$73</definedName>
    <definedName name="OSRRefT22_15x_0" localSheetId="47">'Div 3'!$T$227</definedName>
    <definedName name="OSRRefT22_15x_0" localSheetId="73">'Div 4'!$T$80</definedName>
    <definedName name="OSRRefT22_15x_0" localSheetId="2">Summary!$T$263</definedName>
    <definedName name="OSRRefT22_16x_0" localSheetId="48">'300'!$T$224:$T$227</definedName>
    <definedName name="OSRRefT22_16x_0" localSheetId="49">'300 &amp; 317'!$T$250:$T$253</definedName>
    <definedName name="OSRRefT22_16x_0" localSheetId="50">'301'!$T$75:$T$77</definedName>
    <definedName name="OSRRefT22_16x_0" localSheetId="66">'310'!$T$79:$T$82</definedName>
    <definedName name="OSRRefT22_16x_0" localSheetId="74">'310 &amp; 491'!$T$89:$T$92</definedName>
    <definedName name="OSRRefT22_16x_0" localSheetId="71">'325'!$T$76</definedName>
    <definedName name="OSRRefT22_16x_0" localSheetId="56">'326'!$T$118</definedName>
    <definedName name="OSRRefT22_16x_0" localSheetId="59">'331'!$T$145:$T$146</definedName>
    <definedName name="OSRRefT22_16x_0" localSheetId="76">'405'!$T$77</definedName>
    <definedName name="OSRRefT22_16x_0" localSheetId="78">'411'!$T$83</definedName>
    <definedName name="OSRRefT22_16x_0" localSheetId="82">'415'!$T$85</definedName>
    <definedName name="OSRRefT22_16x_0" localSheetId="83">'418'!$T$82</definedName>
    <definedName name="OSRRefT22_16x_0" localSheetId="91">'433'!$T$82</definedName>
    <definedName name="OSRRefT22_16x_0" localSheetId="93">'444'!$T$83</definedName>
    <definedName name="OSRRefT22_16x_0" localSheetId="94">'450'!$T$78</definedName>
    <definedName name="OSRRefT22_16x_0" localSheetId="75">'491'!$T$81:$T$84</definedName>
    <definedName name="OSRRefT22_16x_0" localSheetId="89">'492'!$T$87</definedName>
    <definedName name="OSRRefT22_16x_0" localSheetId="39">'Div 2'!$T$75:$T$79</definedName>
    <definedName name="OSRRefT22_16x_0" localSheetId="47">'Div 3'!$T$229</definedName>
    <definedName name="OSRRefT22_16x_0" localSheetId="73">'Div 4'!$T$82</definedName>
    <definedName name="OSRRefT22_16x_0" localSheetId="2">Summary!$T$265</definedName>
    <definedName name="OSRRefT22_17x_0" localSheetId="48">'300'!$T$229:$T$231</definedName>
    <definedName name="OSRRefT22_17x_0" localSheetId="49">'300 &amp; 317'!$T$255:$T$257</definedName>
    <definedName name="OSRRefT22_17x_0" localSheetId="50">'301'!$T$79:$T$80</definedName>
    <definedName name="OSRRefT22_17x_0" localSheetId="66">'310'!$T$84</definedName>
    <definedName name="OSRRefT22_17x_0" localSheetId="74">'310 &amp; 491'!$T$94:$T$95</definedName>
    <definedName name="OSRRefT22_17x_0" localSheetId="71">'325'!$T$78</definedName>
    <definedName name="OSRRefT22_17x_0" localSheetId="56">'326'!$T$120</definedName>
    <definedName name="OSRRefT22_17x_0" localSheetId="59">'331'!$T$148:$T$153</definedName>
    <definedName name="OSRRefT22_17x_0" localSheetId="76">'405'!$T$79</definedName>
    <definedName name="OSRRefT22_17x_0" localSheetId="78">'411'!$T$85</definedName>
    <definedName name="OSRRefT22_17x_0" localSheetId="82">'415'!$T$87</definedName>
    <definedName name="OSRRefT22_17x_0" localSheetId="93">'444'!$T$85:$T$86</definedName>
    <definedName name="OSRRefT22_17x_0" localSheetId="94">'450'!$T$80</definedName>
    <definedName name="OSRRefT22_17x_0" localSheetId="75">'491'!$T$86:$T$87</definedName>
    <definedName name="OSRRefT22_17x_0" localSheetId="89">'492'!$T$89</definedName>
    <definedName name="OSRRefT22_17x_0" localSheetId="39">'Div 2'!$T$81:$T$82</definedName>
    <definedName name="OSRRefT22_17x_0" localSheetId="47">'Div 3'!$T$231:$T$234</definedName>
    <definedName name="OSRRefT22_17x_0" localSheetId="73">'Div 4'!$T$84:$T$87</definedName>
    <definedName name="OSRRefT22_17x_0" localSheetId="2">Summary!$T$267</definedName>
    <definedName name="OSRRefT22_18x_0" localSheetId="48">'300'!$T$233:$T$236</definedName>
    <definedName name="OSRRefT22_18x_0" localSheetId="49">'300 &amp; 317'!$T$259:$T$262</definedName>
    <definedName name="OSRRefT22_18x_0" localSheetId="50">'301'!$T$82:$T$88</definedName>
    <definedName name="OSRRefT22_18x_0" localSheetId="66">'310'!$T$86:$T$94</definedName>
    <definedName name="OSRRefT22_18x_0" localSheetId="74">'310 &amp; 491'!$T$97:$T$101</definedName>
    <definedName name="OSRRefT22_18x_0" localSheetId="56">'326'!$T$122</definedName>
    <definedName name="OSRRefT22_18x_0" localSheetId="59">'331'!$T$155</definedName>
    <definedName name="OSRRefT22_18x_0" localSheetId="78">'411'!$T$87:$T$89</definedName>
    <definedName name="OSRRefT22_18x_0" localSheetId="75">'491'!$T$89:$T$93</definedName>
    <definedName name="OSRRefT22_18x_0" localSheetId="89">'492'!$T$91:$T$92</definedName>
    <definedName name="OSRRefT22_18x_0" localSheetId="39">'Div 2'!$T$84</definedName>
    <definedName name="OSRRefT22_18x_0" localSheetId="47">'Div 3'!$T$236:$T$238</definedName>
    <definedName name="OSRRefT22_18x_0" localSheetId="73">'Div 4'!$T$89:$T$90</definedName>
    <definedName name="OSRRefT22_18x_0" localSheetId="2">Summary!$T$269:$T$272</definedName>
    <definedName name="OSRRefT22_19x_0" localSheetId="48">'300'!$T$238:$T$239</definedName>
    <definedName name="OSRRefT22_19x_0" localSheetId="49">'300 &amp; 317'!$T$264:$T$265</definedName>
    <definedName name="OSRRefT22_19x_0" localSheetId="50">'301'!$T$90</definedName>
    <definedName name="OSRRefT22_19x_0" localSheetId="66">'310'!$T$96</definedName>
    <definedName name="OSRRefT22_19x_0" localSheetId="74">'310 &amp; 491'!$T$103:$T$104</definedName>
    <definedName name="OSRRefT22_19x_0" localSheetId="56">'326'!$T$124</definedName>
    <definedName name="OSRRefT22_19x_0" localSheetId="59">'331'!$T$157</definedName>
    <definedName name="OSRRefT22_19x_0" localSheetId="78">'411'!$T$91</definedName>
    <definedName name="OSRRefT22_19x_0" localSheetId="75">'491'!$T$95:$T$96</definedName>
    <definedName name="OSRRefT22_19x_0" localSheetId="39">'Div 2'!$T$86:$T$87</definedName>
    <definedName name="OSRRefT22_19x_0" localSheetId="47">'Div 3'!$T$240:$T$244</definedName>
    <definedName name="OSRRefT22_19x_0" localSheetId="73">'Div 4'!$T$92:$T$96</definedName>
    <definedName name="OSRRefT22_19x_0" localSheetId="2">Summary!$T$274:$T$276</definedName>
    <definedName name="OSRRefT22_1x_0" localSheetId="40">'200'!$T$22</definedName>
    <definedName name="OSRRefT22_1x_0" localSheetId="41">'201'!$T$29:$T$31</definedName>
    <definedName name="OSRRefT22_1x_0" localSheetId="42">'202'!$T$29:$T$33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'300'!$T$181:$T$187</definedName>
    <definedName name="OSRRefT22_1x_0" localSheetId="49">'300 &amp; 317'!$T$207:$T$213</definedName>
    <definedName name="OSRRefT22_1x_0" localSheetId="50">'301'!$T$32:$T$38</definedName>
    <definedName name="OSRRefT22_1x_0" localSheetId="51">'306'!$T$30:$T$35</definedName>
    <definedName name="OSRRefT22_1x_0" localSheetId="53">'307'!$T$87:$T$90</definedName>
    <definedName name="OSRRefT22_1x_0" localSheetId="54">'308'!$T$78:$T$84</definedName>
    <definedName name="OSRRefT22_1x_0" localSheetId="67">'309'!$T$33:$T$37</definedName>
    <definedName name="OSRRefT22_1x_0" localSheetId="66">'310'!$T$41:$T$46</definedName>
    <definedName name="OSRRefT22_1x_0" localSheetId="74">'310 &amp; 491'!$T$49:$T$55</definedName>
    <definedName name="OSRRefT22_1x_0" localSheetId="55">'311'!$T$77:$T$83</definedName>
    <definedName name="OSRRefT22_1x_0" localSheetId="68">'313'!$T$38:$T$43</definedName>
    <definedName name="OSRRefT22_1x_0" localSheetId="58">'314'!$T$66:$T$68</definedName>
    <definedName name="OSRRefT22_1x_0" localSheetId="60">'315'!$T$93:$T$98</definedName>
    <definedName name="OSRRefT22_1x_0" localSheetId="62">'316'!$T$46:$T$49</definedName>
    <definedName name="OSRRefT22_1x_0" localSheetId="65">'317'!$T$71:$T$75</definedName>
    <definedName name="OSRRefT22_1x_0" localSheetId="63">'320'!$T$37:$T$41</definedName>
    <definedName name="OSRRefT22_1x_0" localSheetId="69">'321'!$T$33:$T$37</definedName>
    <definedName name="OSRRefT22_1x_0" localSheetId="70">'322'!$T$33:$T$37</definedName>
    <definedName name="OSRRefT22_1x_0" localSheetId="71">'325'!$T$33:$T$37</definedName>
    <definedName name="OSRRefT22_1x_0" localSheetId="56">'326'!$T$72:$T$77</definedName>
    <definedName name="OSRRefT22_1x_0" localSheetId="72">'327'!$T$25</definedName>
    <definedName name="OSRRefT22_1x_0" localSheetId="52">'330'!$T$95:$T$99</definedName>
    <definedName name="OSRRefT22_1x_0" localSheetId="59">'331'!$T$102:$T$107</definedName>
    <definedName name="OSRRefT22_1x_0" localSheetId="61">'332'!$T$54:$T$58</definedName>
    <definedName name="OSRRefT22_1x_0" localSheetId="76">'405'!$T$33:$T$36</definedName>
    <definedName name="OSRRefT22_1x_0" localSheetId="77">'406'!$T$33:$T$38</definedName>
    <definedName name="OSRRefT22_1x_0" localSheetId="78">'411'!$T$30:$T$35</definedName>
    <definedName name="OSRRefT22_1x_0" localSheetId="79">'412'!$T$33:$T$38</definedName>
    <definedName name="OSRRefT22_1x_0" localSheetId="80">'413'!$T$33:$T$37</definedName>
    <definedName name="OSRRefT22_1x_0" localSheetId="81">'414'!$T$33:$T$38</definedName>
    <definedName name="OSRRefT22_1x_0" localSheetId="82">'415'!$T$33:$T$38</definedName>
    <definedName name="OSRRefT22_1x_0" localSheetId="83">'418'!$T$33:$T$38</definedName>
    <definedName name="OSRRefT22_1x_0" localSheetId="84">'420'!$T$33:$T$36</definedName>
    <definedName name="OSRRefT22_1x_0" localSheetId="85">'423'!$T$30:$T$31</definedName>
    <definedName name="OSRRefT22_1x_0" localSheetId="86">'424'!$T$27:$T$31</definedName>
    <definedName name="OSRRefT22_1x_0" localSheetId="87">'425'!$T$37:$T$42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'491'!$T$42:$T$48</definedName>
    <definedName name="OSRRefT22_1x_0" localSheetId="89">'492'!$T$38:$T$44</definedName>
    <definedName name="OSRRefT22_1x_0" localSheetId="96">'501'!$T$31:$T$35</definedName>
    <definedName name="OSRRefT22_1x_0" localSheetId="39">'Div 2'!$T$32:$T$38</definedName>
    <definedName name="OSRRefT22_1x_0" localSheetId="47">'Div 3'!$T$186:$T$192</definedName>
    <definedName name="OSRRefT22_1x_0" localSheetId="73">'Div 4'!$T$43:$T$49</definedName>
    <definedName name="OSRRefT22_1x_0" localSheetId="95">'Div 5'!$T$31:$T$35</definedName>
    <definedName name="OSRRefT22_1x_0" localSheetId="64">'Div 6'!$T$71:$T$75</definedName>
    <definedName name="OSRRefT22_1x_0" localSheetId="2">Summary!$T$220:$T$226</definedName>
    <definedName name="OSRRefT22_20x_0" localSheetId="48">'300'!$T$241:$T$248</definedName>
    <definedName name="OSRRefT22_20x_0" localSheetId="49">'300 &amp; 317'!$T$267:$T$274</definedName>
    <definedName name="OSRRefT22_20x_0" localSheetId="50">'301'!$T$92</definedName>
    <definedName name="OSRRefT22_20x_0" localSheetId="66">'310'!$T$98</definedName>
    <definedName name="OSRRefT22_20x_0" localSheetId="74">'310 &amp; 491'!$T$106:$T$115</definedName>
    <definedName name="OSRRefT22_20x_0" localSheetId="59">'331'!$T$159:$T$160</definedName>
    <definedName name="OSRRefT22_20x_0" localSheetId="75">'491'!$T$98:$T$107</definedName>
    <definedName name="OSRRefT22_20x_0" localSheetId="47">'Div 3'!$T$246:$T$247</definedName>
    <definedName name="OSRRefT22_20x_0" localSheetId="73">'Div 4'!$T$98:$T$99</definedName>
    <definedName name="OSRRefT22_20x_0" localSheetId="2">Summary!$T$278:$T$282</definedName>
    <definedName name="OSRRefT22_21x_0" localSheetId="48">'300'!$T$250:$T$251</definedName>
    <definedName name="OSRRefT22_21x_0" localSheetId="49">'300 &amp; 317'!$T$276:$T$277</definedName>
    <definedName name="OSRRefT22_21x_0" localSheetId="50">'301'!$T$94:$T$96</definedName>
    <definedName name="OSRRefT22_21x_0" localSheetId="66">'310'!$T$100</definedName>
    <definedName name="OSRRefT22_21x_0" localSheetId="74">'310 &amp; 491'!$T$117</definedName>
    <definedName name="OSRRefT22_21x_0" localSheetId="59">'331'!$T$162</definedName>
    <definedName name="OSRRefT22_21x_0" localSheetId="75">'491'!$T$109</definedName>
    <definedName name="OSRRefT22_21x_0" localSheetId="47">'Div 3'!$T$249:$T$257</definedName>
    <definedName name="OSRRefT22_21x_0" localSheetId="73">'Div 4'!$T$101:$T$110</definedName>
    <definedName name="OSRRefT22_21x_0" localSheetId="2">Summary!$T$284:$T$285</definedName>
    <definedName name="OSRRefT22_22x_0" localSheetId="48">'300'!$T$253</definedName>
    <definedName name="OSRRefT22_22x_0" localSheetId="49">'300 &amp; 317'!$T$279</definedName>
    <definedName name="OSRRefT22_22x_0" localSheetId="50">'301'!$T$98</definedName>
    <definedName name="OSRRefT22_22x_0" localSheetId="66">'310'!$T$102</definedName>
    <definedName name="OSRRefT22_22x_0" localSheetId="74">'310 &amp; 491'!$T$119</definedName>
    <definedName name="OSRRefT22_22x_0" localSheetId="75">'491'!$T$111</definedName>
    <definedName name="OSRRefT22_22x_0" localSheetId="47">'Div 3'!$T$259:$T$260</definedName>
    <definedName name="OSRRefT22_22x_0" localSheetId="73">'Div 4'!$T$112</definedName>
    <definedName name="OSRRefT22_22x_0" localSheetId="2">Summary!$T$287:$T$296</definedName>
    <definedName name="OSRRefT22_23x_0" localSheetId="48">'300'!$T$255:$T$257</definedName>
    <definedName name="OSRRefT22_23x_0" localSheetId="49">'300 &amp; 317'!$T$281:$T$283</definedName>
    <definedName name="OSRRefT22_23x_0" localSheetId="74">'310 &amp; 491'!$T$121:$T$123</definedName>
    <definedName name="OSRRefT22_23x_0" localSheetId="75">'491'!$T$113:$T$115</definedName>
    <definedName name="OSRRefT22_23x_0" localSheetId="47">'Div 3'!$T$262</definedName>
    <definedName name="OSRRefT22_23x_0" localSheetId="73">'Div 4'!$T$114</definedName>
    <definedName name="OSRRefT22_23x_0" localSheetId="2">Summary!$T$298:$T$299</definedName>
    <definedName name="OSRRefT22_24x_0" localSheetId="48">'300'!$T$259</definedName>
    <definedName name="OSRRefT22_24x_0" localSheetId="49">'300 &amp; 317'!$T$285</definedName>
    <definedName name="OSRRefT22_24x_0" localSheetId="74">'310 &amp; 491'!$T$125</definedName>
    <definedName name="OSRRefT22_24x_0" localSheetId="75">'491'!$T$117</definedName>
    <definedName name="OSRRefT22_24x_0" localSheetId="47">'Div 3'!$T$264:$T$266</definedName>
    <definedName name="OSRRefT22_24x_0" localSheetId="73">'Div 4'!$T$116:$T$118</definedName>
    <definedName name="OSRRefT22_24x_0" localSheetId="2">Summary!$T$301</definedName>
    <definedName name="OSRRefT22_25x_0" localSheetId="47">'Div 3'!$T$268</definedName>
    <definedName name="OSRRefT22_25x_0" localSheetId="73">'Div 4'!$T$120</definedName>
    <definedName name="OSRRefT22_25x_0" localSheetId="2">Summary!$T$303:$T$305</definedName>
    <definedName name="OSRRefT22_26x_0" localSheetId="2">Summary!$T$307</definedName>
    <definedName name="OSRRefT22_2x_0" localSheetId="40">'200'!$T$24</definedName>
    <definedName name="OSRRefT22_2x_0" localSheetId="41">'201'!$T$33</definedName>
    <definedName name="OSRRefT22_2x_0" localSheetId="42">'202'!$T$35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'300'!$T$189</definedName>
    <definedName name="OSRRefT22_2x_0" localSheetId="49">'300 &amp; 317'!$T$215</definedName>
    <definedName name="OSRRefT22_2x_0" localSheetId="50">'301'!$T$40</definedName>
    <definedName name="OSRRefT22_2x_0" localSheetId="51">'306'!$T$37</definedName>
    <definedName name="OSRRefT22_2x_0" localSheetId="53">'307'!$T$92</definedName>
    <definedName name="OSRRefT22_2x_0" localSheetId="54">'308'!$T$86</definedName>
    <definedName name="OSRRefT22_2x_0" localSheetId="67">'309'!$T$39</definedName>
    <definedName name="OSRRefT22_2x_0" localSheetId="66">'310'!$T$48</definedName>
    <definedName name="OSRRefT22_2x_0" localSheetId="74">'310 &amp; 491'!$T$57</definedName>
    <definedName name="OSRRefT22_2x_0" localSheetId="55">'311'!$T$85</definedName>
    <definedName name="OSRRefT22_2x_0" localSheetId="68">'313'!$T$45</definedName>
    <definedName name="OSRRefT22_2x_0" localSheetId="58">'314'!$T$70</definedName>
    <definedName name="OSRRefT22_2x_0" localSheetId="60">'315'!$T$100</definedName>
    <definedName name="OSRRefT22_2x_0" localSheetId="62">'316'!$T$51</definedName>
    <definedName name="OSRRefT22_2x_0" localSheetId="65">'317'!$T$77</definedName>
    <definedName name="OSRRefT22_2x_0" localSheetId="63">'320'!$T$43</definedName>
    <definedName name="OSRRefT22_2x_0" localSheetId="69">'321'!$T$39</definedName>
    <definedName name="OSRRefT22_2x_0" localSheetId="70">'322'!$T$39</definedName>
    <definedName name="OSRRefT22_2x_0" localSheetId="71">'325'!$T$39</definedName>
    <definedName name="OSRRefT22_2x_0" localSheetId="56">'326'!$T$79</definedName>
    <definedName name="OSRRefT22_2x_0" localSheetId="72">'327'!$T$27</definedName>
    <definedName name="OSRRefT22_2x_0" localSheetId="52">'330'!$T$101</definedName>
    <definedName name="OSRRefT22_2x_0" localSheetId="59">'331'!$T$109</definedName>
    <definedName name="OSRRefT22_2x_0" localSheetId="61">'332'!$T$60</definedName>
    <definedName name="OSRRefT22_2x_0" localSheetId="76">'405'!$T$38</definedName>
    <definedName name="OSRRefT22_2x_0" localSheetId="77">'406'!$T$40</definedName>
    <definedName name="OSRRefT22_2x_0" localSheetId="78">'411'!$T$37</definedName>
    <definedName name="OSRRefT22_2x_0" localSheetId="79">'412'!$T$40</definedName>
    <definedName name="OSRRefT22_2x_0" localSheetId="80">'413'!$T$39</definedName>
    <definedName name="OSRRefT22_2x_0" localSheetId="81">'414'!$T$40</definedName>
    <definedName name="OSRRefT22_2x_0" localSheetId="82">'415'!$T$40</definedName>
    <definedName name="OSRRefT22_2x_0" localSheetId="83">'418'!$T$40</definedName>
    <definedName name="OSRRefT22_2x_0" localSheetId="84">'420'!$T$38</definedName>
    <definedName name="OSRRefT22_2x_0" localSheetId="85">'423'!$T$33</definedName>
    <definedName name="OSRRefT22_2x_0" localSheetId="86">'424'!$T$33</definedName>
    <definedName name="OSRRefT22_2x_0" localSheetId="87">'425'!$T$44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4">'450'!$T$42</definedName>
    <definedName name="OSRRefT22_2x_0" localSheetId="75">'491'!$T$50</definedName>
    <definedName name="OSRRefT22_2x_0" localSheetId="89">'492'!$T$46</definedName>
    <definedName name="OSRRefT22_2x_0" localSheetId="96">'501'!$T$37</definedName>
    <definedName name="OSRRefT22_2x_0" localSheetId="39">'Div 2'!$T$40</definedName>
    <definedName name="OSRRefT22_2x_0" localSheetId="47">'Div 3'!$T$194</definedName>
    <definedName name="OSRRefT22_2x_0" localSheetId="73">'Div 4'!$T$51</definedName>
    <definedName name="OSRRefT22_2x_0" localSheetId="95">'Div 5'!$T$37</definedName>
    <definedName name="OSRRefT22_2x_0" localSheetId="64">'Div 6'!$T$77</definedName>
    <definedName name="OSRRefT22_2x_0" localSheetId="2">Summary!$T$228</definedName>
    <definedName name="OSRRefT22_3x_0" localSheetId="40">'200'!$T$26</definedName>
    <definedName name="OSRRefT22_3x_0" localSheetId="41">'201'!$T$35</definedName>
    <definedName name="OSRRefT22_3x_0" localSheetId="42">'202'!$T$37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'300'!$T$191:$T$192</definedName>
    <definedName name="OSRRefT22_3x_0" localSheetId="49">'300 &amp; 317'!$T$217:$T$218</definedName>
    <definedName name="OSRRefT22_3x_0" localSheetId="50">'301'!$T$42:$T$43</definedName>
    <definedName name="OSRRefT22_3x_0" localSheetId="51">'306'!$T$39</definedName>
    <definedName name="OSRRefT22_3x_0" localSheetId="53">'307'!$T$94</definedName>
    <definedName name="OSRRefT22_3x_0" localSheetId="54">'308'!$T$88:$T$89</definedName>
    <definedName name="OSRRefT22_3x_0" localSheetId="67">'309'!$T$41</definedName>
    <definedName name="OSRRefT22_3x_0" localSheetId="66">'310'!$T$50</definedName>
    <definedName name="OSRRefT22_3x_0" localSheetId="74">'310 &amp; 491'!$T$59</definedName>
    <definedName name="OSRRefT22_3x_0" localSheetId="55">'311'!$T$87:$T$88</definedName>
    <definedName name="OSRRefT22_3x_0" localSheetId="68">'313'!$T$47</definedName>
    <definedName name="OSRRefT22_3x_0" localSheetId="58">'314'!$T$72:$T$73</definedName>
    <definedName name="OSRRefT22_3x_0" localSheetId="60">'315'!$T$102:$T$103</definedName>
    <definedName name="OSRRefT22_3x_0" localSheetId="62">'316'!$T$53</definedName>
    <definedName name="OSRRefT22_3x_0" localSheetId="65">'317'!$T$79</definedName>
    <definedName name="OSRRefT22_3x_0" localSheetId="63">'320'!$T$45</definedName>
    <definedName name="OSRRefT22_3x_0" localSheetId="69">'321'!$T$41</definedName>
    <definedName name="OSRRefT22_3x_0" localSheetId="70">'322'!$T$41</definedName>
    <definedName name="OSRRefT22_3x_0" localSheetId="71">'325'!$T$41</definedName>
    <definedName name="OSRRefT22_3x_0" localSheetId="56">'326'!$T$81</definedName>
    <definedName name="OSRRefT22_3x_0" localSheetId="52">'330'!$T$103</definedName>
    <definedName name="OSRRefT22_3x_0" localSheetId="59">'331'!$T$111</definedName>
    <definedName name="OSRRefT22_3x_0" localSheetId="61">'332'!$T$62</definedName>
    <definedName name="OSRRefT22_3x_0" localSheetId="76">'405'!$T$40</definedName>
    <definedName name="OSRRefT22_3x_0" localSheetId="77">'406'!$T$42</definedName>
    <definedName name="OSRRefT22_3x_0" localSheetId="78">'411'!$T$39</definedName>
    <definedName name="OSRRefT22_3x_0" localSheetId="79">'412'!$T$42</definedName>
    <definedName name="OSRRefT22_3x_0" localSheetId="80">'413'!$T$41</definedName>
    <definedName name="OSRRefT22_3x_0" localSheetId="81">'414'!$T$42</definedName>
    <definedName name="OSRRefT22_3x_0" localSheetId="82">'415'!$T$42</definedName>
    <definedName name="OSRRefT22_3x_0" localSheetId="83">'418'!$T$42</definedName>
    <definedName name="OSRRefT22_3x_0" localSheetId="84">'420'!$T$40</definedName>
    <definedName name="OSRRefT22_3x_0" localSheetId="85">'423'!$T$35</definedName>
    <definedName name="OSRRefT22_3x_0" localSheetId="86">'424'!$T$35</definedName>
    <definedName name="OSRRefT22_3x_0" localSheetId="87">'425'!$T$46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4">'450'!$T$44</definedName>
    <definedName name="OSRRefT22_3x_0" localSheetId="75">'491'!$T$52</definedName>
    <definedName name="OSRRefT22_3x_0" localSheetId="89">'492'!$T$48</definedName>
    <definedName name="OSRRefT22_3x_0" localSheetId="96">'501'!$T$39</definedName>
    <definedName name="OSRRefT22_3x_0" localSheetId="39">'Div 2'!$T$42</definedName>
    <definedName name="OSRRefT22_3x_0" localSheetId="47">'Div 3'!$T$196:$T$197</definedName>
    <definedName name="OSRRefT22_3x_0" localSheetId="73">'Div 4'!$T$53</definedName>
    <definedName name="OSRRefT22_3x_0" localSheetId="95">'Div 5'!$T$39</definedName>
    <definedName name="OSRRefT22_3x_0" localSheetId="64">'Div 6'!$T$79</definedName>
    <definedName name="OSRRefT22_3x_0" localSheetId="2">Summary!$T$230:$T$231</definedName>
    <definedName name="OSRRefT22_4x_0" localSheetId="40">'200'!$T$28:$T$29</definedName>
    <definedName name="OSRRefT22_4x_0" localSheetId="41">'201'!$T$37</definedName>
    <definedName name="OSRRefT22_4x_0" localSheetId="42">'202'!$T$39</definedName>
    <definedName name="OSRRefT22_4x_0" localSheetId="43">'203'!$T$41</definedName>
    <definedName name="OSRRefT22_4x_0" localSheetId="44">'204'!$T$41</definedName>
    <definedName name="OSRRefT22_4x_0" localSheetId="45">'205'!$T$35:$T$37</definedName>
    <definedName name="OSRRefT22_4x_0" localSheetId="46">'206'!$T$38</definedName>
    <definedName name="OSRRefT22_4x_0" localSheetId="48">'300'!$T$194</definedName>
    <definedName name="OSRRefT22_4x_0" localSheetId="49">'300 &amp; 317'!$T$220</definedName>
    <definedName name="OSRRefT22_4x_0" localSheetId="50">'301'!$T$45</definedName>
    <definedName name="OSRRefT22_4x_0" localSheetId="51">'306'!$T$41</definedName>
    <definedName name="OSRRefT22_4x_0" localSheetId="53">'307'!$T$96:$T$97</definedName>
    <definedName name="OSRRefT22_4x_0" localSheetId="54">'308'!$T$91</definedName>
    <definedName name="OSRRefT22_4x_0" localSheetId="67">'309'!$T$43</definedName>
    <definedName name="OSRRefT22_4x_0" localSheetId="66">'310'!$T$52</definedName>
    <definedName name="OSRRefT22_4x_0" localSheetId="74">'310 &amp; 491'!$T$61</definedName>
    <definedName name="OSRRefT22_4x_0" localSheetId="55">'311'!$T$90</definedName>
    <definedName name="OSRRefT22_4x_0" localSheetId="68">'313'!$T$49</definedName>
    <definedName name="OSRRefT22_4x_0" localSheetId="58">'314'!$T$75</definedName>
    <definedName name="OSRRefT22_4x_0" localSheetId="60">'315'!$T$105</definedName>
    <definedName name="OSRRefT22_4x_0" localSheetId="62">'316'!$T$55</definedName>
    <definedName name="OSRRefT22_4x_0" localSheetId="65">'317'!$T$81</definedName>
    <definedName name="OSRRefT22_4x_0" localSheetId="63">'320'!$T$47:$T$48</definedName>
    <definedName name="OSRRefT22_4x_0" localSheetId="69">'321'!$T$43</definedName>
    <definedName name="OSRRefT22_4x_0" localSheetId="70">'322'!$T$43</definedName>
    <definedName name="OSRRefT22_4x_0" localSheetId="71">'325'!$T$43</definedName>
    <definedName name="OSRRefT22_4x_0" localSheetId="56">'326'!$T$83</definedName>
    <definedName name="OSRRefT22_4x_0" localSheetId="52">'330'!$T$105:$T$106</definedName>
    <definedName name="OSRRefT22_4x_0" localSheetId="59">'331'!$T$113</definedName>
    <definedName name="OSRRefT22_4x_0" localSheetId="61">'332'!$T$64</definedName>
    <definedName name="OSRRefT22_4x_0" localSheetId="76">'405'!$T$42</definedName>
    <definedName name="OSRRefT22_4x_0" localSheetId="77">'406'!$T$44</definedName>
    <definedName name="OSRRefT22_4x_0" localSheetId="78">'411'!$T$41:$T$43</definedName>
    <definedName name="OSRRefT22_4x_0" localSheetId="79">'412'!$T$44</definedName>
    <definedName name="OSRRefT22_4x_0" localSheetId="80">'413'!$T$43</definedName>
    <definedName name="OSRRefT22_4x_0" localSheetId="81">'414'!$T$44</definedName>
    <definedName name="OSRRefT22_4x_0" localSheetId="82">'415'!$T$44</definedName>
    <definedName name="OSRRefT22_4x_0" localSheetId="83">'418'!$T$44</definedName>
    <definedName name="OSRRefT22_4x_0" localSheetId="84">'420'!$T$42</definedName>
    <definedName name="OSRRefT22_4x_0" localSheetId="85">'423'!$T$37</definedName>
    <definedName name="OSRRefT22_4x_0" localSheetId="86">'424'!$T$37</definedName>
    <definedName name="OSRRefT22_4x_0" localSheetId="87">'425'!$T$48</definedName>
    <definedName name="OSRRefT22_4x_0" localSheetId="90">'430'!$T$35:$T$36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4">'450'!$T$46</definedName>
    <definedName name="OSRRefT22_4x_0" localSheetId="75">'491'!$T$54</definedName>
    <definedName name="OSRRefT22_4x_0" localSheetId="89">'492'!$T$50</definedName>
    <definedName name="OSRRefT22_4x_0" localSheetId="96">'501'!$T$41</definedName>
    <definedName name="OSRRefT22_4x_0" localSheetId="39">'Div 2'!$T$44</definedName>
    <definedName name="OSRRefT22_4x_0" localSheetId="47">'Div 3'!$T$199</definedName>
    <definedName name="OSRRefT22_4x_0" localSheetId="73">'Div 4'!$T$55</definedName>
    <definedName name="OSRRefT22_4x_0" localSheetId="95">'Div 5'!$T$41</definedName>
    <definedName name="OSRRefT22_4x_0" localSheetId="64">'Div 6'!$T$81</definedName>
    <definedName name="OSRRefT22_4x_0" localSheetId="2">Summary!$T$233</definedName>
    <definedName name="OSRRefT22_5x_0" localSheetId="41">'201'!$T$39</definedName>
    <definedName name="OSRRefT22_5x_0" localSheetId="42">'202'!$T$41</definedName>
    <definedName name="OSRRefT22_5x_0" localSheetId="43">'203'!$T$43</definedName>
    <definedName name="OSRRefT22_5x_0" localSheetId="44">'204'!$T$43</definedName>
    <definedName name="OSRRefT22_5x_0" localSheetId="45">'205'!$T$39</definedName>
    <definedName name="OSRRefT22_5x_0" localSheetId="46">'206'!$T$40</definedName>
    <definedName name="OSRRefT22_5x_0" localSheetId="48">'300'!$T$196:$T$198</definedName>
    <definedName name="OSRRefT22_5x_0" localSheetId="49">'300 &amp; 317'!$T$222:$T$224</definedName>
    <definedName name="OSRRefT22_5x_0" localSheetId="50">'301'!$T$47:$T$49</definedName>
    <definedName name="OSRRefT22_5x_0" localSheetId="51">'306'!$T$43</definedName>
    <definedName name="OSRRefT22_5x_0" localSheetId="53">'307'!$T$99</definedName>
    <definedName name="OSRRefT22_5x_0" localSheetId="54">'308'!$T$93</definedName>
    <definedName name="OSRRefT22_5x_0" localSheetId="67">'309'!$T$45</definedName>
    <definedName name="OSRRefT22_5x_0" localSheetId="66">'310'!$T$54:$T$55</definedName>
    <definedName name="OSRRefT22_5x_0" localSheetId="74">'310 &amp; 491'!$T$63:$T$65</definedName>
    <definedName name="OSRRefT22_5x_0" localSheetId="55">'311'!$T$92</definedName>
    <definedName name="OSRRefT22_5x_0" localSheetId="68">'313'!$T$51</definedName>
    <definedName name="OSRRefT22_5x_0" localSheetId="58">'314'!$T$77</definedName>
    <definedName name="OSRRefT22_5x_0" localSheetId="60">'315'!$T$107:$T$108</definedName>
    <definedName name="OSRRefT22_5x_0" localSheetId="62">'316'!$T$57</definedName>
    <definedName name="OSRRefT22_5x_0" localSheetId="65">'317'!$T$83:$T$84</definedName>
    <definedName name="OSRRefT22_5x_0" localSheetId="63">'320'!$T$50</definedName>
    <definedName name="OSRRefT22_5x_0" localSheetId="69">'321'!$T$45</definedName>
    <definedName name="OSRRefT22_5x_0" localSheetId="70">'322'!$T$45</definedName>
    <definedName name="OSRRefT22_5x_0" localSheetId="71">'325'!$T$45:$T$46</definedName>
    <definedName name="OSRRefT22_5x_0" localSheetId="56">'326'!$T$85:$T$86</definedName>
    <definedName name="OSRRefT22_5x_0" localSheetId="52">'330'!$T$108</definedName>
    <definedName name="OSRRefT22_5x_0" localSheetId="59">'331'!$T$115:$T$116</definedName>
    <definedName name="OSRRefT22_5x_0" localSheetId="61">'332'!$T$66</definedName>
    <definedName name="OSRRefT22_5x_0" localSheetId="76">'405'!$T$44:$T$45</definedName>
    <definedName name="OSRRefT22_5x_0" localSheetId="77">'406'!$T$46</definedName>
    <definedName name="OSRRefT22_5x_0" localSheetId="78">'411'!$T$45</definedName>
    <definedName name="OSRRefT22_5x_0" localSheetId="79">'412'!$T$46</definedName>
    <definedName name="OSRRefT22_5x_0" localSheetId="80">'413'!$T$45</definedName>
    <definedName name="OSRRefT22_5x_0" localSheetId="81">'414'!$T$46</definedName>
    <definedName name="OSRRefT22_5x_0" localSheetId="82">'415'!$T$46:$T$47</definedName>
    <definedName name="OSRRefT22_5x_0" localSheetId="83">'418'!$T$46:$T$47</definedName>
    <definedName name="OSRRefT22_5x_0" localSheetId="84">'420'!$T$44</definedName>
    <definedName name="OSRRefT22_5x_0" localSheetId="85">'423'!$T$39</definedName>
    <definedName name="OSRRefT22_5x_0" localSheetId="86">'424'!$T$39</definedName>
    <definedName name="OSRRefT22_5x_0" localSheetId="87">'425'!$T$50</definedName>
    <definedName name="OSRRefT22_5x_0" localSheetId="90">'430'!$T$38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4">'450'!$T$48</definedName>
    <definedName name="OSRRefT22_5x_0" localSheetId="75">'491'!$T$56:$T$58</definedName>
    <definedName name="OSRRefT22_5x_0" localSheetId="89">'492'!$T$52</definedName>
    <definedName name="OSRRefT22_5x_0" localSheetId="96">'501'!$T$43:$T$44</definedName>
    <definedName name="OSRRefT22_5x_0" localSheetId="39">'Div 2'!$T$46</definedName>
    <definedName name="OSRRefT22_5x_0" localSheetId="47">'Div 3'!$T$201:$T$203</definedName>
    <definedName name="OSRRefT22_5x_0" localSheetId="73">'Div 4'!$T$57:$T$59</definedName>
    <definedName name="OSRRefT22_5x_0" localSheetId="95">'Div 5'!$T$43:$T$44</definedName>
    <definedName name="OSRRefT22_5x_0" localSheetId="64">'Div 6'!$T$83:$T$84</definedName>
    <definedName name="OSRRefT22_5x_0" localSheetId="2">Summary!$T$235:$T$238</definedName>
    <definedName name="OSRRefT22_6x_0" localSheetId="41">'201'!$T$41</definedName>
    <definedName name="OSRRefT22_6x_0" localSheetId="42">'202'!$T$43:$T$44</definedName>
    <definedName name="OSRRefT22_6x_0" localSheetId="43">'203'!$T$45</definedName>
    <definedName name="OSRRefT22_6x_0" localSheetId="44">'204'!$T$45:$T$47</definedName>
    <definedName name="OSRRefT22_6x_0" localSheetId="45">'205'!$T$41:$T$43</definedName>
    <definedName name="OSRRefT22_6x_0" localSheetId="46">'206'!$T$42:$T$43</definedName>
    <definedName name="OSRRefT22_6x_0" localSheetId="48">'300'!$T$200:$T$201</definedName>
    <definedName name="OSRRefT22_6x_0" localSheetId="49">'300 &amp; 317'!$T$226:$T$227</definedName>
    <definedName name="OSRRefT22_6x_0" localSheetId="50">'301'!$T$51:$T$52</definedName>
    <definedName name="OSRRefT22_6x_0" localSheetId="51">'306'!$T$45:$T$46</definedName>
    <definedName name="OSRRefT22_6x_0" localSheetId="53">'307'!$T$101</definedName>
    <definedName name="OSRRefT22_6x_0" localSheetId="54">'308'!$T$95:$T$96</definedName>
    <definedName name="OSRRefT22_6x_0" localSheetId="67">'309'!$T$47</definedName>
    <definedName name="OSRRefT22_6x_0" localSheetId="66">'310'!$T$57</definedName>
    <definedName name="OSRRefT22_6x_0" localSheetId="74">'310 &amp; 491'!$T$67</definedName>
    <definedName name="OSRRefT22_6x_0" localSheetId="55">'311'!$T$94:$T$95</definedName>
    <definedName name="OSRRefT22_6x_0" localSheetId="68">'313'!$T$53</definedName>
    <definedName name="OSRRefT22_6x_0" localSheetId="58">'314'!$T$79:$T$80</definedName>
    <definedName name="OSRRefT22_6x_0" localSheetId="60">'315'!$T$110:$T$111</definedName>
    <definedName name="OSRRefT22_6x_0" localSheetId="62">'316'!$T$59:$T$60</definedName>
    <definedName name="OSRRefT22_6x_0" localSheetId="65">'317'!$T$86</definedName>
    <definedName name="OSRRefT22_6x_0" localSheetId="63">'320'!$T$52</definedName>
    <definedName name="OSRRefT22_6x_0" localSheetId="69">'321'!$T$47</definedName>
    <definedName name="OSRRefT22_6x_0" localSheetId="70">'322'!$T$47</definedName>
    <definedName name="OSRRefT22_6x_0" localSheetId="71">'325'!$T$48</definedName>
    <definedName name="OSRRefT22_6x_0" localSheetId="56">'326'!$T$88</definedName>
    <definedName name="OSRRefT22_6x_0" localSheetId="52">'330'!$T$110</definedName>
    <definedName name="OSRRefT22_6x_0" localSheetId="59">'331'!$T$118</definedName>
    <definedName name="OSRRefT22_6x_0" localSheetId="61">'332'!$T$68:$T$69</definedName>
    <definedName name="OSRRefT22_6x_0" localSheetId="76">'405'!$T$47</definedName>
    <definedName name="OSRRefT22_6x_0" localSheetId="77">'406'!$T$48</definedName>
    <definedName name="OSRRefT22_6x_0" localSheetId="78">'411'!$T$47</definedName>
    <definedName name="OSRRefT22_6x_0" localSheetId="79">'412'!$T$48</definedName>
    <definedName name="OSRRefT22_6x_0" localSheetId="80">'413'!$T$47</definedName>
    <definedName name="OSRRefT22_6x_0" localSheetId="81">'414'!$T$48</definedName>
    <definedName name="OSRRefT22_6x_0" localSheetId="82">'415'!$T$49</definedName>
    <definedName name="OSRRefT22_6x_0" localSheetId="83">'418'!$T$49</definedName>
    <definedName name="OSRRefT22_6x_0" localSheetId="84">'420'!$T$46:$T$47</definedName>
    <definedName name="OSRRefT22_6x_0" localSheetId="85">'423'!$T$41</definedName>
    <definedName name="OSRRefT22_6x_0" localSheetId="86">'424'!$T$41</definedName>
    <definedName name="OSRRefT22_6x_0" localSheetId="87">'425'!$T$52</definedName>
    <definedName name="OSRRefT22_6x_0" localSheetId="90">'430'!$T$40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4">'450'!$T$50</definedName>
    <definedName name="OSRRefT22_6x_0" localSheetId="75">'491'!$T$60</definedName>
    <definedName name="OSRRefT22_6x_0" localSheetId="89">'492'!$T$54</definedName>
    <definedName name="OSRRefT22_6x_0" localSheetId="96">'501'!$T$46</definedName>
    <definedName name="OSRRefT22_6x_0" localSheetId="39">'Div 2'!$T$48</definedName>
    <definedName name="OSRRefT22_6x_0" localSheetId="47">'Div 3'!$T$205:$T$206</definedName>
    <definedName name="OSRRefT22_6x_0" localSheetId="73">'Div 4'!$T$61</definedName>
    <definedName name="OSRRefT22_6x_0" localSheetId="95">'Div 5'!$T$46</definedName>
    <definedName name="OSRRefT22_6x_0" localSheetId="64">'Div 6'!$T$86</definedName>
    <definedName name="OSRRefT22_6x_0" localSheetId="2">Summary!$T$240:$T$241</definedName>
    <definedName name="OSRRefT22_7x_0" localSheetId="41">'201'!$T$43</definedName>
    <definedName name="OSRRefT22_7x_0" localSheetId="42">'202'!$T$46</definedName>
    <definedName name="OSRRefT22_7x_0" localSheetId="43">'203'!$T$47</definedName>
    <definedName name="OSRRefT22_7x_0" localSheetId="44">'204'!$T$49</definedName>
    <definedName name="OSRRefT22_7x_0" localSheetId="45">'205'!$T$45</definedName>
    <definedName name="OSRRefT22_7x_0" localSheetId="46">'206'!$T$45</definedName>
    <definedName name="OSRRefT22_7x_0" localSheetId="48">'300'!$T$203</definedName>
    <definedName name="OSRRefT22_7x_0" localSheetId="49">'300 &amp; 317'!$T$229</definedName>
    <definedName name="OSRRefT22_7x_0" localSheetId="50">'301'!$T$54</definedName>
    <definedName name="OSRRefT22_7x_0" localSheetId="51">'306'!$T$48:$T$50</definedName>
    <definedName name="OSRRefT22_7x_0" localSheetId="53">'307'!$T$103:$T$104</definedName>
    <definedName name="OSRRefT22_7x_0" localSheetId="54">'308'!$T$98</definedName>
    <definedName name="OSRRefT22_7x_0" localSheetId="67">'309'!$T$49</definedName>
    <definedName name="OSRRefT22_7x_0" localSheetId="66">'310'!$T$59</definedName>
    <definedName name="OSRRefT22_7x_0" localSheetId="74">'310 &amp; 491'!$T$69</definedName>
    <definedName name="OSRRefT22_7x_0" localSheetId="55">'311'!$T$97</definedName>
    <definedName name="OSRRefT22_7x_0" localSheetId="68">'313'!$T$55</definedName>
    <definedName name="OSRRefT22_7x_0" localSheetId="58">'314'!$T$82</definedName>
    <definedName name="OSRRefT22_7x_0" localSheetId="60">'315'!$T$113</definedName>
    <definedName name="OSRRefT22_7x_0" localSheetId="62">'316'!$T$62</definedName>
    <definedName name="OSRRefT22_7x_0" localSheetId="65">'317'!$T$88</definedName>
    <definedName name="OSRRefT22_7x_0" localSheetId="63">'320'!$T$54:$T$55</definedName>
    <definedName name="OSRRefT22_7x_0" localSheetId="69">'321'!$T$49:$T$51</definedName>
    <definedName name="OSRRefT22_7x_0" localSheetId="70">'322'!$T$49</definedName>
    <definedName name="OSRRefT22_7x_0" localSheetId="71">'325'!$T$50</definedName>
    <definedName name="OSRRefT22_7x_0" localSheetId="56">'326'!$T$90</definedName>
    <definedName name="OSRRefT22_7x_0" localSheetId="52">'330'!$T$112</definedName>
    <definedName name="OSRRefT22_7x_0" localSheetId="59">'331'!$T$120:$T$121</definedName>
    <definedName name="OSRRefT22_7x_0" localSheetId="61">'332'!$T$71</definedName>
    <definedName name="OSRRefT22_7x_0" localSheetId="76">'405'!$T$49</definedName>
    <definedName name="OSRRefT22_7x_0" localSheetId="77">'406'!$T$50</definedName>
    <definedName name="OSRRefT22_7x_0" localSheetId="78">'411'!$T$49</definedName>
    <definedName name="OSRRefT22_7x_0" localSheetId="79">'412'!$T$50</definedName>
    <definedName name="OSRRefT22_7x_0" localSheetId="80">'413'!$T$49:$T$51</definedName>
    <definedName name="OSRRefT22_7x_0" localSheetId="81">'414'!$T$50</definedName>
    <definedName name="OSRRefT22_7x_0" localSheetId="82">'415'!$T$51</definedName>
    <definedName name="OSRRefT22_7x_0" localSheetId="83">'418'!$T$51</definedName>
    <definedName name="OSRRefT22_7x_0" localSheetId="84">'420'!$T$49</definedName>
    <definedName name="OSRRefT22_7x_0" localSheetId="86">'424'!$T$43</definedName>
    <definedName name="OSRRefT22_7x_0" localSheetId="87">'425'!$T$54</definedName>
    <definedName name="OSRRefT22_7x_0" localSheetId="90">'430'!$T$42</definedName>
    <definedName name="OSRRefT22_7x_0" localSheetId="91">'433'!$T$53</definedName>
    <definedName name="OSRRefT22_7x_0" localSheetId="92">'435'!$T$43:$T$45</definedName>
    <definedName name="OSRRefT22_7x_0" localSheetId="93">'444'!$T$52</definedName>
    <definedName name="OSRRefT22_7x_0" localSheetId="94">'450'!$T$52</definedName>
    <definedName name="OSRRefT22_7x_0" localSheetId="75">'491'!$T$62</definedName>
    <definedName name="OSRRefT22_7x_0" localSheetId="89">'492'!$T$56</definedName>
    <definedName name="OSRRefT22_7x_0" localSheetId="96">'501'!$T$48</definedName>
    <definedName name="OSRRefT22_7x_0" localSheetId="39">'Div 2'!$T$50</definedName>
    <definedName name="OSRRefT22_7x_0" localSheetId="47">'Div 3'!$T$208</definedName>
    <definedName name="OSRRefT22_7x_0" localSheetId="73">'Div 4'!$T$63</definedName>
    <definedName name="OSRRefT22_7x_0" localSheetId="95">'Div 5'!$T$48</definedName>
    <definedName name="OSRRefT22_7x_0" localSheetId="64">'Div 6'!$T$88</definedName>
    <definedName name="OSRRefT22_7x_0" localSheetId="2">Summary!$T$243</definedName>
    <definedName name="OSRRefT22_8x_0" localSheetId="41">'201'!$T$45</definedName>
    <definedName name="OSRRefT22_8x_0" localSheetId="42">'202'!$T$48</definedName>
    <definedName name="OSRRefT22_8x_0" localSheetId="43">'203'!$T$49</definedName>
    <definedName name="OSRRefT22_8x_0" localSheetId="44">'204'!$T$51:$T$52</definedName>
    <definedName name="OSRRefT22_8x_0" localSheetId="45">'205'!$T$47</definedName>
    <definedName name="OSRRefT22_8x_0" localSheetId="46">'206'!$T$47</definedName>
    <definedName name="OSRRefT22_8x_0" localSheetId="48">'300'!$T$205</definedName>
    <definedName name="OSRRefT22_8x_0" localSheetId="49">'300 &amp; 317'!$T$231</definedName>
    <definedName name="OSRRefT22_8x_0" localSheetId="50">'301'!$T$56</definedName>
    <definedName name="OSRRefT22_8x_0" localSheetId="51">'306'!$T$52</definedName>
    <definedName name="OSRRefT22_8x_0" localSheetId="53">'307'!$T$106:$T$107</definedName>
    <definedName name="OSRRefT22_8x_0" localSheetId="54">'308'!$T$100:$T$101</definedName>
    <definedName name="OSRRefT22_8x_0" localSheetId="67">'309'!$T$51</definedName>
    <definedName name="OSRRefT22_8x_0" localSheetId="66">'310'!$T$61</definedName>
    <definedName name="OSRRefT22_8x_0" localSheetId="74">'310 &amp; 491'!$T$71</definedName>
    <definedName name="OSRRefT22_8x_0" localSheetId="55">'311'!$T$99:$T$100</definedName>
    <definedName name="OSRRefT22_8x_0" localSheetId="68">'313'!$T$57:$T$59</definedName>
    <definedName name="OSRRefT22_8x_0" localSheetId="58">'314'!$T$84</definedName>
    <definedName name="OSRRefT22_8x_0" localSheetId="60">'315'!$T$115</definedName>
    <definedName name="OSRRefT22_8x_0" localSheetId="62">'316'!$T$64:$T$66</definedName>
    <definedName name="OSRRefT22_8x_0" localSheetId="65">'317'!$T$90:$T$91</definedName>
    <definedName name="OSRRefT22_8x_0" localSheetId="63">'320'!$T$57</definedName>
    <definedName name="OSRRefT22_8x_0" localSheetId="69">'321'!$T$53</definedName>
    <definedName name="OSRRefT22_8x_0" localSheetId="70">'322'!$T$51:$T$52</definedName>
    <definedName name="OSRRefT22_8x_0" localSheetId="71">'325'!$T$52</definedName>
    <definedName name="OSRRefT22_8x_0" localSheetId="56">'326'!$T$92</definedName>
    <definedName name="OSRRefT22_8x_0" localSheetId="52">'330'!$T$114:$T$115</definedName>
    <definedName name="OSRRefT22_8x_0" localSheetId="59">'331'!$T$123</definedName>
    <definedName name="OSRRefT22_8x_0" localSheetId="61">'332'!$T$73</definedName>
    <definedName name="OSRRefT22_8x_0" localSheetId="76">'405'!$T$51</definedName>
    <definedName name="OSRRefT22_8x_0" localSheetId="77">'406'!$T$52</definedName>
    <definedName name="OSRRefT22_8x_0" localSheetId="78">'411'!$T$51</definedName>
    <definedName name="OSRRefT22_8x_0" localSheetId="79">'412'!$T$52</definedName>
    <definedName name="OSRRefT22_8x_0" localSheetId="80">'413'!$T$53:$T$55</definedName>
    <definedName name="OSRRefT22_8x_0" localSheetId="81">'414'!$T$52</definedName>
    <definedName name="OSRRefT22_8x_0" localSheetId="82">'415'!$T$53</definedName>
    <definedName name="OSRRefT22_8x_0" localSheetId="83">'418'!$T$53</definedName>
    <definedName name="OSRRefT22_8x_0" localSheetId="86">'424'!$T$45:$T$46</definedName>
    <definedName name="OSRRefT22_8x_0" localSheetId="87">'425'!$T$56</definedName>
    <definedName name="OSRRefT22_8x_0" localSheetId="91">'433'!$T$55</definedName>
    <definedName name="OSRRefT22_8x_0" localSheetId="92">'435'!$T$47</definedName>
    <definedName name="OSRRefT22_8x_0" localSheetId="93">'444'!$T$54</definedName>
    <definedName name="OSRRefT22_8x_0" localSheetId="94">'450'!$T$54</definedName>
    <definedName name="OSRRefT22_8x_0" localSheetId="75">'491'!$T$64</definedName>
    <definedName name="OSRRefT22_8x_0" localSheetId="89">'492'!$T$58</definedName>
    <definedName name="OSRRefT22_8x_0" localSheetId="96">'501'!$T$50</definedName>
    <definedName name="OSRRefT22_8x_0" localSheetId="39">'Div 2'!$T$52</definedName>
    <definedName name="OSRRefT22_8x_0" localSheetId="47">'Div 3'!$T$210</definedName>
    <definedName name="OSRRefT22_8x_0" localSheetId="73">'Div 4'!$T$65</definedName>
    <definedName name="OSRRefT22_8x_0" localSheetId="95">'Div 5'!$T$50</definedName>
    <definedName name="OSRRefT22_8x_0" localSheetId="64">'Div 6'!$T$90:$T$91</definedName>
    <definedName name="OSRRefT22_8x_0" localSheetId="2">Summary!$T$245</definedName>
    <definedName name="OSRRefT22_9x_0" localSheetId="41">'201'!$T$47:$T$49</definedName>
    <definedName name="OSRRefT22_9x_0" localSheetId="42">'202'!$T$50:$T$52</definedName>
    <definedName name="OSRRefT22_9x_0" localSheetId="43">'203'!$T$51:$T$53</definedName>
    <definedName name="OSRRefT22_9x_0" localSheetId="44">'204'!$T$54</definedName>
    <definedName name="OSRRefT22_9x_0" localSheetId="48">'300'!$T$207</definedName>
    <definedName name="OSRRefT22_9x_0" localSheetId="49">'300 &amp; 317'!$T$233</definedName>
    <definedName name="OSRRefT22_9x_0" localSheetId="50">'301'!$T$58</definedName>
    <definedName name="OSRRefT22_9x_0" localSheetId="51">'306'!$T$54</definedName>
    <definedName name="OSRRefT22_9x_0" localSheetId="53">'307'!$T$109:$T$112</definedName>
    <definedName name="OSRRefT22_9x_0" localSheetId="54">'308'!$T$103:$T$104</definedName>
    <definedName name="OSRRefT22_9x_0" localSheetId="67">'309'!$T$53:$T$54</definedName>
    <definedName name="OSRRefT22_9x_0" localSheetId="66">'310'!$T$63</definedName>
    <definedName name="OSRRefT22_9x_0" localSheetId="74">'310 &amp; 491'!$T$73</definedName>
    <definedName name="OSRRefT22_9x_0" localSheetId="55">'311'!$T$102:$T$103</definedName>
    <definedName name="OSRRefT22_9x_0" localSheetId="68">'313'!$T$61</definedName>
    <definedName name="OSRRefT22_9x_0" localSheetId="60">'315'!$T$117:$T$118</definedName>
    <definedName name="OSRRefT22_9x_0" localSheetId="62">'316'!$T$68</definedName>
    <definedName name="OSRRefT22_9x_0" localSheetId="65">'317'!$T$93:$T$94</definedName>
    <definedName name="OSRRefT22_9x_0" localSheetId="69">'321'!$T$55:$T$57</definedName>
    <definedName name="OSRRefT22_9x_0" localSheetId="70">'322'!$T$54:$T$56</definedName>
    <definedName name="OSRRefT22_9x_0" localSheetId="71">'325'!$T$54</definedName>
    <definedName name="OSRRefT22_9x_0" localSheetId="56">'326'!$T$94</definedName>
    <definedName name="OSRRefT22_9x_0" localSheetId="52">'330'!$T$117:$T$118</definedName>
    <definedName name="OSRRefT22_9x_0" localSheetId="59">'331'!$T$125</definedName>
    <definedName name="OSRRefT22_9x_0" localSheetId="61">'332'!$T$75:$T$77</definedName>
    <definedName name="OSRRefT22_9x_0" localSheetId="76">'405'!$T$53</definedName>
    <definedName name="OSRRefT22_9x_0" localSheetId="77">'406'!$T$54:$T$56</definedName>
    <definedName name="OSRRefT22_9x_0" localSheetId="78">'411'!$T$53</definedName>
    <definedName name="OSRRefT22_9x_0" localSheetId="79">'412'!$T$54:$T$56</definedName>
    <definedName name="OSRRefT22_9x_0" localSheetId="80">'413'!$T$57:$T$62</definedName>
    <definedName name="OSRRefT22_9x_0" localSheetId="81">'414'!$T$54:$T$55</definedName>
    <definedName name="OSRRefT22_9x_0" localSheetId="82">'415'!$T$55</definedName>
    <definedName name="OSRRefT22_9x_0" localSheetId="83">'418'!$T$55</definedName>
    <definedName name="OSRRefT22_9x_0" localSheetId="86">'424'!$T$48</definedName>
    <definedName name="OSRRefT22_9x_0" localSheetId="87">'425'!$T$58:$T$60</definedName>
    <definedName name="OSRRefT22_9x_0" localSheetId="91">'433'!$T$57</definedName>
    <definedName name="OSRRefT22_9x_0" localSheetId="93">'444'!$T$56</definedName>
    <definedName name="OSRRefT22_9x_0" localSheetId="94">'450'!$T$56</definedName>
    <definedName name="OSRRefT22_9x_0" localSheetId="75">'491'!$T$66</definedName>
    <definedName name="OSRRefT22_9x_0" localSheetId="89">'492'!$T$60</definedName>
    <definedName name="OSRRefT22_9x_0" localSheetId="96">'501'!$T$52:$T$54</definedName>
    <definedName name="OSRRefT22_9x_0" localSheetId="39">'Div 2'!$T$54:$T$55</definedName>
    <definedName name="OSRRefT22_9x_0" localSheetId="47">'Div 3'!$T$212</definedName>
    <definedName name="OSRRefT22_9x_0" localSheetId="73">'Div 4'!$T$67</definedName>
    <definedName name="OSRRefT22_9x_0" localSheetId="95">'Div 5'!$T$52:$T$54</definedName>
    <definedName name="OSRRefT22_9x_0" localSheetId="64">'Div 6'!$T$93:$T$94</definedName>
    <definedName name="OSRRefT22_9x_0" localSheetId="2">Summary!$T$247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'202'!$T$20:$T$27,'202'!$T$29:$T$33,'202'!$T$35,'202'!$T$37,'202'!$T$39,'202'!$T$41,'202'!$T$43:$T$44,'202'!$T$46,'202'!$T$48,'202'!$T$50:$T$52,'202'!$T$54,'202'!$T$56,'202'!$T$58:$T$60,'202'!$T$62,'202'!$T$64,'202'!$T$66</definedName>
    <definedName name="OSRRefT22x_0" localSheetId="43">'203'!$T$20:$T$29,'203'!$T$31:$T$35,'203'!$T$37,'203'!$T$39,'203'!$T$41,'203'!$T$43,'203'!$T$45,'203'!$T$47,'203'!$T$49,'203'!$T$51:$T$53,'203'!$T$55:$T$56,'203'!$T$58,'203'!$T$60:$T$63,'203'!$T$65,'203'!$T$67,'203'!$T$69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'205'!$T$20:$T$27,'205'!$T$29,'205'!$T$31,'205'!$T$33,'205'!$T$35:$T$37,'205'!$T$39,'205'!$T$41:$T$43,'205'!$T$45,'205'!$T$47</definedName>
    <definedName name="OSRRefT22x_0" localSheetId="46">'206'!$T$20:$T$27,'206'!$T$29:$T$32,'206'!$T$34,'206'!$T$36,'206'!$T$38,'206'!$T$40,'206'!$T$42:$T$43,'206'!$T$45,'206'!$T$47</definedName>
    <definedName name="OSRRefT22x_0" localSheetId="48">'300'!$T$170:$T$179,'300'!$T$181:$T$187,'300'!$T$189,'300'!$T$191:$T$192,'300'!$T$194,'300'!$T$196:$T$198,'300'!$T$200:$T$201,'300'!$T$203,'300'!$T$205,'300'!$T$207,'300'!$T$209:$T$210,'300'!$T$212,'300'!$T$214,'300'!$T$216:$T$218,'300'!$T$220,'300'!$T$222,'300'!$T$224:$T$227,'300'!$T$229:$T$231,'300'!$T$233:$T$236,'300'!$T$238:$T$239,'300'!$T$241:$T$248,'300'!$T$250:$T$251,'300'!$T$253,'300'!$T$255:$T$257,'300'!$T$259</definedName>
    <definedName name="OSRRefT22x_0" localSheetId="49">'300 &amp; 317'!$T$196:$T$205,'300 &amp; 317'!$T$207:$T$213,'300 &amp; 317'!$T$215,'300 &amp; 317'!$T$217:$T$218,'300 &amp; 317'!$T$220,'300 &amp; 317'!$T$222:$T$224,'300 &amp; 317'!$T$226:$T$227,'300 &amp; 317'!$T$229,'300 &amp; 317'!$T$231,'300 &amp; 317'!$T$233,'300 &amp; 317'!$T$235:$T$236,'300 &amp; 317'!$T$238,'300 &amp; 317'!$T$240,'300 &amp; 317'!$T$242:$T$244,'300 &amp; 317'!$T$246,'300 &amp; 317'!$T$248,'300 &amp; 317'!$T$250:$T$253,'300 &amp; 317'!$T$255:$T$257,'300 &amp; 317'!$T$259:$T$262,'300 &amp; 317'!$T$264:$T$265,'300 &amp; 317'!$T$267:$T$274,'300 &amp; 317'!$T$276:$T$277,'300 &amp; 317'!$T$279,'300 &amp; 317'!$T$281:$T$283,'300 &amp; 317'!$T$285</definedName>
    <definedName name="OSRRefT22x_0" localSheetId="50">'301'!$T$21:$T$30,'301'!$T$32:$T$38,'301'!$T$40,'301'!$T$42:$T$43,'301'!$T$45,'301'!$T$47:$T$49,'301'!$T$51:$T$52,'301'!$T$54,'301'!$T$56,'301'!$T$58,'301'!$T$60,'301'!$T$62,'301'!$T$64,'301'!$T$66,'301'!$T$68,'301'!$T$70:$T$73,'301'!$T$75:$T$77,'301'!$T$79:$T$80,'301'!$T$82:$T$88,'301'!$T$90,'301'!$T$92,'301'!$T$94:$T$96,'301'!$T$98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'307'!$T$78:$T$85,'307'!$T$87:$T$90,'307'!$T$92,'307'!$T$94,'307'!$T$96:$T$97,'307'!$T$99,'307'!$T$101,'307'!$T$103:$T$104,'307'!$T$106:$T$107,'307'!$T$109:$T$112,'307'!$T$114,'307'!$T$116</definedName>
    <definedName name="OSRRefT22x_0" localSheetId="54">'308'!$T$68:$T$76,'308'!$T$78:$T$84,'308'!$T$86,'308'!$T$88:$T$89,'308'!$T$91,'308'!$T$93,'308'!$T$95:$T$96,'308'!$T$98,'308'!$T$100:$T$101,'308'!$T$103:$T$104,'308'!$T$106:$T$107,'308'!$T$109:$T$111,'308'!$T$113:$T$114,'308'!$T$116,'308'!$T$118</definedName>
    <definedName name="OSRRefT22x_0" localSheetId="67">'309'!$T$24:$T$31,'309'!$T$33:$T$37,'309'!$T$39,'309'!$T$41,'309'!$T$43,'309'!$T$45,'309'!$T$47,'309'!$T$49,'309'!$T$51,'309'!$T$53:$T$54,'309'!$T$56:$T$58,'309'!$T$60:$T$62,'309'!$T$64</definedName>
    <definedName name="OSRRefT22x_0" localSheetId="66">'310'!$T$32:$T$39,'310'!$T$41:$T$46,'310'!$T$48,'310'!$T$50,'310'!$T$52,'310'!$T$54:$T$55,'310'!$T$57,'310'!$T$59,'310'!$T$61,'310'!$T$63,'310'!$T$65,'310'!$T$67,'310'!$T$69,'310'!$T$71,'310'!$T$73:$T$75,'310'!$T$77,'310'!$T$79:$T$82,'310'!$T$84,'310'!$T$86:$T$94,'310'!$T$96,'310'!$T$98,'310'!$T$100,'310'!$T$102</definedName>
    <definedName name="OSRRefT22x_0" localSheetId="74">'310 &amp; 491'!$T$39:$T$47,'310 &amp; 491'!$T$49:$T$55,'310 &amp; 491'!$T$57,'310 &amp; 491'!$T$59,'310 &amp; 491'!$T$61,'310 &amp; 491'!$T$63:$T$65,'310 &amp; 491'!$T$67,'310 &amp; 491'!$T$69,'310 &amp; 491'!$T$71,'310 &amp; 491'!$T$73,'310 &amp; 491'!$T$75:$T$76,'310 &amp; 491'!$T$78:$T$79,'310 &amp; 491'!$T$81,'310 &amp; 491'!$T$83,'310 &amp; 491'!$T$85,'310 &amp; 491'!$T$87,'310 &amp; 491'!$T$89:$T$92,'310 &amp; 491'!$T$94:$T$95,'310 &amp; 491'!$T$97:$T$101,'310 &amp; 491'!$T$103:$T$104,'310 &amp; 491'!$T$106:$T$115,'310 &amp; 491'!$T$117,'310 &amp; 491'!$T$119,'310 &amp; 491'!$T$121:$T$123,'310 &amp; 491'!$T$125</definedName>
    <definedName name="OSRRefT22x_0" localSheetId="55">'311'!$T$67:$T$75,'311'!$T$77:$T$83,'311'!$T$85,'311'!$T$87:$T$88,'311'!$T$90,'311'!$T$92,'311'!$T$94:$T$95,'311'!$T$97,'311'!$T$99:$T$100,'311'!$T$102:$T$103,'311'!$T$105:$T$106,'311'!$T$108:$T$110,'311'!$T$112:$T$113,'311'!$T$115,'311'!$T$117</definedName>
    <definedName name="OSRRefT22x_0" localSheetId="68">'313'!$T$29:$T$36,'313'!$T$38:$T$43,'313'!$T$45,'313'!$T$47,'313'!$T$49,'313'!$T$51,'313'!$T$53,'313'!$T$55,'313'!$T$57:$T$59,'313'!$T$61,'313'!$T$63:$T$68,'313'!$T$70,'313'!$T$72</definedName>
    <definedName name="OSRRefT22x_0" localSheetId="58">'314'!$T$56:$T$64,'314'!$T$66:$T$68,'314'!$T$70,'314'!$T$72:$T$73,'314'!$T$75,'314'!$T$77,'314'!$T$79:$T$80,'314'!$T$82,'314'!$T$84</definedName>
    <definedName name="OSRRefT22x_0" localSheetId="60">'315'!$T$84:$T$91,'315'!$T$93:$T$98,'315'!$T$100,'315'!$T$102:$T$103,'315'!$T$105,'315'!$T$107:$T$108,'315'!$T$110:$T$111,'315'!$T$113,'315'!$T$115,'315'!$T$117:$T$118,'315'!$T$120:$T$121,'315'!$T$123:$T$127,'315'!$T$129,'315'!$T$131,'315'!$T$133:$T$134</definedName>
    <definedName name="OSRRefT22x_0" localSheetId="62">'316'!$T$37:$T$44,'316'!$T$46:$T$49,'316'!$T$51,'316'!$T$53,'316'!$T$55,'316'!$T$57,'316'!$T$59:$T$60,'316'!$T$62,'316'!$T$64:$T$66,'316'!$T$68,'316'!$T$70,'316'!$T$72:$T$77,'316'!$T$79,'316'!$T$81,'316'!$T$83</definedName>
    <definedName name="OSRRefT22x_0" localSheetId="65">'317'!$T$61:$T$69,'317'!$T$71:$T$75,'317'!$T$77,'317'!$T$79,'317'!$T$81,'317'!$T$83:$T$84,'317'!$T$86,'317'!$T$88,'317'!$T$90:$T$91,'317'!$T$93:$T$94,'317'!$T$96:$T$100,'317'!$T$102,'317'!$T$104,'317'!$T$106</definedName>
    <definedName name="OSRRefT22x_0" localSheetId="63">'320'!$T$29:$T$35,'320'!$T$37:$T$41,'320'!$T$43,'320'!$T$45,'320'!$T$47:$T$48,'320'!$T$50,'320'!$T$52,'320'!$T$54:$T$55,'320'!$T$57</definedName>
    <definedName name="OSRRefT22x_0" localSheetId="69">'321'!$T$24:$T$31,'321'!$T$33:$T$37,'321'!$T$39,'321'!$T$41,'321'!$T$43,'321'!$T$45,'321'!$T$47,'321'!$T$49:$T$51,'321'!$T$53,'321'!$T$55:$T$57,'321'!$T$59:$T$63,'321'!$T$65,'321'!$T$67</definedName>
    <definedName name="OSRRefT22x_0" localSheetId="70">'322'!$T$24:$T$31,'322'!$T$33:$T$37,'322'!$T$39,'322'!$T$41,'322'!$T$43,'322'!$T$45,'322'!$T$47,'322'!$T$49,'322'!$T$51:$T$52,'322'!$T$54:$T$56,'322'!$T$58:$T$64,'322'!$T$66,'322'!$T$68,'322'!$T$70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'325'!$T$24:$T$31,'325'!$T$33:$T$37,'325'!$T$39,'325'!$T$41,'325'!$T$43,'325'!$T$45:$T$46,'325'!$T$48,'325'!$T$50,'325'!$T$52,'325'!$T$54,'325'!$T$56,'325'!$T$58:$T$60,'325'!$T$62:$T$64,'325'!$T$66,'325'!$T$68:$T$72,'325'!$T$74,'325'!$T$76,'325'!$T$78</definedName>
    <definedName name="OSRRefT22x_0" localSheetId="56">'326'!$T$63:$T$70,'326'!$T$72:$T$77,'326'!$T$79,'326'!$T$81,'326'!$T$83,'326'!$T$85:$T$86,'326'!$T$88,'326'!$T$90,'326'!$T$92,'326'!$T$94,'326'!$T$96,'326'!$T$98,'326'!$T$100:$T$102,'326'!$T$104:$T$106,'326'!$T$108:$T$109,'326'!$T$111:$T$116,'326'!$T$118,'326'!$T$120,'326'!$T$122,'326'!$T$124</definedName>
    <definedName name="OSRRefT22x_0" localSheetId="72">'327'!$T$23,'327'!$T$25,'327'!$T$27</definedName>
    <definedName name="OSRRefT22x_0" localSheetId="52">'330'!$T$85:$T$93,'330'!$T$95:$T$99,'330'!$T$101,'330'!$T$103,'330'!$T$105:$T$106,'330'!$T$108,'330'!$T$110,'330'!$T$112,'330'!$T$114:$T$115,'330'!$T$117:$T$118,'330'!$T$120,'330'!$T$122:$T$125,'330'!$T$127,'330'!$T$129,'330'!$T$131</definedName>
    <definedName name="OSRRefT22x_0" localSheetId="59">'331'!$T$93:$T$100,'331'!$T$102:$T$107,'331'!$T$109,'331'!$T$111,'331'!$T$113,'331'!$T$115:$T$116,'331'!$T$118,'331'!$T$120:$T$121,'331'!$T$123,'331'!$T$125,'331'!$T$127:$T$128,'331'!$T$130,'331'!$T$132,'331'!$T$134:$T$136,'331'!$T$138:$T$139,'331'!$T$141:$T$143,'331'!$T$145:$T$146,'331'!$T$148:$T$153,'331'!$T$155,'331'!$T$157,'331'!$T$159:$T$160,'331'!$T$162</definedName>
    <definedName name="OSRRefT22x_0" localSheetId="61">'332'!$T$45:$T$52,'332'!$T$54:$T$58,'332'!$T$60,'332'!$T$62,'332'!$T$64,'332'!$T$66,'332'!$T$68:$T$69,'332'!$T$71,'332'!$T$73,'332'!$T$75:$T$77,'332'!$T$79,'332'!$T$81,'332'!$T$83:$T$88,'332'!$T$90,'332'!$T$92,'332'!$T$94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'406'!$T$24:$T$31,'406'!$T$33:$T$38,'406'!$T$40,'406'!$T$42,'406'!$T$44,'406'!$T$46,'406'!$T$48,'406'!$T$50,'406'!$T$52,'406'!$T$54:$T$56,'406'!$T$58:$T$59,'406'!$T$61:$T$66,'406'!$T$68,'406'!$T$70,'406'!$T$72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79">'412'!$T$24:$T$31,'412'!$T$33:$T$38,'412'!$T$40,'412'!$T$42,'412'!$T$44,'412'!$T$46,'412'!$T$48,'412'!$T$50,'412'!$T$52,'412'!$T$54:$T$56,'412'!$T$58:$T$60,'412'!$T$62:$T$67,'412'!$T$69,'412'!$T$71</definedName>
    <definedName name="OSRRefT22x_0" localSheetId="80">'413'!$T$24:$T$31,'413'!$T$33:$T$37,'413'!$T$39,'413'!$T$41,'413'!$T$43,'413'!$T$45,'413'!$T$47,'413'!$T$49:$T$51,'413'!$T$53:$T$55,'413'!$T$57:$T$62,'413'!$T$64,'413'!$T$66</definedName>
    <definedName name="OSRRefT22x_0" localSheetId="81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2">'415'!$T$24:$T$31,'415'!$T$33:$T$38,'415'!$T$40,'415'!$T$42,'415'!$T$44,'415'!$T$46:$T$47,'415'!$T$49,'415'!$T$51,'415'!$T$53,'415'!$T$55,'415'!$T$57,'415'!$T$59:$T$62,'415'!$T$64:$T$68,'415'!$T$70:$T$71,'415'!$T$73:$T$81,'415'!$T$83,'415'!$T$85,'415'!$T$87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4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'424'!$T$24:$T$25,'424'!$T$27:$T$31,'424'!$T$33,'424'!$T$35,'424'!$T$37,'424'!$T$39,'424'!$T$41,'424'!$T$43,'424'!$T$45:$T$46,'424'!$T$48,'424'!$T$50,'424'!$T$52:$T$56,'424'!$T$58</definedName>
    <definedName name="OSRRefT22x_0" localSheetId="87">'425'!$T$27:$T$35,'425'!$T$37:$T$42,'425'!$T$44,'425'!$T$46,'425'!$T$48,'425'!$T$50,'425'!$T$52,'425'!$T$54,'425'!$T$56,'425'!$T$58:$T$60,'425'!$T$62,'425'!$T$64:$T$66,'425'!$T$68:$T$74,'425'!$T$76,'425'!$T$78</definedName>
    <definedName name="OSRRefT22x_0" localSheetId="90">'430'!$T$20:$T$27,'430'!$T$29,'430'!$T$31,'430'!$T$33,'430'!$T$35:$T$36,'430'!$T$38,'430'!$T$40,'430'!$T$42</definedName>
    <definedName name="OSRRefT22x_0" localSheetId="91">'433'!$T$26:$T$34,'433'!$T$36:$T$41,'433'!$T$43,'433'!$T$45,'433'!$T$47,'433'!$T$49,'433'!$T$51,'433'!$T$53,'433'!$T$55,'433'!$T$57,'433'!$T$59,'433'!$T$61:$T$63,'433'!$T$65:$T$67,'433'!$T$69:$T$76,'433'!$T$78,'433'!$T$80,'433'!$T$82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'444'!$T$25:$T$33,'444'!$T$35:$T$40,'444'!$T$42,'444'!$T$44,'444'!$T$46,'444'!$T$48,'444'!$T$50,'444'!$T$52,'444'!$T$54,'444'!$T$56,'444'!$T$58,'444'!$T$60:$T$62,'444'!$T$64:$T$67,'444'!$T$69,'444'!$T$71:$T$79,'444'!$T$81,'444'!$T$83,'444'!$T$85:$T$86</definedName>
    <definedName name="OSRRefT22x_0" localSheetId="94">'450'!$T$25:$T$33,'450'!$T$35:$T$40,'450'!$T$42,'450'!$T$44,'450'!$T$46,'450'!$T$48,'450'!$T$50,'450'!$T$52,'450'!$T$54,'450'!$T$56,'450'!$T$58,'450'!$T$60,'450'!$T$62:$T$63,'450'!$T$65:$T$67,'450'!$T$69:$T$74,'450'!$T$76,'450'!$T$78,'450'!$T$80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,'491'!$T$66,'491'!$T$68,'491'!$T$70:$T$71,'491'!$T$73,'491'!$T$75,'491'!$T$77,'491'!$T$79,'491'!$T$81:$T$84,'491'!$T$86:$T$87,'491'!$T$89:$T$93,'491'!$T$95:$T$96,'491'!$T$98:$T$107,'491'!$T$109,'491'!$T$111,'491'!$T$113:$T$115,'491'!$T$117</definedName>
    <definedName name="OSRRefT22x_0" localSheetId="89">'492'!$T$28:$T$36,'492'!$T$38:$T$44,'492'!$T$46,'492'!$T$48,'492'!$T$50,'492'!$T$52,'492'!$T$54,'492'!$T$56,'492'!$T$58,'492'!$T$60,'492'!$T$62,'492'!$T$64,'492'!$T$66:$T$68,'492'!$T$70:$T$73,'492'!$T$75,'492'!$T$77:$T$85,'492'!$T$87,'492'!$T$89,'492'!$T$91:$T$92</definedName>
    <definedName name="OSRRefT22x_0" localSheetId="96">'501'!$T$21:$T$29,'501'!$T$31:$T$35,'501'!$T$37,'501'!$T$39,'501'!$T$41,'501'!$T$43:$T$44,'501'!$T$46,'501'!$T$48,'501'!$T$50,'501'!$T$52:$T$54,'501'!$T$56,'501'!$T$58:$T$60,'501'!$T$62,'501'!$T$64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3'!$T$175:$T$184,'Div 3'!$T$186:$T$192,'Div 3'!$T$194,'Div 3'!$T$196:$T$197,'Div 3'!$T$199,'Div 3'!$T$201:$T$203,'Div 3'!$T$205:$T$206,'Div 3'!$T$208,'Div 3'!$T$210,'Div 3'!$T$212,'Div 3'!$T$214:$T$215,'Div 3'!$T$217,'Div 3'!$T$219,'Div 3'!$T$221,'Div 3'!$T$223:$T$225,'Div 3'!$T$227,'Div 3'!$T$229,'Div 3'!$T$231:$T$234,'Div 3'!$T$236:$T$238,'Div 3'!$T$240:$T$244,'Div 3'!$T$246:$T$247,'Div 3'!$T$249:$T$257,'Div 3'!$T$259:$T$260,'Div 3'!$T$262,'Div 3'!$T$264:$T$266,'Div 3'!$T$268</definedName>
    <definedName name="OSRRefT22x_0" localSheetId="73">'Div 4'!$T$33:$T$41,'Div 4'!$T$43:$T$49,'Div 4'!$T$51,'Div 4'!$T$53,'Div 4'!$T$55,'Div 4'!$T$57:$T$59,'Div 4'!$T$61,'Div 4'!$T$63,'Div 4'!$T$65,'Div 4'!$T$67,'Div 4'!$T$69,'Div 4'!$T$71:$T$72,'Div 4'!$T$74,'Div 4'!$T$76,'Div 4'!$T$78,'Div 4'!$T$80,'Div 4'!$T$82,'Div 4'!$T$84:$T$87,'Div 4'!$T$89:$T$90,'Div 4'!$T$92:$T$96,'Div 4'!$T$98:$T$99,'Div 4'!$T$101:$T$110,'Div 4'!$T$112,'Div 4'!$T$114,'Div 4'!$T$116:$T$118,'Div 4'!$T$120</definedName>
    <definedName name="OSRRefT22x_0" localSheetId="95">'Div 5'!$T$21:$T$29,'Div 5'!$T$31:$T$35,'Div 5'!$T$37,'Div 5'!$T$39,'Div 5'!$T$41,'Div 5'!$T$43:$T$44,'Div 5'!$T$46,'Div 5'!$T$48,'Div 5'!$T$50,'Div 5'!$T$52:$T$54,'Div 5'!$T$56,'Div 5'!$T$58:$T$60,'Div 5'!$T$62,'Div 5'!$T$64</definedName>
    <definedName name="OSRRefT22x_0" localSheetId="64">'Div 6'!$T$61:$T$69,'Div 6'!$T$71:$T$75,'Div 6'!$T$77,'Div 6'!$T$79,'Div 6'!$T$81,'Div 6'!$T$83:$T$84,'Div 6'!$T$86,'Div 6'!$T$88,'Div 6'!$T$90:$T$91,'Div 6'!$T$93:$T$94,'Div 6'!$T$96:$T$100,'Div 6'!$T$102,'Div 6'!$T$104,'Div 6'!$T$106</definedName>
    <definedName name="OSRRefT22x_0" localSheetId="2">Summary!$T$209:$T$218,Summary!$T$220:$T$226,Summary!$T$228,Summary!$T$230:$T$231,Summary!$T$233,Summary!$T$235:$T$238,Summary!$T$240:$T$241,Summary!$T$243,Summary!$T$245,Summary!$T$247,Summary!$T$249:$T$250,Summary!$T$252:$T$253,Summary!$T$255,Summary!$T$257,Summary!$T$259:$T$261,Summary!$T$263,Summary!$T$265,Summary!$T$267,Summary!$T$269:$T$272,Summary!$T$274:$T$276,Summary!$T$278:$T$282,Summary!$T$284:$T$285,Summary!$T$287:$T$296,Summary!$T$298:$T$299,Summary!$T$301,Summary!$T$303:$T$305,Summary!$T$307</definedName>
    <definedName name="OSRRefT25x_0" localSheetId="48">'300'!$T$262:$T$270</definedName>
    <definedName name="OSRRefT25x_0" localSheetId="49">'300 &amp; 317'!$T$288:$T$299</definedName>
    <definedName name="OSRRefT25x_0" localSheetId="50">'301'!$T$101:$T$103</definedName>
    <definedName name="OSRRefT25x_0" localSheetId="53">'307'!$T$119</definedName>
    <definedName name="OSRRefT25x_0" localSheetId="54">'308'!$T$121:$T$123</definedName>
    <definedName name="OSRRefT25x_0" localSheetId="74">'310 &amp; 491'!$T$128:$T$130</definedName>
    <definedName name="OSRRefT25x_0" localSheetId="55">'311'!$T$120:$T$122</definedName>
    <definedName name="OSRRefT25x_0" localSheetId="60">'315'!$T$137:$T$139</definedName>
    <definedName name="OSRRefT25x_0" localSheetId="62">'316'!$T$86</definedName>
    <definedName name="OSRRefT25x_0" localSheetId="65">'317'!$T$109:$T$112</definedName>
    <definedName name="OSRRefT25x_0" localSheetId="63">'320'!$T$60:$T$64</definedName>
    <definedName name="OSRRefT25x_0" localSheetId="52">'330'!$T$134</definedName>
    <definedName name="OSRRefT25x_0" localSheetId="59">'331'!$T$165:$T$167</definedName>
    <definedName name="OSRRefT25x_0" localSheetId="61">'332'!$T$97:$T$102</definedName>
    <definedName name="OSRRefT25x_0" localSheetId="78">'411'!$T$94:$T$95</definedName>
    <definedName name="OSRRefT25x_0" localSheetId="80">'413'!$T$69</definedName>
    <definedName name="OSRRefT25x_0" localSheetId="82">'415'!$T$90</definedName>
    <definedName name="OSRRefT25x_0" localSheetId="83">'418'!$T$85</definedName>
    <definedName name="OSRRefT25x_0" localSheetId="85">'423'!$T$44</definedName>
    <definedName name="OSRRefT25x_0" localSheetId="86">'424'!$T$61</definedName>
    <definedName name="OSRRefT25x_0" localSheetId="87">'425'!$T$81</definedName>
    <definedName name="OSRRefT25x_0" localSheetId="88">'455'!$T$32:$T$34</definedName>
    <definedName name="OSRRefT25x_0" localSheetId="75">'491'!$T$120:$T$122</definedName>
    <definedName name="OSRRefT25x_0" localSheetId="96">'501'!$T$67</definedName>
    <definedName name="OSRRefT25x_0" localSheetId="47">'Div 3'!$T$271:$T$279</definedName>
    <definedName name="OSRRefT25x_0" localSheetId="73">'Div 4'!$T$123:$T$125</definedName>
    <definedName name="OSRRefT25x_0" localSheetId="95">'Div 5'!$T$67</definedName>
    <definedName name="OSRRefT25x_0" localSheetId="64">'Div 6'!$T$109:$T$112</definedName>
    <definedName name="OSRRefT25x_0" localSheetId="2">Summary!$T$310:$T$322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'202'!$A$1:$Z$80</definedName>
    <definedName name="_xlnm.Print_Area" localSheetId="43">'203'!$A$1:$Z$83</definedName>
    <definedName name="_xlnm.Print_Area" localSheetId="44">'204'!$A$1:$Z$71</definedName>
    <definedName name="_xlnm.Print_Area" localSheetId="45">'205'!$A$1:$Z$61</definedName>
    <definedName name="_xlnm.Print_Area" localSheetId="46">'206'!$A$1:$Z$61</definedName>
    <definedName name="_xlnm.Print_Area" localSheetId="48">'300'!$A$1:$Z$282</definedName>
    <definedName name="_xlnm.Print_Area" localSheetId="49">'300 &amp; 317'!$A$1:$Z$311</definedName>
    <definedName name="_xlnm.Print_Area" localSheetId="50">'301'!$A$1:$Z$115</definedName>
    <definedName name="_xlnm.Print_Area" localSheetId="51">'306'!$A$1:$Z$68</definedName>
    <definedName name="_xlnm.Print_Area" localSheetId="53">'307'!$A$1:$Z$131</definedName>
    <definedName name="_xlnm.Print_Area" localSheetId="54">'308'!$A$1:$Z$135</definedName>
    <definedName name="_xlnm.Print_Area" localSheetId="67">'309'!$A$1:$Z$78</definedName>
    <definedName name="_xlnm.Print_Area" localSheetId="66">'310'!$A$1:$Z$116</definedName>
    <definedName name="_xlnm.Print_Area" localSheetId="74">'310 &amp; 491'!$A$1:$Z$142</definedName>
    <definedName name="_xlnm.Print_Area" localSheetId="55">'311'!$A$1:$Z$134</definedName>
    <definedName name="_xlnm.Print_Area" localSheetId="68">'313'!$A$1:$Z$86</definedName>
    <definedName name="_xlnm.Print_Area" localSheetId="58">'314'!$A$1:$Z$98</definedName>
    <definedName name="_xlnm.Print_Area" localSheetId="60">'315'!$A$1:$Z$151</definedName>
    <definedName name="_xlnm.Print_Area" localSheetId="62">'316'!$A$1:$Z$98</definedName>
    <definedName name="_xlnm.Print_Area" localSheetId="65">'317'!$A$1:$Z$124</definedName>
    <definedName name="_xlnm.Print_Area" localSheetId="63">'320'!$A$1:$Z$76</definedName>
    <definedName name="_xlnm.Print_Area" localSheetId="69">'321'!$A$1:$Z$81</definedName>
    <definedName name="_xlnm.Print_Area" localSheetId="70">'322'!$A$1:$Z$84</definedName>
    <definedName name="_xlnm.Print_Area" localSheetId="57">'324'!$A$1:$Z$37</definedName>
    <definedName name="_xlnm.Print_Area" localSheetId="71">'325'!$A$1:$Z$92</definedName>
    <definedName name="_xlnm.Print_Area" localSheetId="56">'326'!$A$1:$Z$138</definedName>
    <definedName name="_xlnm.Print_Area" localSheetId="72">'327'!$A$1:$Z$41</definedName>
    <definedName name="_xlnm.Print_Area" localSheetId="52">'330'!$A$1:$Z$146</definedName>
    <definedName name="_xlnm.Print_Area" localSheetId="59">'331'!$A$1:$Z$179</definedName>
    <definedName name="_xlnm.Print_Area" localSheetId="61">'332'!$A$1:$Z$114</definedName>
    <definedName name="_xlnm.Print_Area" localSheetId="76">'405'!$A$1:$Z$93</definedName>
    <definedName name="_xlnm.Print_Area" localSheetId="77">'406'!$A$1:$Z$86</definedName>
    <definedName name="_xlnm.Print_Area" localSheetId="78">'411'!$A$1:$Z$107</definedName>
    <definedName name="_xlnm.Print_Area" localSheetId="79">'412'!$A$1:$Z$85</definedName>
    <definedName name="_xlnm.Print_Area" localSheetId="80">'413'!$A$1:$Z$81</definedName>
    <definedName name="_xlnm.Print_Area" localSheetId="81">'414'!$A$1:$Z$87</definedName>
    <definedName name="_xlnm.Print_Area" localSheetId="82">'415'!$A$1:$Z$102</definedName>
    <definedName name="_xlnm.Print_Area" localSheetId="83">'418'!$A$1:$Z$97</definedName>
    <definedName name="_xlnm.Print_Area" localSheetId="84">'420'!$A$1:$Z$63</definedName>
    <definedName name="_xlnm.Print_Area" localSheetId="85">'423'!$A$1:$Z$56</definedName>
    <definedName name="_xlnm.Print_Area" localSheetId="86">'424'!$A$1:$Z$73</definedName>
    <definedName name="_xlnm.Print_Area" localSheetId="87">'425'!$A$1:$Z$93</definedName>
    <definedName name="_xlnm.Print_Area" localSheetId="90">'430'!$A$1:$Z$56</definedName>
    <definedName name="_xlnm.Print_Area" localSheetId="91">'433'!$A$1:$Z$96</definedName>
    <definedName name="_xlnm.Print_Area" localSheetId="92">'435'!$A$1:$Z$61</definedName>
    <definedName name="_xlnm.Print_Area" localSheetId="93">'444'!$A$1:$Z$100</definedName>
    <definedName name="_xlnm.Print_Area" localSheetId="94">'450'!$A$1:$Z$94</definedName>
    <definedName name="_xlnm.Print_Area" localSheetId="88">'455'!$A$1:$Z$46</definedName>
    <definedName name="_xlnm.Print_Area" localSheetId="75">'491'!$A$1:$Z$134</definedName>
    <definedName name="_xlnm.Print_Area" localSheetId="89">'492'!$A$1:$Z$106</definedName>
    <definedName name="_xlnm.Print_Area" localSheetId="96">'501'!$A$1:$Z$79</definedName>
    <definedName name="_xlnm.Print_Area" localSheetId="97">Dept!$A$1:$Z$39</definedName>
    <definedName name="_xlnm.Print_Area" localSheetId="37">'Div 1'!$A$1:$Z$34</definedName>
    <definedName name="_xlnm.Print_Area" localSheetId="39">'Div 2'!$A$1:$Z$101</definedName>
    <definedName name="_xlnm.Print_Area" localSheetId="47">'Div 3'!$A$1:$Z$291</definedName>
    <definedName name="_xlnm.Print_Area" localSheetId="73">'Div 4'!$A$1:$Z$137</definedName>
    <definedName name="_xlnm.Print_Area" localSheetId="95">'Div 5'!$A$1:$Z$79</definedName>
    <definedName name="_xlnm.Print_Area" localSheetId="64">'Div 6'!$A$1:$Z$124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Summary!$A$1:$Z$336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5">'311'!$A:$C,'311'!$1:$10</definedName>
    <definedName name="_xlnm.Print_Titles" localSheetId="68">'313'!$A:$C,'313'!$1:$10</definedName>
    <definedName name="_xlnm.Print_Titles" localSheetId="58">'314'!$A:$C,'314'!$1:$10</definedName>
    <definedName name="_xlnm.Print_Titles" localSheetId="60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56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9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1" i="97" l="1"/>
  <c r="Z71" i="97" s="1"/>
  <c r="N71" i="97"/>
  <c r="L71" i="97"/>
  <c r="X67" i="97"/>
  <c r="T67" i="97"/>
  <c r="P67" i="97"/>
  <c r="L67" i="97"/>
  <c r="H67" i="97"/>
  <c r="N67" i="97" s="1"/>
  <c r="D67" i="97"/>
  <c r="B67" i="97"/>
  <c r="P66" i="97"/>
  <c r="H66" i="97"/>
  <c r="D66" i="97"/>
  <c r="L66" i="97" s="1"/>
  <c r="N66" i="97" s="1"/>
  <c r="Z64" i="97"/>
  <c r="X64" i="97"/>
  <c r="N64" i="97"/>
  <c r="L64" i="97"/>
  <c r="B64" i="97"/>
  <c r="T63" i="97"/>
  <c r="P63" i="97"/>
  <c r="X63" i="97" s="1"/>
  <c r="H63" i="97"/>
  <c r="N63" i="97" s="1"/>
  <c r="D63" i="97"/>
  <c r="L63" i="97" s="1"/>
  <c r="B63" i="97"/>
  <c r="X62" i="97"/>
  <c r="Z62" i="97" s="1"/>
  <c r="V62" i="97"/>
  <c r="N62" i="97"/>
  <c r="L62" i="97"/>
  <c r="B62" i="97"/>
  <c r="T61" i="97"/>
  <c r="P61" i="97"/>
  <c r="X61" i="97" s="1"/>
  <c r="H61" i="97"/>
  <c r="D61" i="97"/>
  <c r="L61" i="97" s="1"/>
  <c r="B61" i="97"/>
  <c r="Z60" i="97"/>
  <c r="X60" i="97"/>
  <c r="N60" i="97"/>
  <c r="L60" i="97"/>
  <c r="B60" i="97"/>
  <c r="X59" i="97"/>
  <c r="Z59" i="97" s="1"/>
  <c r="L59" i="97"/>
  <c r="N59" i="97" s="1"/>
  <c r="B59" i="97"/>
  <c r="Z58" i="97"/>
  <c r="X58" i="97"/>
  <c r="N58" i="97"/>
  <c r="L58" i="97"/>
  <c r="B58" i="97"/>
  <c r="X57" i="97"/>
  <c r="T57" i="97"/>
  <c r="Z57" i="97" s="1"/>
  <c r="P57" i="97"/>
  <c r="L57" i="97"/>
  <c r="H57" i="97"/>
  <c r="D57" i="97"/>
  <c r="B57" i="97"/>
  <c r="Z56" i="97"/>
  <c r="X56" i="97"/>
  <c r="V56" i="97"/>
  <c r="N56" i="97"/>
  <c r="L56" i="97"/>
  <c r="B56" i="97"/>
  <c r="T55" i="97"/>
  <c r="P55" i="97"/>
  <c r="H55" i="97"/>
  <c r="N55" i="97" s="1"/>
  <c r="D55" i="97"/>
  <c r="L55" i="97" s="1"/>
  <c r="B55" i="97"/>
  <c r="Z54" i="97"/>
  <c r="X54" i="97"/>
  <c r="V54" i="97"/>
  <c r="N54" i="97"/>
  <c r="L54" i="97"/>
  <c r="B54" i="97"/>
  <c r="X53" i="97"/>
  <c r="Z53" i="97" s="1"/>
  <c r="N53" i="97"/>
  <c r="L53" i="97"/>
  <c r="B53" i="97"/>
  <c r="Z52" i="97"/>
  <c r="X52" i="97"/>
  <c r="V52" i="97"/>
  <c r="N52" i="97"/>
  <c r="L52" i="97"/>
  <c r="B52" i="97"/>
  <c r="T51" i="97"/>
  <c r="P51" i="97"/>
  <c r="X51" i="97" s="1"/>
  <c r="H51" i="97"/>
  <c r="N51" i="97" s="1"/>
  <c r="D51" i="97"/>
  <c r="L51" i="97" s="1"/>
  <c r="B51" i="97"/>
  <c r="Z50" i="97"/>
  <c r="X50" i="97"/>
  <c r="N50" i="97"/>
  <c r="L50" i="97"/>
  <c r="B50" i="97"/>
  <c r="X49" i="97"/>
  <c r="T49" i="97"/>
  <c r="P49" i="97"/>
  <c r="L49" i="97"/>
  <c r="H49" i="97"/>
  <c r="D49" i="97"/>
  <c r="B49" i="97"/>
  <c r="Z48" i="97"/>
  <c r="X48" i="97"/>
  <c r="V48" i="97"/>
  <c r="N48" i="97"/>
  <c r="L48" i="97"/>
  <c r="B48" i="97"/>
  <c r="T47" i="97"/>
  <c r="P47" i="97"/>
  <c r="X47" i="97" s="1"/>
  <c r="H47" i="97"/>
  <c r="D47" i="97"/>
  <c r="B47" i="97"/>
  <c r="Z46" i="97"/>
  <c r="X46" i="97"/>
  <c r="V46" i="97"/>
  <c r="N46" i="97"/>
  <c r="L46" i="97"/>
  <c r="B46" i="97"/>
  <c r="T45" i="97"/>
  <c r="Z45" i="97" s="1"/>
  <c r="P45" i="97"/>
  <c r="X45" i="97" s="1"/>
  <c r="L45" i="97"/>
  <c r="H45" i="97"/>
  <c r="N45" i="97" s="1"/>
  <c r="D45" i="97"/>
  <c r="B45" i="97"/>
  <c r="Z44" i="97"/>
  <c r="X44" i="97"/>
  <c r="N44" i="97"/>
  <c r="L44" i="97"/>
  <c r="B44" i="97"/>
  <c r="Z43" i="97"/>
  <c r="X43" i="97"/>
  <c r="N43" i="97"/>
  <c r="L43" i="97"/>
  <c r="B43" i="97"/>
  <c r="Z42" i="97"/>
  <c r="T42" i="97"/>
  <c r="R42" i="97"/>
  <c r="P42" i="97"/>
  <c r="X42" i="97" s="1"/>
  <c r="H42" i="97"/>
  <c r="N42" i="97" s="1"/>
  <c r="F42" i="97"/>
  <c r="D42" i="97"/>
  <c r="L42" i="97" s="1"/>
  <c r="B42" i="97"/>
  <c r="X41" i="97"/>
  <c r="Z41" i="97" s="1"/>
  <c r="N41" i="97"/>
  <c r="L41" i="97"/>
  <c r="B41" i="97"/>
  <c r="Z40" i="97"/>
  <c r="X40" i="97"/>
  <c r="T40" i="97"/>
  <c r="P40" i="97"/>
  <c r="N40" i="97"/>
  <c r="H40" i="97"/>
  <c r="D40" i="97"/>
  <c r="L40" i="97" s="1"/>
  <c r="B40" i="97"/>
  <c r="X39" i="97"/>
  <c r="Z39" i="97" s="1"/>
  <c r="L39" i="97"/>
  <c r="N39" i="97" s="1"/>
  <c r="B39" i="97"/>
  <c r="Z38" i="97"/>
  <c r="X38" i="97"/>
  <c r="V38" i="97"/>
  <c r="T38" i="97"/>
  <c r="P38" i="97"/>
  <c r="H38" i="97"/>
  <c r="D38" i="97"/>
  <c r="L38" i="97" s="1"/>
  <c r="B38" i="97"/>
  <c r="X37" i="97"/>
  <c r="Z37" i="97" s="1"/>
  <c r="R37" i="97"/>
  <c r="L37" i="97"/>
  <c r="N37" i="97" s="1"/>
  <c r="B37" i="97"/>
  <c r="T36" i="97"/>
  <c r="Z36" i="97" s="1"/>
  <c r="P36" i="97"/>
  <c r="X36" i="97" s="1"/>
  <c r="N36" i="97"/>
  <c r="H36" i="97"/>
  <c r="D36" i="97"/>
  <c r="L36" i="97" s="1"/>
  <c r="B36" i="97"/>
  <c r="X35" i="97"/>
  <c r="Z35" i="97" s="1"/>
  <c r="N35" i="97"/>
  <c r="L35" i="97"/>
  <c r="B35" i="97"/>
  <c r="Z34" i="97"/>
  <c r="X34" i="97"/>
  <c r="N34" i="97"/>
  <c r="L34" i="97"/>
  <c r="B34" i="97"/>
  <c r="X33" i="97"/>
  <c r="Z33" i="97" s="1"/>
  <c r="R33" i="97"/>
  <c r="L33" i="97"/>
  <c r="N33" i="97" s="1"/>
  <c r="F33" i="97"/>
  <c r="B33" i="97"/>
  <c r="Z32" i="97"/>
  <c r="X32" i="97"/>
  <c r="N32" i="97"/>
  <c r="L32" i="97"/>
  <c r="B32" i="97"/>
  <c r="Z31" i="97"/>
  <c r="X31" i="97"/>
  <c r="N31" i="97"/>
  <c r="L31" i="97"/>
  <c r="B31" i="97"/>
  <c r="Z30" i="97"/>
  <c r="T30" i="97"/>
  <c r="P30" i="97"/>
  <c r="X30" i="97" s="1"/>
  <c r="N30" i="97"/>
  <c r="L30" i="97"/>
  <c r="H30" i="97"/>
  <c r="D30" i="97"/>
  <c r="B30" i="97"/>
  <c r="X29" i="97"/>
  <c r="Z29" i="97" s="1"/>
  <c r="L29" i="97"/>
  <c r="N29" i="97" s="1"/>
  <c r="B29" i="97"/>
  <c r="X28" i="97"/>
  <c r="Z28" i="97" s="1"/>
  <c r="N28" i="97"/>
  <c r="L28" i="97"/>
  <c r="B28" i="97"/>
  <c r="X27" i="97"/>
  <c r="Z27" i="97" s="1"/>
  <c r="L27" i="97"/>
  <c r="N27" i="97" s="1"/>
  <c r="B27" i="97"/>
  <c r="Z26" i="97"/>
  <c r="X26" i="97"/>
  <c r="N26" i="97"/>
  <c r="L26" i="97"/>
  <c r="B26" i="97"/>
  <c r="X25" i="97"/>
  <c r="Z25" i="97" s="1"/>
  <c r="R25" i="97"/>
  <c r="L25" i="97"/>
  <c r="N25" i="97" s="1"/>
  <c r="F25" i="97"/>
  <c r="B25" i="97"/>
  <c r="X24" i="97"/>
  <c r="Z24" i="97" s="1"/>
  <c r="N24" i="97"/>
  <c r="L24" i="97"/>
  <c r="B24" i="97"/>
  <c r="X23" i="97"/>
  <c r="Z23" i="97" s="1"/>
  <c r="L23" i="97"/>
  <c r="N23" i="97" s="1"/>
  <c r="B23" i="97"/>
  <c r="X22" i="97"/>
  <c r="Z22" i="97" s="1"/>
  <c r="N22" i="97"/>
  <c r="L22" i="97"/>
  <c r="B22" i="97"/>
  <c r="X21" i="97"/>
  <c r="Z21" i="97" s="1"/>
  <c r="L21" i="97"/>
  <c r="N21" i="97" s="1"/>
  <c r="F21" i="97"/>
  <c r="B21" i="97"/>
  <c r="T20" i="97"/>
  <c r="Z20" i="97" s="1"/>
  <c r="P20" i="97"/>
  <c r="X20" i="97" s="1"/>
  <c r="L20" i="97"/>
  <c r="N20" i="97" s="1"/>
  <c r="H20" i="97"/>
  <c r="D20" i="97"/>
  <c r="B20" i="97"/>
  <c r="T19" i="97"/>
  <c r="P19" i="97"/>
  <c r="X19" i="97" s="1"/>
  <c r="H19" i="97"/>
  <c r="D19" i="97"/>
  <c r="D17" i="97"/>
  <c r="T15" i="97"/>
  <c r="P15" i="97"/>
  <c r="N15" i="97"/>
  <c r="L15" i="97"/>
  <c r="H15" i="97"/>
  <c r="D15" i="97"/>
  <c r="T13" i="97"/>
  <c r="P13" i="97"/>
  <c r="P12" i="97" s="1"/>
  <c r="R35" i="97" s="1"/>
  <c r="L13" i="97"/>
  <c r="H13" i="97"/>
  <c r="D13" i="97"/>
  <c r="D12" i="97" s="1"/>
  <c r="B13" i="97"/>
  <c r="T12" i="97"/>
  <c r="V24" i="97" s="1"/>
  <c r="D6" i="97"/>
  <c r="D4" i="97"/>
  <c r="F43" i="96"/>
  <c r="Z38" i="96"/>
  <c r="X38" i="96"/>
  <c r="V38" i="96"/>
  <c r="N38" i="96"/>
  <c r="L38" i="96"/>
  <c r="J36" i="96"/>
  <c r="F36" i="96"/>
  <c r="T34" i="96"/>
  <c r="P34" i="96"/>
  <c r="N34" i="96"/>
  <c r="L34" i="96"/>
  <c r="H34" i="96"/>
  <c r="F34" i="96"/>
  <c r="D34" i="96"/>
  <c r="B34" i="96"/>
  <c r="T33" i="96"/>
  <c r="P33" i="96"/>
  <c r="X33" i="96" s="1"/>
  <c r="L33" i="96"/>
  <c r="H33" i="96"/>
  <c r="N33" i="96" s="1"/>
  <c r="D33" i="96"/>
  <c r="B33" i="96"/>
  <c r="Z32" i="96"/>
  <c r="X32" i="96"/>
  <c r="V32" i="96"/>
  <c r="T32" i="96"/>
  <c r="P32" i="96"/>
  <c r="H32" i="96"/>
  <c r="N32" i="96" s="1"/>
  <c r="D32" i="96"/>
  <c r="B32" i="96"/>
  <c r="Z31" i="96"/>
  <c r="X31" i="96"/>
  <c r="V31" i="96"/>
  <c r="T31" i="96"/>
  <c r="P31" i="96"/>
  <c r="D31" i="96"/>
  <c r="Z29" i="96"/>
  <c r="X29" i="96"/>
  <c r="V29" i="96"/>
  <c r="N29" i="96"/>
  <c r="L29" i="96"/>
  <c r="B29" i="96"/>
  <c r="X28" i="96"/>
  <c r="Z28" i="96" s="1"/>
  <c r="V28" i="96"/>
  <c r="R28" i="96"/>
  <c r="N28" i="96"/>
  <c r="L28" i="96"/>
  <c r="F28" i="96"/>
  <c r="B28" i="96"/>
  <c r="T27" i="96"/>
  <c r="Z27" i="96" s="1"/>
  <c r="P27" i="96"/>
  <c r="X27" i="96" s="1"/>
  <c r="N27" i="96"/>
  <c r="L27" i="96"/>
  <c r="J27" i="96"/>
  <c r="H27" i="96"/>
  <c r="F27" i="96"/>
  <c r="D27" i="96"/>
  <c r="B27" i="96"/>
  <c r="X26" i="96"/>
  <c r="Z26" i="96" s="1"/>
  <c r="N26" i="96"/>
  <c r="L26" i="96"/>
  <c r="J26" i="96"/>
  <c r="F26" i="96"/>
  <c r="B26" i="96"/>
  <c r="Z25" i="96"/>
  <c r="X25" i="96"/>
  <c r="N25" i="96"/>
  <c r="L25" i="96"/>
  <c r="F25" i="96"/>
  <c r="B25" i="96"/>
  <c r="X24" i="96"/>
  <c r="Z24" i="96" s="1"/>
  <c r="N24" i="96"/>
  <c r="L24" i="96"/>
  <c r="B24" i="96"/>
  <c r="X23" i="96"/>
  <c r="Z23" i="96" s="1"/>
  <c r="V23" i="96"/>
  <c r="N23" i="96"/>
  <c r="L23" i="96"/>
  <c r="J23" i="96"/>
  <c r="B23" i="96"/>
  <c r="X22" i="96"/>
  <c r="Z22" i="96" s="1"/>
  <c r="N22" i="96"/>
  <c r="L22" i="96"/>
  <c r="J22" i="96"/>
  <c r="F22" i="96"/>
  <c r="B22" i="96"/>
  <c r="Z21" i="96"/>
  <c r="X21" i="96"/>
  <c r="N21" i="96"/>
  <c r="L21" i="96"/>
  <c r="F21" i="96"/>
  <c r="B21" i="96"/>
  <c r="X20" i="96"/>
  <c r="Z20" i="96" s="1"/>
  <c r="N20" i="96"/>
  <c r="L20" i="96"/>
  <c r="B20" i="96"/>
  <c r="X19" i="96"/>
  <c r="V19" i="96"/>
  <c r="T19" i="96"/>
  <c r="P19" i="96"/>
  <c r="N19" i="96"/>
  <c r="H19" i="96"/>
  <c r="D19" i="96"/>
  <c r="L19" i="96" s="1"/>
  <c r="B19" i="96"/>
  <c r="T18" i="96"/>
  <c r="P18" i="96"/>
  <c r="H18" i="96"/>
  <c r="N18" i="96" s="1"/>
  <c r="D18" i="96"/>
  <c r="T14" i="96"/>
  <c r="T16" i="96" s="1"/>
  <c r="P14" i="96"/>
  <c r="H14" i="96"/>
  <c r="N14" i="96" s="1"/>
  <c r="D14" i="96"/>
  <c r="L14" i="96" s="1"/>
  <c r="Z12" i="96"/>
  <c r="X12" i="96"/>
  <c r="T12" i="96"/>
  <c r="V24" i="96" s="1"/>
  <c r="P12" i="96"/>
  <c r="R43" i="96" s="1"/>
  <c r="N12" i="96"/>
  <c r="L12" i="96"/>
  <c r="H12" i="96"/>
  <c r="J33" i="96" s="1"/>
  <c r="D12" i="96"/>
  <c r="F29" i="96" s="1"/>
  <c r="D6" i="96"/>
  <c r="D4" i="96"/>
  <c r="X86" i="95"/>
  <c r="Z86" i="95" s="1"/>
  <c r="L86" i="95"/>
  <c r="N86" i="95" s="1"/>
  <c r="T82" i="95"/>
  <c r="Z82" i="95" s="1"/>
  <c r="P82" i="95"/>
  <c r="X82" i="95" s="1"/>
  <c r="N82" i="95"/>
  <c r="L82" i="95"/>
  <c r="H82" i="95"/>
  <c r="D82" i="95"/>
  <c r="X80" i="95"/>
  <c r="Z80" i="95" s="1"/>
  <c r="N80" i="95"/>
  <c r="L80" i="95"/>
  <c r="B80" i="95"/>
  <c r="Z79" i="95"/>
  <c r="T79" i="95"/>
  <c r="P79" i="95"/>
  <c r="X79" i="95" s="1"/>
  <c r="H79" i="95"/>
  <c r="N79" i="95" s="1"/>
  <c r="D79" i="95"/>
  <c r="B79" i="95"/>
  <c r="X78" i="95"/>
  <c r="Z78" i="95" s="1"/>
  <c r="N78" i="95"/>
  <c r="L78" i="95"/>
  <c r="B78" i="95"/>
  <c r="Z77" i="95"/>
  <c r="X77" i="95"/>
  <c r="T77" i="95"/>
  <c r="P77" i="95"/>
  <c r="H77" i="95"/>
  <c r="N77" i="95" s="1"/>
  <c r="D77" i="95"/>
  <c r="L77" i="95" s="1"/>
  <c r="B77" i="95"/>
  <c r="X76" i="95"/>
  <c r="Z76" i="95" s="1"/>
  <c r="N76" i="95"/>
  <c r="L76" i="95"/>
  <c r="B76" i="95"/>
  <c r="X75" i="95"/>
  <c r="T75" i="95"/>
  <c r="P75" i="95"/>
  <c r="H75" i="95"/>
  <c r="D75" i="95"/>
  <c r="L75" i="95" s="1"/>
  <c r="N75" i="95" s="1"/>
  <c r="B75" i="95"/>
  <c r="X74" i="95"/>
  <c r="Z74" i="95" s="1"/>
  <c r="N74" i="95"/>
  <c r="L74" i="95"/>
  <c r="B74" i="95"/>
  <c r="X73" i="95"/>
  <c r="Z73" i="95" s="1"/>
  <c r="N73" i="95"/>
  <c r="L73" i="95"/>
  <c r="B73" i="95"/>
  <c r="X72" i="95"/>
  <c r="Z72" i="95" s="1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X69" i="95"/>
  <c r="Z69" i="95" s="1"/>
  <c r="N69" i="95"/>
  <c r="L69" i="95"/>
  <c r="B69" i="95"/>
  <c r="T68" i="95"/>
  <c r="Z68" i="95" s="1"/>
  <c r="P68" i="95"/>
  <c r="X68" i="95" s="1"/>
  <c r="H68" i="95"/>
  <c r="D68" i="95"/>
  <c r="B68" i="95"/>
  <c r="X67" i="95"/>
  <c r="Z67" i="95" s="1"/>
  <c r="N67" i="95"/>
  <c r="L67" i="95"/>
  <c r="B67" i="95"/>
  <c r="X66" i="95"/>
  <c r="Z66" i="95" s="1"/>
  <c r="N66" i="95"/>
  <c r="L66" i="95"/>
  <c r="B66" i="95"/>
  <c r="Z65" i="95"/>
  <c r="X65" i="95"/>
  <c r="N65" i="95"/>
  <c r="L65" i="95"/>
  <c r="B65" i="95"/>
  <c r="T64" i="95"/>
  <c r="P64" i="95"/>
  <c r="X64" i="95" s="1"/>
  <c r="L64" i="95"/>
  <c r="H64" i="95"/>
  <c r="N64" i="95" s="1"/>
  <c r="D64" i="95"/>
  <c r="B64" i="95"/>
  <c r="Z63" i="95"/>
  <c r="X63" i="95"/>
  <c r="N63" i="95"/>
  <c r="L63" i="95"/>
  <c r="B63" i="95"/>
  <c r="X62" i="95"/>
  <c r="Z62" i="95" s="1"/>
  <c r="N62" i="95"/>
  <c r="L62" i="95"/>
  <c r="B62" i="95"/>
  <c r="T61" i="95"/>
  <c r="X61" i="95" s="1"/>
  <c r="Z61" i="95" s="1"/>
  <c r="P61" i="95"/>
  <c r="L61" i="95"/>
  <c r="H61" i="95"/>
  <c r="N61" i="95" s="1"/>
  <c r="D61" i="95"/>
  <c r="B61" i="95"/>
  <c r="Z60" i="95"/>
  <c r="X60" i="95"/>
  <c r="L60" i="95"/>
  <c r="N60" i="95" s="1"/>
  <c r="B60" i="95"/>
  <c r="Z59" i="95"/>
  <c r="X59" i="95"/>
  <c r="T59" i="95"/>
  <c r="P59" i="95"/>
  <c r="H59" i="95"/>
  <c r="D59" i="95"/>
  <c r="L59" i="95" s="1"/>
  <c r="B59" i="95"/>
  <c r="X58" i="95"/>
  <c r="Z58" i="95" s="1"/>
  <c r="L58" i="95"/>
  <c r="N58" i="95" s="1"/>
  <c r="B58" i="95"/>
  <c r="Z57" i="95"/>
  <c r="T57" i="95"/>
  <c r="P57" i="95"/>
  <c r="X57" i="95" s="1"/>
  <c r="H57" i="95"/>
  <c r="N57" i="95" s="1"/>
  <c r="D57" i="95"/>
  <c r="L57" i="95" s="1"/>
  <c r="B57" i="95"/>
  <c r="X56" i="95"/>
  <c r="Z56" i="95" s="1"/>
  <c r="N56" i="95"/>
  <c r="L56" i="95"/>
  <c r="B56" i="95"/>
  <c r="X55" i="95"/>
  <c r="T55" i="95"/>
  <c r="P55" i="95"/>
  <c r="N55" i="95"/>
  <c r="H55" i="95"/>
  <c r="D55" i="95"/>
  <c r="L55" i="95" s="1"/>
  <c r="B55" i="95"/>
  <c r="Z54" i="95"/>
  <c r="X54" i="95"/>
  <c r="N54" i="95"/>
  <c r="L54" i="95"/>
  <c r="B54" i="95"/>
  <c r="T53" i="95"/>
  <c r="P53" i="95"/>
  <c r="N53" i="95"/>
  <c r="L53" i="95"/>
  <c r="H53" i="95"/>
  <c r="D53" i="95"/>
  <c r="B53" i="95"/>
  <c r="Z52" i="95"/>
  <c r="X52" i="95"/>
  <c r="R52" i="95"/>
  <c r="N52" i="95"/>
  <c r="L52" i="95"/>
  <c r="B52" i="95"/>
  <c r="T51" i="95"/>
  <c r="P51" i="95"/>
  <c r="X51" i="95" s="1"/>
  <c r="N51" i="95"/>
  <c r="H51" i="95"/>
  <c r="D51" i="95"/>
  <c r="L51" i="95" s="1"/>
  <c r="B51" i="95"/>
  <c r="Z50" i="95"/>
  <c r="X50" i="95"/>
  <c r="N50" i="95"/>
  <c r="L50" i="95"/>
  <c r="B50" i="95"/>
  <c r="X49" i="95"/>
  <c r="T49" i="95"/>
  <c r="Z49" i="95" s="1"/>
  <c r="P49" i="95"/>
  <c r="L49" i="95"/>
  <c r="H49" i="95"/>
  <c r="N49" i="95" s="1"/>
  <c r="D49" i="95"/>
  <c r="B49" i="95"/>
  <c r="Z48" i="95"/>
  <c r="X48" i="95"/>
  <c r="N48" i="95"/>
  <c r="L48" i="95"/>
  <c r="B48" i="95"/>
  <c r="T47" i="95"/>
  <c r="X47" i="95" s="1"/>
  <c r="Z47" i="95" s="1"/>
  <c r="P47" i="95"/>
  <c r="H47" i="95"/>
  <c r="D47" i="95"/>
  <c r="B47" i="95"/>
  <c r="Z46" i="95"/>
  <c r="X46" i="95"/>
  <c r="N46" i="95"/>
  <c r="L46" i="95"/>
  <c r="B46" i="95"/>
  <c r="T45" i="95"/>
  <c r="P45" i="95"/>
  <c r="X45" i="95" s="1"/>
  <c r="Z45" i="95" s="1"/>
  <c r="H45" i="95"/>
  <c r="N45" i="95" s="1"/>
  <c r="D45" i="95"/>
  <c r="L45" i="95" s="1"/>
  <c r="B45" i="95"/>
  <c r="X44" i="95"/>
  <c r="Z44" i="95" s="1"/>
  <c r="N44" i="95"/>
  <c r="L44" i="95"/>
  <c r="B44" i="95"/>
  <c r="X43" i="95"/>
  <c r="T43" i="95"/>
  <c r="Z43" i="95" s="1"/>
  <c r="P43" i="95"/>
  <c r="L43" i="95"/>
  <c r="H43" i="95"/>
  <c r="N43" i="95" s="1"/>
  <c r="D43" i="95"/>
  <c r="B43" i="95"/>
  <c r="X42" i="95"/>
  <c r="Z42" i="95" s="1"/>
  <c r="N42" i="95"/>
  <c r="L42" i="95"/>
  <c r="B42" i="95"/>
  <c r="T41" i="95"/>
  <c r="R41" i="95"/>
  <c r="P41" i="95"/>
  <c r="N41" i="95"/>
  <c r="H41" i="95"/>
  <c r="D41" i="95"/>
  <c r="L41" i="95" s="1"/>
  <c r="B41" i="95"/>
  <c r="Z40" i="95"/>
  <c r="X40" i="95"/>
  <c r="R40" i="95"/>
  <c r="N40" i="95"/>
  <c r="L40" i="95"/>
  <c r="B40" i="95"/>
  <c r="X39" i="95"/>
  <c r="Z39" i="95" s="1"/>
  <c r="N39" i="95"/>
  <c r="L39" i="95"/>
  <c r="B39" i="95"/>
  <c r="Z38" i="95"/>
  <c r="X38" i="95"/>
  <c r="N38" i="95"/>
  <c r="L38" i="95"/>
  <c r="B38" i="95"/>
  <c r="Z37" i="95"/>
  <c r="X37" i="95"/>
  <c r="N37" i="95"/>
  <c r="L37" i="95"/>
  <c r="B37" i="95"/>
  <c r="Z36" i="95"/>
  <c r="X36" i="95"/>
  <c r="L36" i="95"/>
  <c r="N36" i="95" s="1"/>
  <c r="B36" i="95"/>
  <c r="X35" i="95"/>
  <c r="Z35" i="95" s="1"/>
  <c r="L35" i="95"/>
  <c r="N35" i="95" s="1"/>
  <c r="B35" i="95"/>
  <c r="T34" i="95"/>
  <c r="P34" i="95"/>
  <c r="X34" i="95" s="1"/>
  <c r="Z34" i="95" s="1"/>
  <c r="H34" i="95"/>
  <c r="D34" i="95"/>
  <c r="B34" i="95"/>
  <c r="X33" i="95"/>
  <c r="Z33" i="95" s="1"/>
  <c r="N33" i="95"/>
  <c r="L33" i="95"/>
  <c r="B33" i="95"/>
  <c r="X32" i="95"/>
  <c r="Z32" i="95" s="1"/>
  <c r="N32" i="95"/>
  <c r="L32" i="95"/>
  <c r="B32" i="95"/>
  <c r="X31" i="95"/>
  <c r="Z31" i="95" s="1"/>
  <c r="N31" i="95"/>
  <c r="L31" i="95"/>
  <c r="B31" i="95"/>
  <c r="X30" i="95"/>
  <c r="Z30" i="95" s="1"/>
  <c r="N30" i="95"/>
  <c r="L30" i="95"/>
  <c r="B30" i="95"/>
  <c r="X29" i="95"/>
  <c r="Z29" i="95" s="1"/>
  <c r="N29" i="95"/>
  <c r="L29" i="95"/>
  <c r="B29" i="95"/>
  <c r="X28" i="95"/>
  <c r="Z28" i="95" s="1"/>
  <c r="N28" i="95"/>
  <c r="L28" i="95"/>
  <c r="B28" i="95"/>
  <c r="X27" i="95"/>
  <c r="Z27" i="95" s="1"/>
  <c r="N27" i="95"/>
  <c r="L27" i="95"/>
  <c r="B27" i="95"/>
  <c r="X26" i="95"/>
  <c r="Z26" i="95" s="1"/>
  <c r="L26" i="95"/>
  <c r="N26" i="95" s="1"/>
  <c r="B26" i="95"/>
  <c r="X25" i="95"/>
  <c r="Z25" i="95" s="1"/>
  <c r="L25" i="95"/>
  <c r="N25" i="95" s="1"/>
  <c r="B25" i="95"/>
  <c r="X24" i="95"/>
  <c r="T24" i="95"/>
  <c r="P24" i="95"/>
  <c r="H24" i="95"/>
  <c r="N24" i="95" s="1"/>
  <c r="D24" i="95"/>
  <c r="L24" i="95" s="1"/>
  <c r="B24" i="95"/>
  <c r="T23" i="95"/>
  <c r="Z23" i="95" s="1"/>
  <c r="P23" i="95"/>
  <c r="X23" i="95" s="1"/>
  <c r="H23" i="95"/>
  <c r="D23" i="95"/>
  <c r="Z19" i="95"/>
  <c r="X19" i="95"/>
  <c r="L19" i="95"/>
  <c r="N19" i="95" s="1"/>
  <c r="B19" i="95"/>
  <c r="X18" i="95"/>
  <c r="Z18" i="95" s="1"/>
  <c r="N18" i="95"/>
  <c r="L18" i="95"/>
  <c r="B18" i="95"/>
  <c r="T17" i="95"/>
  <c r="P17" i="95"/>
  <c r="H17" i="95"/>
  <c r="D17" i="95"/>
  <c r="T15" i="95"/>
  <c r="Z15" i="95" s="1"/>
  <c r="P15" i="95"/>
  <c r="X15" i="95" s="1"/>
  <c r="H15" i="95"/>
  <c r="L15" i="95" s="1"/>
  <c r="D15" i="95"/>
  <c r="B15" i="95"/>
  <c r="Z14" i="95"/>
  <c r="T14" i="95"/>
  <c r="X14" i="95" s="1"/>
  <c r="P14" i="95"/>
  <c r="H14" i="95"/>
  <c r="D14" i="95"/>
  <c r="B14" i="95"/>
  <c r="Z13" i="95"/>
  <c r="T13" i="95"/>
  <c r="P13" i="95"/>
  <c r="X13" i="95" s="1"/>
  <c r="N13" i="95"/>
  <c r="L13" i="95"/>
  <c r="H13" i="95"/>
  <c r="D13" i="95"/>
  <c r="B13" i="95"/>
  <c r="P12" i="95"/>
  <c r="D6" i="95"/>
  <c r="D4" i="95"/>
  <c r="X92" i="94"/>
  <c r="Z92" i="94" s="1"/>
  <c r="L92" i="94"/>
  <c r="N92" i="94" s="1"/>
  <c r="Z88" i="94"/>
  <c r="T88" i="94"/>
  <c r="P88" i="94"/>
  <c r="X88" i="94" s="1"/>
  <c r="N88" i="94"/>
  <c r="L88" i="94"/>
  <c r="H88" i="94"/>
  <c r="D88" i="94"/>
  <c r="Z86" i="94"/>
  <c r="X86" i="94"/>
  <c r="N86" i="94"/>
  <c r="L86" i="94"/>
  <c r="B86" i="94"/>
  <c r="Z85" i="94"/>
  <c r="X85" i="94"/>
  <c r="N85" i="94"/>
  <c r="L85" i="94"/>
  <c r="B85" i="94"/>
  <c r="X84" i="94"/>
  <c r="Z84" i="94" s="1"/>
  <c r="T84" i="94"/>
  <c r="P84" i="94"/>
  <c r="N84" i="94"/>
  <c r="H84" i="94"/>
  <c r="D84" i="94"/>
  <c r="L84" i="94" s="1"/>
  <c r="B84" i="94"/>
  <c r="Z83" i="94"/>
  <c r="X83" i="94"/>
  <c r="N83" i="94"/>
  <c r="L83" i="94"/>
  <c r="B83" i="94"/>
  <c r="T82" i="94"/>
  <c r="P82" i="94"/>
  <c r="X82" i="94" s="1"/>
  <c r="H82" i="94"/>
  <c r="N82" i="94" s="1"/>
  <c r="D82" i="94"/>
  <c r="L82" i="94" s="1"/>
  <c r="B82" i="94"/>
  <c r="X81" i="94"/>
  <c r="Z81" i="94" s="1"/>
  <c r="N81" i="94"/>
  <c r="L81" i="94"/>
  <c r="B81" i="94"/>
  <c r="T80" i="94"/>
  <c r="P80" i="94"/>
  <c r="X80" i="94" s="1"/>
  <c r="Z80" i="94" s="1"/>
  <c r="L80" i="94"/>
  <c r="N80" i="94" s="1"/>
  <c r="H80" i="94"/>
  <c r="F80" i="94"/>
  <c r="D80" i="94"/>
  <c r="B80" i="94"/>
  <c r="Z79" i="94"/>
  <c r="X79" i="94"/>
  <c r="N79" i="94"/>
  <c r="L79" i="94"/>
  <c r="B79" i="94"/>
  <c r="Z78" i="94"/>
  <c r="X78" i="94"/>
  <c r="N78" i="94"/>
  <c r="L78" i="94"/>
  <c r="B78" i="94"/>
  <c r="Z77" i="94"/>
  <c r="X77" i="94"/>
  <c r="N77" i="94"/>
  <c r="L77" i="94"/>
  <c r="B77" i="94"/>
  <c r="X76" i="94"/>
  <c r="Z76" i="94" s="1"/>
  <c r="N76" i="94"/>
  <c r="L76" i="94"/>
  <c r="B76" i="94"/>
  <c r="Z75" i="94"/>
  <c r="X75" i="94"/>
  <c r="N75" i="94"/>
  <c r="L75" i="94"/>
  <c r="B75" i="94"/>
  <c r="Z74" i="94"/>
  <c r="X74" i="94"/>
  <c r="N74" i="94"/>
  <c r="L74" i="94"/>
  <c r="B74" i="94"/>
  <c r="Z73" i="94"/>
  <c r="X73" i="94"/>
  <c r="N73" i="94"/>
  <c r="L73" i="94"/>
  <c r="B73" i="94"/>
  <c r="Z72" i="94"/>
  <c r="X72" i="94"/>
  <c r="N72" i="94"/>
  <c r="L72" i="94"/>
  <c r="B72" i="94"/>
  <c r="X71" i="94"/>
  <c r="Z71" i="94" s="1"/>
  <c r="N71" i="94"/>
  <c r="L71" i="94"/>
  <c r="B71" i="94"/>
  <c r="Z70" i="94"/>
  <c r="X70" i="94"/>
  <c r="T70" i="94"/>
  <c r="P70" i="94"/>
  <c r="N70" i="94"/>
  <c r="L70" i="94"/>
  <c r="H70" i="94"/>
  <c r="D70" i="94"/>
  <c r="B70" i="94"/>
  <c r="Z69" i="94"/>
  <c r="X69" i="94"/>
  <c r="N69" i="94"/>
  <c r="L69" i="94"/>
  <c r="B69" i="94"/>
  <c r="T68" i="94"/>
  <c r="Z68" i="94" s="1"/>
  <c r="P68" i="94"/>
  <c r="H68" i="94"/>
  <c r="N68" i="94" s="1"/>
  <c r="D68" i="94"/>
  <c r="L68" i="94" s="1"/>
  <c r="B68" i="94"/>
  <c r="X67" i="94"/>
  <c r="Z67" i="94" s="1"/>
  <c r="N67" i="94"/>
  <c r="L67" i="94"/>
  <c r="B67" i="94"/>
  <c r="X66" i="94"/>
  <c r="Z66" i="94" s="1"/>
  <c r="N66" i="94"/>
  <c r="L66" i="94"/>
  <c r="B66" i="94"/>
  <c r="Z65" i="94"/>
  <c r="X65" i="94"/>
  <c r="N65" i="94"/>
  <c r="L65" i="94"/>
  <c r="B65" i="94"/>
  <c r="X64" i="94"/>
  <c r="Z64" i="94" s="1"/>
  <c r="N64" i="94"/>
  <c r="L64" i="94"/>
  <c r="B64" i="94"/>
  <c r="Z63" i="94"/>
  <c r="X63" i="94"/>
  <c r="T63" i="94"/>
  <c r="P63" i="94"/>
  <c r="L63" i="94"/>
  <c r="H63" i="94"/>
  <c r="D63" i="94"/>
  <c r="B63" i="94"/>
  <c r="Z62" i="94"/>
  <c r="X62" i="94"/>
  <c r="N62" i="94"/>
  <c r="L62" i="94"/>
  <c r="B62" i="94"/>
  <c r="X61" i="94"/>
  <c r="Z61" i="94" s="1"/>
  <c r="L61" i="94"/>
  <c r="N61" i="94" s="1"/>
  <c r="B61" i="94"/>
  <c r="Z60" i="94"/>
  <c r="X60" i="94"/>
  <c r="N60" i="94"/>
  <c r="L60" i="94"/>
  <c r="B60" i="94"/>
  <c r="Z59" i="94"/>
  <c r="T59" i="94"/>
  <c r="P59" i="94"/>
  <c r="X59" i="94" s="1"/>
  <c r="H59" i="94"/>
  <c r="D59" i="94"/>
  <c r="L59" i="94" s="1"/>
  <c r="B59" i="94"/>
  <c r="X58" i="94"/>
  <c r="Z58" i="94" s="1"/>
  <c r="N58" i="94"/>
  <c r="L58" i="94"/>
  <c r="B58" i="94"/>
  <c r="X57" i="94"/>
  <c r="Z57" i="94" s="1"/>
  <c r="T57" i="94"/>
  <c r="P57" i="94"/>
  <c r="L57" i="94"/>
  <c r="H57" i="94"/>
  <c r="N57" i="94" s="1"/>
  <c r="D57" i="94"/>
  <c r="B57" i="94"/>
  <c r="X56" i="94"/>
  <c r="Z56" i="94" s="1"/>
  <c r="R56" i="94"/>
  <c r="N56" i="94"/>
  <c r="L56" i="94"/>
  <c r="B56" i="94"/>
  <c r="T55" i="94"/>
  <c r="P55" i="94"/>
  <c r="N55" i="94"/>
  <c r="L55" i="94"/>
  <c r="H55" i="94"/>
  <c r="D55" i="94"/>
  <c r="B55" i="94"/>
  <c r="Z54" i="94"/>
  <c r="X54" i="94"/>
  <c r="L54" i="94"/>
  <c r="N54" i="94" s="1"/>
  <c r="B54" i="94"/>
  <c r="T53" i="94"/>
  <c r="P53" i="94"/>
  <c r="X53" i="94" s="1"/>
  <c r="N53" i="94"/>
  <c r="H53" i="94"/>
  <c r="D53" i="94"/>
  <c r="L53" i="94" s="1"/>
  <c r="B53" i="94"/>
  <c r="Z52" i="94"/>
  <c r="X52" i="94"/>
  <c r="N52" i="94"/>
  <c r="L52" i="94"/>
  <c r="F52" i="94"/>
  <c r="B52" i="94"/>
  <c r="X51" i="94"/>
  <c r="T51" i="94"/>
  <c r="Z51" i="94" s="1"/>
  <c r="P51" i="94"/>
  <c r="N51" i="94"/>
  <c r="L51" i="94"/>
  <c r="H51" i="94"/>
  <c r="F51" i="94"/>
  <c r="D51" i="94"/>
  <c r="B51" i="94"/>
  <c r="Z50" i="94"/>
  <c r="X50" i="94"/>
  <c r="N50" i="94"/>
  <c r="L50" i="94"/>
  <c r="F50" i="94"/>
  <c r="B50" i="94"/>
  <c r="Z49" i="94"/>
  <c r="X49" i="94"/>
  <c r="T49" i="94"/>
  <c r="P49" i="94"/>
  <c r="H49" i="94"/>
  <c r="F49" i="94"/>
  <c r="D49" i="94"/>
  <c r="B49" i="94"/>
  <c r="Z48" i="94"/>
  <c r="X48" i="94"/>
  <c r="N48" i="94"/>
  <c r="L48" i="94"/>
  <c r="B48" i="94"/>
  <c r="Z47" i="94"/>
  <c r="T47" i="94"/>
  <c r="P47" i="94"/>
  <c r="X47" i="94" s="1"/>
  <c r="H47" i="94"/>
  <c r="N47" i="94" s="1"/>
  <c r="D47" i="94"/>
  <c r="L47" i="94" s="1"/>
  <c r="B47" i="94"/>
  <c r="X46" i="94"/>
  <c r="Z46" i="94" s="1"/>
  <c r="N46" i="94"/>
  <c r="L46" i="94"/>
  <c r="B46" i="94"/>
  <c r="X45" i="94"/>
  <c r="T45" i="94"/>
  <c r="Z45" i="94" s="1"/>
  <c r="P45" i="94"/>
  <c r="L45" i="94"/>
  <c r="H45" i="94"/>
  <c r="N45" i="94" s="1"/>
  <c r="D45" i="94"/>
  <c r="B45" i="94"/>
  <c r="X44" i="94"/>
  <c r="Z44" i="94" s="1"/>
  <c r="N44" i="94"/>
  <c r="L44" i="94"/>
  <c r="B44" i="94"/>
  <c r="T43" i="94"/>
  <c r="P43" i="94"/>
  <c r="N43" i="94"/>
  <c r="L43" i="94"/>
  <c r="H43" i="94"/>
  <c r="D43" i="94"/>
  <c r="B43" i="94"/>
  <c r="Z42" i="94"/>
  <c r="X42" i="94"/>
  <c r="N42" i="94"/>
  <c r="L42" i="94"/>
  <c r="B42" i="94"/>
  <c r="T41" i="94"/>
  <c r="P41" i="94"/>
  <c r="X41" i="94" s="1"/>
  <c r="N41" i="94"/>
  <c r="H41" i="94"/>
  <c r="D41" i="94"/>
  <c r="L41" i="94" s="1"/>
  <c r="B41" i="94"/>
  <c r="Z40" i="94"/>
  <c r="X40" i="94"/>
  <c r="N40" i="94"/>
  <c r="L40" i="94"/>
  <c r="F40" i="94"/>
  <c r="B40" i="94"/>
  <c r="X39" i="94"/>
  <c r="Z39" i="94" s="1"/>
  <c r="N39" i="94"/>
  <c r="L39" i="94"/>
  <c r="F39" i="94"/>
  <c r="B39" i="94"/>
  <c r="X38" i="94"/>
  <c r="Z38" i="94" s="1"/>
  <c r="N38" i="94"/>
  <c r="L38" i="94"/>
  <c r="B38" i="94"/>
  <c r="X37" i="94"/>
  <c r="Z37" i="94" s="1"/>
  <c r="N37" i="94"/>
  <c r="L37" i="94"/>
  <c r="B37" i="94"/>
  <c r="Z36" i="94"/>
  <c r="X36" i="94"/>
  <c r="L36" i="94"/>
  <c r="N36" i="94" s="1"/>
  <c r="F36" i="94"/>
  <c r="B36" i="94"/>
  <c r="X35" i="94"/>
  <c r="Z35" i="94" s="1"/>
  <c r="L35" i="94"/>
  <c r="N35" i="94" s="1"/>
  <c r="F35" i="94"/>
  <c r="B35" i="94"/>
  <c r="X34" i="94"/>
  <c r="T34" i="94"/>
  <c r="Z34" i="94" s="1"/>
  <c r="P34" i="94"/>
  <c r="H34" i="94"/>
  <c r="D34" i="94"/>
  <c r="B34" i="94"/>
  <c r="Z33" i="94"/>
  <c r="X33" i="94"/>
  <c r="N33" i="94"/>
  <c r="L33" i="94"/>
  <c r="B33" i="94"/>
  <c r="X32" i="94"/>
  <c r="Z32" i="94" s="1"/>
  <c r="N32" i="94"/>
  <c r="L32" i="94"/>
  <c r="B32" i="94"/>
  <c r="X31" i="94"/>
  <c r="Z31" i="94" s="1"/>
  <c r="R31" i="94"/>
  <c r="N31" i="94"/>
  <c r="L31" i="94"/>
  <c r="B31" i="94"/>
  <c r="Z30" i="94"/>
  <c r="X30" i="94"/>
  <c r="N30" i="94"/>
  <c r="L30" i="94"/>
  <c r="F30" i="94"/>
  <c r="B30" i="94"/>
  <c r="Z29" i="94"/>
  <c r="X29" i="94"/>
  <c r="N29" i="94"/>
  <c r="L29" i="94"/>
  <c r="B29" i="94"/>
  <c r="X28" i="94"/>
  <c r="Z28" i="94" s="1"/>
  <c r="N28" i="94"/>
  <c r="L28" i="94"/>
  <c r="B28" i="94"/>
  <c r="X27" i="94"/>
  <c r="Z27" i="94" s="1"/>
  <c r="N27" i="94"/>
  <c r="L27" i="94"/>
  <c r="B27" i="94"/>
  <c r="Z26" i="94"/>
  <c r="X26" i="94"/>
  <c r="N26" i="94"/>
  <c r="L26" i="94"/>
  <c r="F26" i="94"/>
  <c r="B26" i="94"/>
  <c r="Z25" i="94"/>
  <c r="X25" i="94"/>
  <c r="L25" i="94"/>
  <c r="N25" i="94" s="1"/>
  <c r="B25" i="94"/>
  <c r="T24" i="94"/>
  <c r="P24" i="94"/>
  <c r="H24" i="94"/>
  <c r="D24" i="94"/>
  <c r="L24" i="94" s="1"/>
  <c r="N24" i="94" s="1"/>
  <c r="B24" i="94"/>
  <c r="T23" i="94"/>
  <c r="P23" i="94"/>
  <c r="X23" i="94" s="1"/>
  <c r="Z23" i="94" s="1"/>
  <c r="H23" i="94"/>
  <c r="D23" i="94"/>
  <c r="L23" i="94" s="1"/>
  <c r="D21" i="94"/>
  <c r="Z19" i="94"/>
  <c r="X19" i="94"/>
  <c r="L19" i="94"/>
  <c r="N19" i="94" s="1"/>
  <c r="B19" i="94"/>
  <c r="Z18" i="94"/>
  <c r="X18" i="94"/>
  <c r="N18" i="94"/>
  <c r="L18" i="94"/>
  <c r="B18" i="94"/>
  <c r="T17" i="94"/>
  <c r="P17" i="94"/>
  <c r="X17" i="94" s="1"/>
  <c r="N17" i="94"/>
  <c r="J17" i="94"/>
  <c r="H17" i="94"/>
  <c r="D17" i="94"/>
  <c r="L17" i="94" s="1"/>
  <c r="T15" i="94"/>
  <c r="Z15" i="94" s="1"/>
  <c r="P15" i="94"/>
  <c r="X15" i="94" s="1"/>
  <c r="H15" i="94"/>
  <c r="N15" i="94" s="1"/>
  <c r="D15" i="94"/>
  <c r="B15" i="94"/>
  <c r="T14" i="94"/>
  <c r="P14" i="94"/>
  <c r="H14" i="94"/>
  <c r="H12" i="94" s="1"/>
  <c r="D14" i="94"/>
  <c r="B14" i="94"/>
  <c r="T13" i="94"/>
  <c r="P13" i="94"/>
  <c r="N13" i="94"/>
  <c r="L13" i="94"/>
  <c r="H13" i="94"/>
  <c r="D13" i="94"/>
  <c r="B13" i="94"/>
  <c r="P12" i="94"/>
  <c r="R27" i="94" s="1"/>
  <c r="D12" i="94"/>
  <c r="F81" i="94" s="1"/>
  <c r="D6" i="94"/>
  <c r="D4" i="94"/>
  <c r="X53" i="93"/>
  <c r="Z53" i="93" s="1"/>
  <c r="L53" i="93"/>
  <c r="N53" i="93" s="1"/>
  <c r="F53" i="93"/>
  <c r="Z49" i="93"/>
  <c r="T49" i="93"/>
  <c r="P49" i="93"/>
  <c r="X49" i="93" s="1"/>
  <c r="H49" i="93"/>
  <c r="N49" i="93" s="1"/>
  <c r="D49" i="93"/>
  <c r="L49" i="93" s="1"/>
  <c r="Z47" i="93"/>
  <c r="X47" i="93"/>
  <c r="L47" i="93"/>
  <c r="N47" i="93" s="1"/>
  <c r="B47" i="93"/>
  <c r="T46" i="93"/>
  <c r="P46" i="93"/>
  <c r="X46" i="93" s="1"/>
  <c r="Z46" i="93" s="1"/>
  <c r="H46" i="93"/>
  <c r="N46" i="93" s="1"/>
  <c r="D46" i="93"/>
  <c r="L46" i="93" s="1"/>
  <c r="B46" i="93"/>
  <c r="X45" i="93"/>
  <c r="Z45" i="93" s="1"/>
  <c r="N45" i="93"/>
  <c r="L45" i="93"/>
  <c r="B45" i="93"/>
  <c r="X44" i="93"/>
  <c r="Z44" i="93" s="1"/>
  <c r="N44" i="93"/>
  <c r="L44" i="93"/>
  <c r="B44" i="93"/>
  <c r="X43" i="93"/>
  <c r="Z43" i="93" s="1"/>
  <c r="N43" i="93"/>
  <c r="L43" i="93"/>
  <c r="F43" i="93"/>
  <c r="B43" i="93"/>
  <c r="T42" i="93"/>
  <c r="Z42" i="93" s="1"/>
  <c r="P42" i="93"/>
  <c r="X42" i="93" s="1"/>
  <c r="L42" i="93"/>
  <c r="H42" i="93"/>
  <c r="N42" i="93" s="1"/>
  <c r="F42" i="93"/>
  <c r="D42" i="93"/>
  <c r="B42" i="93"/>
  <c r="Z41" i="93"/>
  <c r="X41" i="93"/>
  <c r="N41" i="93"/>
  <c r="L41" i="93"/>
  <c r="F41" i="93"/>
  <c r="B41" i="93"/>
  <c r="Z40" i="93"/>
  <c r="T40" i="93"/>
  <c r="X40" i="93" s="1"/>
  <c r="P40" i="93"/>
  <c r="H40" i="93"/>
  <c r="F40" i="93"/>
  <c r="D40" i="93"/>
  <c r="B40" i="93"/>
  <c r="Z39" i="93"/>
  <c r="X39" i="93"/>
  <c r="N39" i="93"/>
  <c r="L39" i="93"/>
  <c r="B39" i="93"/>
  <c r="T38" i="93"/>
  <c r="P38" i="93"/>
  <c r="X38" i="93" s="1"/>
  <c r="Z38" i="93" s="1"/>
  <c r="H38" i="93"/>
  <c r="N38" i="93" s="1"/>
  <c r="D38" i="93"/>
  <c r="L38" i="93" s="1"/>
  <c r="B38" i="93"/>
  <c r="X37" i="93"/>
  <c r="Z37" i="93" s="1"/>
  <c r="N37" i="93"/>
  <c r="L37" i="93"/>
  <c r="B37" i="93"/>
  <c r="X36" i="93"/>
  <c r="T36" i="93"/>
  <c r="P36" i="93"/>
  <c r="H36" i="93"/>
  <c r="N36" i="93" s="1"/>
  <c r="D36" i="93"/>
  <c r="L36" i="93" s="1"/>
  <c r="B36" i="93"/>
  <c r="X35" i="93"/>
  <c r="Z35" i="93" s="1"/>
  <c r="N35" i="93"/>
  <c r="L35" i="93"/>
  <c r="B35" i="93"/>
  <c r="T34" i="93"/>
  <c r="P34" i="93"/>
  <c r="N34" i="93"/>
  <c r="H34" i="93"/>
  <c r="L34" i="93" s="1"/>
  <c r="D34" i="93"/>
  <c r="B34" i="93"/>
  <c r="Z33" i="93"/>
  <c r="X33" i="93"/>
  <c r="V33" i="93"/>
  <c r="N33" i="93"/>
  <c r="L33" i="93"/>
  <c r="B33" i="93"/>
  <c r="T32" i="93"/>
  <c r="P32" i="93"/>
  <c r="X32" i="93" s="1"/>
  <c r="N32" i="93"/>
  <c r="H32" i="93"/>
  <c r="D32" i="93"/>
  <c r="L32" i="93" s="1"/>
  <c r="B32" i="93"/>
  <c r="Z31" i="93"/>
  <c r="X31" i="93"/>
  <c r="N31" i="93"/>
  <c r="L31" i="93"/>
  <c r="F31" i="93"/>
  <c r="B31" i="93"/>
  <c r="X30" i="93"/>
  <c r="Z30" i="93" s="1"/>
  <c r="N30" i="93"/>
  <c r="L30" i="93"/>
  <c r="F30" i="93"/>
  <c r="B30" i="93"/>
  <c r="X29" i="93"/>
  <c r="Z29" i="93" s="1"/>
  <c r="N29" i="93"/>
  <c r="L29" i="93"/>
  <c r="B29" i="93"/>
  <c r="X28" i="93"/>
  <c r="T28" i="93"/>
  <c r="Z28" i="93" s="1"/>
  <c r="P28" i="93"/>
  <c r="H28" i="93"/>
  <c r="N28" i="93" s="1"/>
  <c r="D28" i="93"/>
  <c r="L28" i="93" s="1"/>
  <c r="B28" i="93"/>
  <c r="X27" i="93"/>
  <c r="Z27" i="93" s="1"/>
  <c r="N27" i="93"/>
  <c r="L27" i="93"/>
  <c r="B27" i="93"/>
  <c r="X26" i="93"/>
  <c r="Z26" i="93" s="1"/>
  <c r="N26" i="93"/>
  <c r="L26" i="93"/>
  <c r="B26" i="93"/>
  <c r="Z25" i="93"/>
  <c r="X25" i="93"/>
  <c r="N25" i="93"/>
  <c r="L25" i="93"/>
  <c r="F25" i="93"/>
  <c r="B25" i="93"/>
  <c r="Z24" i="93"/>
  <c r="T24" i="93"/>
  <c r="X24" i="93" s="1"/>
  <c r="P24" i="93"/>
  <c r="H24" i="93"/>
  <c r="F24" i="93"/>
  <c r="D24" i="93"/>
  <c r="B24" i="93"/>
  <c r="T23" i="93"/>
  <c r="P23" i="93"/>
  <c r="X23" i="93" s="1"/>
  <c r="H23" i="93"/>
  <c r="D23" i="93"/>
  <c r="D21" i="93"/>
  <c r="Z19" i="93"/>
  <c r="X19" i="93"/>
  <c r="N19" i="93"/>
  <c r="L19" i="93"/>
  <c r="B19" i="93"/>
  <c r="Z18" i="93"/>
  <c r="X18" i="93"/>
  <c r="N18" i="93"/>
  <c r="L18" i="93"/>
  <c r="B18" i="93"/>
  <c r="T17" i="93"/>
  <c r="P17" i="93"/>
  <c r="H17" i="93"/>
  <c r="N17" i="93" s="1"/>
  <c r="D17" i="93"/>
  <c r="L17" i="93" s="1"/>
  <c r="T15" i="93"/>
  <c r="P15" i="93"/>
  <c r="L15" i="93"/>
  <c r="H15" i="93"/>
  <c r="N15" i="93" s="1"/>
  <c r="D15" i="93"/>
  <c r="B15" i="93"/>
  <c r="T14" i="93"/>
  <c r="P14" i="93"/>
  <c r="X14" i="93" s="1"/>
  <c r="Z14" i="93" s="1"/>
  <c r="H14" i="93"/>
  <c r="N14" i="93" s="1"/>
  <c r="D14" i="93"/>
  <c r="B14" i="93"/>
  <c r="T13" i="93"/>
  <c r="P13" i="93"/>
  <c r="H13" i="93"/>
  <c r="D13" i="93"/>
  <c r="B13" i="93"/>
  <c r="T12" i="93"/>
  <c r="V44" i="93" s="1"/>
  <c r="D12" i="93"/>
  <c r="F26" i="93" s="1"/>
  <c r="D6" i="93"/>
  <c r="D4" i="93"/>
  <c r="X88" i="92"/>
  <c r="Z88" i="92" s="1"/>
  <c r="N88" i="92"/>
  <c r="L88" i="92"/>
  <c r="T84" i="92"/>
  <c r="Z84" i="92" s="1"/>
  <c r="P84" i="92"/>
  <c r="X84" i="92" s="1"/>
  <c r="N84" i="92"/>
  <c r="H84" i="92"/>
  <c r="D84" i="92"/>
  <c r="L84" i="92" s="1"/>
  <c r="Z82" i="92"/>
  <c r="X82" i="92"/>
  <c r="N82" i="92"/>
  <c r="L82" i="92"/>
  <c r="B82" i="92"/>
  <c r="T81" i="92"/>
  <c r="P81" i="92"/>
  <c r="X81" i="92" s="1"/>
  <c r="N81" i="92"/>
  <c r="H81" i="92"/>
  <c r="D81" i="92"/>
  <c r="B81" i="92"/>
  <c r="X80" i="92"/>
  <c r="Z80" i="92" s="1"/>
  <c r="N80" i="92"/>
  <c r="L80" i="92"/>
  <c r="B80" i="92"/>
  <c r="T79" i="92"/>
  <c r="P79" i="92"/>
  <c r="X79" i="92" s="1"/>
  <c r="Z79" i="92" s="1"/>
  <c r="N79" i="92"/>
  <c r="H79" i="92"/>
  <c r="D79" i="92"/>
  <c r="L79" i="92" s="1"/>
  <c r="B79" i="92"/>
  <c r="Z78" i="92"/>
  <c r="X78" i="92"/>
  <c r="N78" i="92"/>
  <c r="L78" i="92"/>
  <c r="B78" i="92"/>
  <c r="T77" i="92"/>
  <c r="X77" i="92" s="1"/>
  <c r="Z77" i="92" s="1"/>
  <c r="P77" i="92"/>
  <c r="N77" i="92"/>
  <c r="L77" i="92"/>
  <c r="H77" i="92"/>
  <c r="D77" i="92"/>
  <c r="B77" i="92"/>
  <c r="Z76" i="92"/>
  <c r="X76" i="92"/>
  <c r="N76" i="92"/>
  <c r="L76" i="92"/>
  <c r="B76" i="92"/>
  <c r="Z75" i="92"/>
  <c r="X75" i="92"/>
  <c r="N75" i="92"/>
  <c r="L75" i="92"/>
  <c r="B75" i="92"/>
  <c r="Z74" i="92"/>
  <c r="X74" i="92"/>
  <c r="N74" i="92"/>
  <c r="L74" i="92"/>
  <c r="B74" i="92"/>
  <c r="Z73" i="92"/>
  <c r="X73" i="92"/>
  <c r="L73" i="92"/>
  <c r="N73" i="92" s="1"/>
  <c r="B73" i="92"/>
  <c r="Z72" i="92"/>
  <c r="X72" i="92"/>
  <c r="L72" i="92"/>
  <c r="N72" i="92" s="1"/>
  <c r="B72" i="92"/>
  <c r="Z71" i="92"/>
  <c r="X71" i="92"/>
  <c r="L71" i="92"/>
  <c r="N71" i="92" s="1"/>
  <c r="B71" i="92"/>
  <c r="Z70" i="92"/>
  <c r="X70" i="92"/>
  <c r="L70" i="92"/>
  <c r="N70" i="92" s="1"/>
  <c r="B70" i="92"/>
  <c r="Z69" i="92"/>
  <c r="X69" i="92"/>
  <c r="L69" i="92"/>
  <c r="N69" i="92" s="1"/>
  <c r="B69" i="92"/>
  <c r="T68" i="92"/>
  <c r="P68" i="92"/>
  <c r="X68" i="92" s="1"/>
  <c r="Z68" i="92" s="1"/>
  <c r="N68" i="92"/>
  <c r="H68" i="92"/>
  <c r="D68" i="92"/>
  <c r="L68" i="92" s="1"/>
  <c r="B68" i="92"/>
  <c r="X67" i="92"/>
  <c r="Z67" i="92" s="1"/>
  <c r="N67" i="92"/>
  <c r="L67" i="92"/>
  <c r="B67" i="92"/>
  <c r="X66" i="92"/>
  <c r="Z66" i="92" s="1"/>
  <c r="N66" i="92"/>
  <c r="L66" i="92"/>
  <c r="B66" i="92"/>
  <c r="Z65" i="92"/>
  <c r="X65" i="92"/>
  <c r="N65" i="92"/>
  <c r="L65" i="92"/>
  <c r="B65" i="92"/>
  <c r="T64" i="92"/>
  <c r="P64" i="92"/>
  <c r="X64" i="92" s="1"/>
  <c r="H64" i="92"/>
  <c r="D64" i="92"/>
  <c r="B64" i="92"/>
  <c r="X63" i="92"/>
  <c r="Z63" i="92" s="1"/>
  <c r="N63" i="92"/>
  <c r="L63" i="92"/>
  <c r="B63" i="92"/>
  <c r="X62" i="92"/>
  <c r="Z62" i="92" s="1"/>
  <c r="N62" i="92"/>
  <c r="L62" i="92"/>
  <c r="B62" i="92"/>
  <c r="X61" i="92"/>
  <c r="Z61" i="92" s="1"/>
  <c r="N61" i="92"/>
  <c r="L61" i="92"/>
  <c r="B61" i="92"/>
  <c r="T60" i="92"/>
  <c r="P60" i="92"/>
  <c r="X60" i="92" s="1"/>
  <c r="N60" i="92"/>
  <c r="H60" i="92"/>
  <c r="D60" i="92"/>
  <c r="L60" i="92" s="1"/>
  <c r="B60" i="92"/>
  <c r="X59" i="92"/>
  <c r="Z59" i="92" s="1"/>
  <c r="N59" i="92"/>
  <c r="L59" i="92"/>
  <c r="B59" i="92"/>
  <c r="T58" i="92"/>
  <c r="P58" i="92"/>
  <c r="X58" i="92" s="1"/>
  <c r="Z58" i="92" s="1"/>
  <c r="L58" i="92"/>
  <c r="N58" i="92" s="1"/>
  <c r="H58" i="92"/>
  <c r="D58" i="92"/>
  <c r="B58" i="92"/>
  <c r="Z57" i="92"/>
  <c r="X57" i="92"/>
  <c r="N57" i="92"/>
  <c r="L57" i="92"/>
  <c r="B57" i="92"/>
  <c r="T56" i="92"/>
  <c r="Z56" i="92" s="1"/>
  <c r="P56" i="92"/>
  <c r="X56" i="92" s="1"/>
  <c r="H56" i="92"/>
  <c r="D56" i="92"/>
  <c r="B56" i="92"/>
  <c r="X55" i="92"/>
  <c r="Z55" i="92" s="1"/>
  <c r="N55" i="92"/>
  <c r="L55" i="92"/>
  <c r="B55" i="92"/>
  <c r="T54" i="92"/>
  <c r="P54" i="92"/>
  <c r="X54" i="92" s="1"/>
  <c r="Z54" i="92" s="1"/>
  <c r="H54" i="92"/>
  <c r="N54" i="92" s="1"/>
  <c r="D54" i="92"/>
  <c r="L54" i="92" s="1"/>
  <c r="B54" i="92"/>
  <c r="Z53" i="92"/>
  <c r="X53" i="92"/>
  <c r="N53" i="92"/>
  <c r="L53" i="92"/>
  <c r="B53" i="92"/>
  <c r="Z52" i="92"/>
  <c r="X52" i="92"/>
  <c r="T52" i="92"/>
  <c r="P52" i="92"/>
  <c r="N52" i="92"/>
  <c r="H52" i="92"/>
  <c r="D52" i="92"/>
  <c r="L52" i="92" s="1"/>
  <c r="B52" i="92"/>
  <c r="Z51" i="92"/>
  <c r="X51" i="92"/>
  <c r="L51" i="92"/>
  <c r="N51" i="92" s="1"/>
  <c r="B51" i="92"/>
  <c r="X50" i="92"/>
  <c r="T50" i="92"/>
  <c r="P50" i="92"/>
  <c r="H50" i="92"/>
  <c r="D50" i="92"/>
  <c r="L50" i="92" s="1"/>
  <c r="B50" i="92"/>
  <c r="Z49" i="92"/>
  <c r="X49" i="92"/>
  <c r="N49" i="92"/>
  <c r="L49" i="92"/>
  <c r="B49" i="92"/>
  <c r="T48" i="92"/>
  <c r="Z48" i="92" s="1"/>
  <c r="P48" i="92"/>
  <c r="X48" i="92" s="1"/>
  <c r="N48" i="92"/>
  <c r="H48" i="92"/>
  <c r="D48" i="92"/>
  <c r="L48" i="92" s="1"/>
  <c r="B48" i="92"/>
  <c r="Z47" i="92"/>
  <c r="X47" i="92"/>
  <c r="N47" i="92"/>
  <c r="L47" i="92"/>
  <c r="B47" i="92"/>
  <c r="T46" i="92"/>
  <c r="P46" i="92"/>
  <c r="X46" i="92" s="1"/>
  <c r="Z46" i="92" s="1"/>
  <c r="N46" i="92"/>
  <c r="L46" i="92"/>
  <c r="H46" i="92"/>
  <c r="D46" i="92"/>
  <c r="B46" i="92"/>
  <c r="Z45" i="92"/>
  <c r="X45" i="92"/>
  <c r="N45" i="92"/>
  <c r="L45" i="92"/>
  <c r="B45" i="92"/>
  <c r="T44" i="92"/>
  <c r="P44" i="92"/>
  <c r="X44" i="92" s="1"/>
  <c r="H44" i="92"/>
  <c r="N44" i="92" s="1"/>
  <c r="D44" i="92"/>
  <c r="B44" i="92"/>
  <c r="X43" i="92"/>
  <c r="Z43" i="92" s="1"/>
  <c r="N43" i="92"/>
  <c r="L43" i="92"/>
  <c r="B43" i="92"/>
  <c r="T42" i="92"/>
  <c r="P42" i="92"/>
  <c r="X42" i="92" s="1"/>
  <c r="Z42" i="92" s="1"/>
  <c r="H42" i="92"/>
  <c r="N42" i="92" s="1"/>
  <c r="D42" i="92"/>
  <c r="B42" i="92"/>
  <c r="Z41" i="92"/>
  <c r="X41" i="92"/>
  <c r="N41" i="92"/>
  <c r="L41" i="92"/>
  <c r="B41" i="92"/>
  <c r="X40" i="92"/>
  <c r="Z40" i="92" s="1"/>
  <c r="N40" i="92"/>
  <c r="L40" i="92"/>
  <c r="B40" i="92"/>
  <c r="Z39" i="92"/>
  <c r="X39" i="92"/>
  <c r="N39" i="92"/>
  <c r="L39" i="92"/>
  <c r="B39" i="92"/>
  <c r="X38" i="92"/>
  <c r="Z38" i="92" s="1"/>
  <c r="N38" i="92"/>
  <c r="L38" i="92"/>
  <c r="B38" i="92"/>
  <c r="Z37" i="92"/>
  <c r="X37" i="92"/>
  <c r="N37" i="92"/>
  <c r="L37" i="92"/>
  <c r="B37" i="92"/>
  <c r="X36" i="92"/>
  <c r="Z36" i="92" s="1"/>
  <c r="N36" i="92"/>
  <c r="L36" i="92"/>
  <c r="B36" i="92"/>
  <c r="T35" i="92"/>
  <c r="P35" i="92"/>
  <c r="X35" i="92" s="1"/>
  <c r="H35" i="92"/>
  <c r="L35" i="92" s="1"/>
  <c r="N35" i="92" s="1"/>
  <c r="D35" i="92"/>
  <c r="B35" i="92"/>
  <c r="X34" i="92"/>
  <c r="Z34" i="92" s="1"/>
  <c r="L34" i="92"/>
  <c r="N34" i="92" s="1"/>
  <c r="B34" i="92"/>
  <c r="Z33" i="92"/>
  <c r="X33" i="92"/>
  <c r="L33" i="92"/>
  <c r="N33" i="92" s="1"/>
  <c r="B33" i="92"/>
  <c r="Z32" i="92"/>
  <c r="X32" i="92"/>
  <c r="N32" i="92"/>
  <c r="L32" i="92"/>
  <c r="B32" i="92"/>
  <c r="Z31" i="92"/>
  <c r="X31" i="92"/>
  <c r="L31" i="92"/>
  <c r="N31" i="92" s="1"/>
  <c r="B31" i="92"/>
  <c r="X30" i="92"/>
  <c r="Z30" i="92" s="1"/>
  <c r="L30" i="92"/>
  <c r="N30" i="92" s="1"/>
  <c r="B30" i="92"/>
  <c r="Z29" i="92"/>
  <c r="X29" i="92"/>
  <c r="N29" i="92"/>
  <c r="L29" i="92"/>
  <c r="B29" i="92"/>
  <c r="Z28" i="92"/>
  <c r="X28" i="92"/>
  <c r="N28" i="92"/>
  <c r="L28" i="92"/>
  <c r="B28" i="92"/>
  <c r="Z27" i="92"/>
  <c r="X27" i="92"/>
  <c r="L27" i="92"/>
  <c r="N27" i="92" s="1"/>
  <c r="B27" i="92"/>
  <c r="X26" i="92"/>
  <c r="Z26" i="92" s="1"/>
  <c r="L26" i="92"/>
  <c r="N26" i="92" s="1"/>
  <c r="B26" i="92"/>
  <c r="T25" i="92"/>
  <c r="P25" i="92"/>
  <c r="X25" i="92" s="1"/>
  <c r="Z25" i="92" s="1"/>
  <c r="N25" i="92"/>
  <c r="H25" i="92"/>
  <c r="D25" i="92"/>
  <c r="L25" i="92" s="1"/>
  <c r="B25" i="92"/>
  <c r="T24" i="92"/>
  <c r="P24" i="92"/>
  <c r="X24" i="92" s="1"/>
  <c r="H24" i="92"/>
  <c r="D24" i="92"/>
  <c r="L24" i="92" s="1"/>
  <c r="N24" i="92" s="1"/>
  <c r="Z20" i="92"/>
  <c r="X20" i="92"/>
  <c r="L20" i="92"/>
  <c r="N20" i="92" s="1"/>
  <c r="B20" i="92"/>
  <c r="X19" i="92"/>
  <c r="Z19" i="92" s="1"/>
  <c r="N19" i="92"/>
  <c r="L19" i="92"/>
  <c r="B19" i="92"/>
  <c r="T18" i="92"/>
  <c r="P18" i="92"/>
  <c r="X18" i="92" s="1"/>
  <c r="Z18" i="92" s="1"/>
  <c r="H18" i="92"/>
  <c r="D18" i="92"/>
  <c r="X16" i="92"/>
  <c r="T16" i="92"/>
  <c r="Z16" i="92" s="1"/>
  <c r="P16" i="92"/>
  <c r="L16" i="92"/>
  <c r="N16" i="92" s="1"/>
  <c r="H16" i="92"/>
  <c r="D16" i="92"/>
  <c r="B16" i="92"/>
  <c r="T15" i="92"/>
  <c r="P15" i="92"/>
  <c r="H15" i="92"/>
  <c r="D15" i="92"/>
  <c r="L15" i="92" s="1"/>
  <c r="N15" i="92" s="1"/>
  <c r="B15" i="92"/>
  <c r="T14" i="92"/>
  <c r="P14" i="92"/>
  <c r="L14" i="92"/>
  <c r="N14" i="92" s="1"/>
  <c r="H14" i="92"/>
  <c r="D14" i="92"/>
  <c r="B14" i="92"/>
  <c r="T13" i="92"/>
  <c r="P13" i="92"/>
  <c r="H13" i="92"/>
  <c r="D13" i="92"/>
  <c r="B13" i="92"/>
  <c r="D6" i="92"/>
  <c r="D4" i="92"/>
  <c r="Z48" i="91"/>
  <c r="X48" i="91"/>
  <c r="N48" i="91"/>
  <c r="L48" i="91"/>
  <c r="T44" i="91"/>
  <c r="Z44" i="91" s="1"/>
  <c r="R44" i="91"/>
  <c r="P44" i="91"/>
  <c r="X44" i="91" s="1"/>
  <c r="H44" i="91"/>
  <c r="N44" i="91" s="1"/>
  <c r="D44" i="91"/>
  <c r="L44" i="91" s="1"/>
  <c r="X42" i="91"/>
  <c r="Z42" i="91" s="1"/>
  <c r="R42" i="91"/>
  <c r="N42" i="91"/>
  <c r="L42" i="91"/>
  <c r="B42" i="91"/>
  <c r="X41" i="91"/>
  <c r="Z41" i="91" s="1"/>
  <c r="V41" i="91"/>
  <c r="T41" i="91"/>
  <c r="P41" i="91"/>
  <c r="N41" i="91"/>
  <c r="L41" i="91"/>
  <c r="J41" i="91"/>
  <c r="H41" i="91"/>
  <c r="D41" i="91"/>
  <c r="B41" i="91"/>
  <c r="X40" i="91"/>
  <c r="Z40" i="91" s="1"/>
  <c r="N40" i="91"/>
  <c r="L40" i="91"/>
  <c r="J40" i="91"/>
  <c r="B40" i="91"/>
  <c r="X39" i="91"/>
  <c r="Z39" i="91" s="1"/>
  <c r="T39" i="91"/>
  <c r="P39" i="91"/>
  <c r="J39" i="91"/>
  <c r="H39" i="91"/>
  <c r="N39" i="91" s="1"/>
  <c r="D39" i="91"/>
  <c r="B39" i="91"/>
  <c r="Z38" i="91"/>
  <c r="X38" i="91"/>
  <c r="N38" i="91"/>
  <c r="L38" i="91"/>
  <c r="F38" i="91"/>
  <c r="B38" i="91"/>
  <c r="Z37" i="91"/>
  <c r="T37" i="91"/>
  <c r="P37" i="91"/>
  <c r="X37" i="91" s="1"/>
  <c r="H37" i="91"/>
  <c r="D37" i="91"/>
  <c r="L37" i="91" s="1"/>
  <c r="N37" i="91" s="1"/>
  <c r="B37" i="91"/>
  <c r="X36" i="91"/>
  <c r="Z36" i="91" s="1"/>
  <c r="L36" i="91"/>
  <c r="N36" i="91" s="1"/>
  <c r="B36" i="91"/>
  <c r="Z35" i="91"/>
  <c r="X35" i="91"/>
  <c r="V35" i="91"/>
  <c r="L35" i="91"/>
  <c r="N35" i="91" s="1"/>
  <c r="B35" i="91"/>
  <c r="T34" i="91"/>
  <c r="R34" i="91"/>
  <c r="P34" i="91"/>
  <c r="X34" i="91" s="1"/>
  <c r="J34" i="91"/>
  <c r="H34" i="91"/>
  <c r="D34" i="91"/>
  <c r="L34" i="91" s="1"/>
  <c r="B34" i="91"/>
  <c r="X33" i="91"/>
  <c r="Z33" i="91" s="1"/>
  <c r="V33" i="91"/>
  <c r="R33" i="91"/>
  <c r="N33" i="91"/>
  <c r="L33" i="91"/>
  <c r="J33" i="91"/>
  <c r="B33" i="91"/>
  <c r="T32" i="91"/>
  <c r="P32" i="91"/>
  <c r="X32" i="91" s="1"/>
  <c r="Z32" i="91" s="1"/>
  <c r="N32" i="91"/>
  <c r="L32" i="91"/>
  <c r="H32" i="91"/>
  <c r="D32" i="91"/>
  <c r="B32" i="91"/>
  <c r="Z31" i="91"/>
  <c r="X31" i="91"/>
  <c r="N31" i="91"/>
  <c r="L31" i="91"/>
  <c r="J31" i="91"/>
  <c r="B31" i="91"/>
  <c r="T30" i="91"/>
  <c r="P30" i="91"/>
  <c r="J30" i="91"/>
  <c r="H30" i="91"/>
  <c r="D30" i="91"/>
  <c r="B30" i="91"/>
  <c r="X29" i="91"/>
  <c r="Z29" i="91" s="1"/>
  <c r="V29" i="91"/>
  <c r="N29" i="91"/>
  <c r="L29" i="91"/>
  <c r="J29" i="91"/>
  <c r="B29" i="91"/>
  <c r="V28" i="91"/>
  <c r="T28" i="91"/>
  <c r="P28" i="91"/>
  <c r="X28" i="91" s="1"/>
  <c r="H28" i="91"/>
  <c r="F28" i="91"/>
  <c r="D28" i="91"/>
  <c r="L28" i="91" s="1"/>
  <c r="B28" i="91"/>
  <c r="X27" i="91"/>
  <c r="Z27" i="91" s="1"/>
  <c r="N27" i="91"/>
  <c r="L27" i="91"/>
  <c r="B27" i="91"/>
  <c r="Z26" i="91"/>
  <c r="X26" i="91"/>
  <c r="N26" i="91"/>
  <c r="L26" i="91"/>
  <c r="J26" i="91"/>
  <c r="F26" i="91"/>
  <c r="B26" i="91"/>
  <c r="Z25" i="91"/>
  <c r="X25" i="91"/>
  <c r="V25" i="91"/>
  <c r="R25" i="91"/>
  <c r="N25" i="91"/>
  <c r="L25" i="91"/>
  <c r="J25" i="91"/>
  <c r="B25" i="91"/>
  <c r="X24" i="91"/>
  <c r="Z24" i="91" s="1"/>
  <c r="L24" i="91"/>
  <c r="N24" i="91" s="1"/>
  <c r="J24" i="91"/>
  <c r="B24" i="91"/>
  <c r="X23" i="91"/>
  <c r="Z23" i="91" s="1"/>
  <c r="N23" i="91"/>
  <c r="L23" i="91"/>
  <c r="B23" i="91"/>
  <c r="Z22" i="91"/>
  <c r="X22" i="91"/>
  <c r="N22" i="91"/>
  <c r="L22" i="91"/>
  <c r="J22" i="91"/>
  <c r="F22" i="91"/>
  <c r="B22" i="91"/>
  <c r="X21" i="91"/>
  <c r="Z21" i="91" s="1"/>
  <c r="V21" i="91"/>
  <c r="R21" i="91"/>
  <c r="N21" i="91"/>
  <c r="L21" i="91"/>
  <c r="J21" i="91"/>
  <c r="B21" i="91"/>
  <c r="X20" i="91"/>
  <c r="Z20" i="91" s="1"/>
  <c r="L20" i="91"/>
  <c r="N20" i="91" s="1"/>
  <c r="J20" i="91"/>
  <c r="F20" i="91"/>
  <c r="B20" i="91"/>
  <c r="X19" i="91"/>
  <c r="Z19" i="91" s="1"/>
  <c r="T19" i="91"/>
  <c r="R19" i="91"/>
  <c r="P19" i="91"/>
  <c r="J19" i="91"/>
  <c r="H19" i="91"/>
  <c r="D19" i="91"/>
  <c r="L19" i="91" s="1"/>
  <c r="B19" i="91"/>
  <c r="T18" i="91"/>
  <c r="P18" i="91"/>
  <c r="J18" i="91"/>
  <c r="H18" i="91"/>
  <c r="D18" i="91"/>
  <c r="L18" i="91" s="1"/>
  <c r="J16" i="91"/>
  <c r="T14" i="91"/>
  <c r="P14" i="91"/>
  <c r="L14" i="91"/>
  <c r="J14" i="91"/>
  <c r="H14" i="91"/>
  <c r="N14" i="91" s="1"/>
  <c r="D14" i="91"/>
  <c r="Z12" i="91"/>
  <c r="T12" i="91"/>
  <c r="V53" i="91" s="1"/>
  <c r="P12" i="91"/>
  <c r="N12" i="91"/>
  <c r="H12" i="91"/>
  <c r="J42" i="91" s="1"/>
  <c r="D12" i="91"/>
  <c r="D6" i="91"/>
  <c r="D4" i="91"/>
  <c r="X85" i="90"/>
  <c r="Z85" i="90" s="1"/>
  <c r="L85" i="90"/>
  <c r="N85" i="90" s="1"/>
  <c r="X81" i="90"/>
  <c r="T81" i="90"/>
  <c r="P81" i="90"/>
  <c r="H81" i="90"/>
  <c r="H80" i="90" s="1"/>
  <c r="N80" i="90" s="1"/>
  <c r="D81" i="90"/>
  <c r="B81" i="90"/>
  <c r="P80" i="90"/>
  <c r="X78" i="90"/>
  <c r="Z78" i="90" s="1"/>
  <c r="N78" i="90"/>
  <c r="L78" i="90"/>
  <c r="B78" i="90"/>
  <c r="T77" i="90"/>
  <c r="P77" i="90"/>
  <c r="H77" i="90"/>
  <c r="N77" i="90" s="1"/>
  <c r="D77" i="90"/>
  <c r="L77" i="90" s="1"/>
  <c r="B77" i="90"/>
  <c r="Z76" i="90"/>
  <c r="X76" i="90"/>
  <c r="N76" i="90"/>
  <c r="L76" i="90"/>
  <c r="B76" i="90"/>
  <c r="X75" i="90"/>
  <c r="T75" i="90"/>
  <c r="P75" i="90"/>
  <c r="L75" i="90"/>
  <c r="N75" i="90" s="1"/>
  <c r="H75" i="90"/>
  <c r="D75" i="90"/>
  <c r="B75" i="90"/>
  <c r="Z74" i="90"/>
  <c r="X74" i="90"/>
  <c r="N74" i="90"/>
  <c r="L74" i="90"/>
  <c r="B74" i="90"/>
  <c r="Z73" i="90"/>
  <c r="X73" i="90"/>
  <c r="N73" i="90"/>
  <c r="L73" i="90"/>
  <c r="B73" i="90"/>
  <c r="Z72" i="90"/>
  <c r="X72" i="90"/>
  <c r="N72" i="90"/>
  <c r="L72" i="90"/>
  <c r="B72" i="90"/>
  <c r="X71" i="90"/>
  <c r="Z71" i="90" s="1"/>
  <c r="N71" i="90"/>
  <c r="L71" i="90"/>
  <c r="B71" i="90"/>
  <c r="Z70" i="90"/>
  <c r="X70" i="90"/>
  <c r="N70" i="90"/>
  <c r="L70" i="90"/>
  <c r="B70" i="90"/>
  <c r="Z69" i="90"/>
  <c r="X69" i="90"/>
  <c r="N69" i="90"/>
  <c r="L69" i="90"/>
  <c r="B69" i="90"/>
  <c r="Z68" i="90"/>
  <c r="X68" i="90"/>
  <c r="N68" i="90"/>
  <c r="L68" i="90"/>
  <c r="B68" i="90"/>
  <c r="T67" i="90"/>
  <c r="P67" i="90"/>
  <c r="X67" i="90" s="1"/>
  <c r="H67" i="90"/>
  <c r="N67" i="90" s="1"/>
  <c r="D67" i="90"/>
  <c r="B67" i="90"/>
  <c r="Z66" i="90"/>
  <c r="X66" i="90"/>
  <c r="N66" i="90"/>
  <c r="L66" i="90"/>
  <c r="B66" i="90"/>
  <c r="X65" i="90"/>
  <c r="Z65" i="90" s="1"/>
  <c r="N65" i="90"/>
  <c r="L65" i="90"/>
  <c r="B65" i="90"/>
  <c r="X64" i="90"/>
  <c r="Z64" i="90" s="1"/>
  <c r="N64" i="90"/>
  <c r="L64" i="90"/>
  <c r="B64" i="90"/>
  <c r="T63" i="90"/>
  <c r="P63" i="90"/>
  <c r="X63" i="90" s="1"/>
  <c r="Z63" i="90" s="1"/>
  <c r="H63" i="90"/>
  <c r="N63" i="90" s="1"/>
  <c r="D63" i="90"/>
  <c r="L63" i="90" s="1"/>
  <c r="B63" i="90"/>
  <c r="Z62" i="90"/>
  <c r="X62" i="90"/>
  <c r="N62" i="90"/>
  <c r="L62" i="90"/>
  <c r="B62" i="90"/>
  <c r="Z61" i="90"/>
  <c r="T61" i="90"/>
  <c r="P61" i="90"/>
  <c r="X61" i="90" s="1"/>
  <c r="H61" i="90"/>
  <c r="N61" i="90" s="1"/>
  <c r="F61" i="90"/>
  <c r="D61" i="90"/>
  <c r="L61" i="90" s="1"/>
  <c r="B61" i="90"/>
  <c r="Z60" i="90"/>
  <c r="X60" i="90"/>
  <c r="N60" i="90"/>
  <c r="L60" i="90"/>
  <c r="B60" i="90"/>
  <c r="X59" i="90"/>
  <c r="Z59" i="90" s="1"/>
  <c r="N59" i="90"/>
  <c r="L59" i="90"/>
  <c r="B59" i="90"/>
  <c r="X58" i="90"/>
  <c r="Z58" i="90" s="1"/>
  <c r="N58" i="90"/>
  <c r="L58" i="90"/>
  <c r="B58" i="90"/>
  <c r="X57" i="90"/>
  <c r="Z57" i="90" s="1"/>
  <c r="T57" i="90"/>
  <c r="P57" i="90"/>
  <c r="L57" i="90"/>
  <c r="H57" i="90"/>
  <c r="N57" i="90" s="1"/>
  <c r="D57" i="90"/>
  <c r="B57" i="90"/>
  <c r="Z56" i="90"/>
  <c r="X56" i="90"/>
  <c r="L56" i="90"/>
  <c r="N56" i="90" s="1"/>
  <c r="B56" i="90"/>
  <c r="X55" i="90"/>
  <c r="T55" i="90"/>
  <c r="Z55" i="90" s="1"/>
  <c r="P55" i="90"/>
  <c r="H55" i="90"/>
  <c r="D55" i="90"/>
  <c r="L55" i="90" s="1"/>
  <c r="B55" i="90"/>
  <c r="Z54" i="90"/>
  <c r="X54" i="90"/>
  <c r="N54" i="90"/>
  <c r="L54" i="90"/>
  <c r="B54" i="90"/>
  <c r="X53" i="90"/>
  <c r="T53" i="90"/>
  <c r="P53" i="90"/>
  <c r="N53" i="90"/>
  <c r="H53" i="90"/>
  <c r="D53" i="90"/>
  <c r="L53" i="90" s="1"/>
  <c r="B53" i="90"/>
  <c r="Z52" i="90"/>
  <c r="X52" i="90"/>
  <c r="N52" i="90"/>
  <c r="L52" i="90"/>
  <c r="B52" i="90"/>
  <c r="X51" i="90"/>
  <c r="T51" i="90"/>
  <c r="Z51" i="90" s="1"/>
  <c r="P51" i="90"/>
  <c r="N51" i="90"/>
  <c r="L51" i="90"/>
  <c r="H51" i="90"/>
  <c r="D51" i="90"/>
  <c r="B51" i="90"/>
  <c r="Z50" i="90"/>
  <c r="X50" i="90"/>
  <c r="N50" i="90"/>
  <c r="L50" i="90"/>
  <c r="B50" i="90"/>
  <c r="T49" i="90"/>
  <c r="P49" i="90"/>
  <c r="X49" i="90" s="1"/>
  <c r="L49" i="90"/>
  <c r="H49" i="90"/>
  <c r="N49" i="90" s="1"/>
  <c r="D49" i="90"/>
  <c r="B49" i="90"/>
  <c r="X48" i="90"/>
  <c r="Z48" i="90" s="1"/>
  <c r="N48" i="90"/>
  <c r="L48" i="90"/>
  <c r="B48" i="90"/>
  <c r="T47" i="90"/>
  <c r="P47" i="90"/>
  <c r="X47" i="90" s="1"/>
  <c r="Z47" i="90" s="1"/>
  <c r="L47" i="90"/>
  <c r="H47" i="90"/>
  <c r="N47" i="90" s="1"/>
  <c r="D47" i="90"/>
  <c r="B47" i="90"/>
  <c r="X46" i="90"/>
  <c r="Z46" i="90" s="1"/>
  <c r="N46" i="90"/>
  <c r="L46" i="90"/>
  <c r="B46" i="90"/>
  <c r="X45" i="90"/>
  <c r="Z45" i="90" s="1"/>
  <c r="T45" i="90"/>
  <c r="P45" i="90"/>
  <c r="L45" i="90"/>
  <c r="H45" i="90"/>
  <c r="N45" i="90" s="1"/>
  <c r="D45" i="90"/>
  <c r="B45" i="90"/>
  <c r="Z44" i="90"/>
  <c r="X44" i="90"/>
  <c r="N44" i="90"/>
  <c r="L44" i="90"/>
  <c r="B44" i="90"/>
  <c r="T43" i="90"/>
  <c r="P43" i="90"/>
  <c r="H43" i="90"/>
  <c r="N43" i="90" s="1"/>
  <c r="D43" i="90"/>
  <c r="L43" i="90" s="1"/>
  <c r="B43" i="90"/>
  <c r="Z42" i="90"/>
  <c r="X42" i="90"/>
  <c r="N42" i="90"/>
  <c r="L42" i="90"/>
  <c r="B42" i="90"/>
  <c r="X41" i="90"/>
  <c r="Z41" i="90" s="1"/>
  <c r="N41" i="90"/>
  <c r="L41" i="90"/>
  <c r="B41" i="90"/>
  <c r="X40" i="90"/>
  <c r="Z40" i="90" s="1"/>
  <c r="N40" i="90"/>
  <c r="L40" i="90"/>
  <c r="B40" i="90"/>
  <c r="Z39" i="90"/>
  <c r="X39" i="90"/>
  <c r="N39" i="90"/>
  <c r="L39" i="90"/>
  <c r="B39" i="90"/>
  <c r="Z38" i="90"/>
  <c r="X38" i="90"/>
  <c r="N38" i="90"/>
  <c r="L38" i="90"/>
  <c r="F38" i="90"/>
  <c r="B38" i="90"/>
  <c r="X37" i="90"/>
  <c r="Z37" i="90" s="1"/>
  <c r="L37" i="90"/>
  <c r="N37" i="90" s="1"/>
  <c r="B37" i="90"/>
  <c r="X36" i="90"/>
  <c r="Z36" i="90" s="1"/>
  <c r="T36" i="90"/>
  <c r="P36" i="90"/>
  <c r="H36" i="90"/>
  <c r="D36" i="90"/>
  <c r="L36" i="90" s="1"/>
  <c r="N36" i="90" s="1"/>
  <c r="B36" i="90"/>
  <c r="X35" i="90"/>
  <c r="Z35" i="90" s="1"/>
  <c r="L35" i="90"/>
  <c r="N35" i="90" s="1"/>
  <c r="B35" i="90"/>
  <c r="X34" i="90"/>
  <c r="Z34" i="90" s="1"/>
  <c r="N34" i="90"/>
  <c r="L34" i="90"/>
  <c r="B34" i="90"/>
  <c r="X33" i="90"/>
  <c r="Z33" i="90" s="1"/>
  <c r="N33" i="90"/>
  <c r="L33" i="90"/>
  <c r="F33" i="90"/>
  <c r="B33" i="90"/>
  <c r="Z32" i="90"/>
  <c r="X32" i="90"/>
  <c r="N32" i="90"/>
  <c r="L32" i="90"/>
  <c r="B32" i="90"/>
  <c r="X31" i="90"/>
  <c r="Z31" i="90" s="1"/>
  <c r="L31" i="90"/>
  <c r="N31" i="90" s="1"/>
  <c r="B31" i="90"/>
  <c r="X30" i="90"/>
  <c r="Z30" i="90" s="1"/>
  <c r="N30" i="90"/>
  <c r="L30" i="90"/>
  <c r="B30" i="90"/>
  <c r="X29" i="90"/>
  <c r="Z29" i="90" s="1"/>
  <c r="N29" i="90"/>
  <c r="L29" i="90"/>
  <c r="F29" i="90"/>
  <c r="B29" i="90"/>
  <c r="Z28" i="90"/>
  <c r="X28" i="90"/>
  <c r="N28" i="90"/>
  <c r="L28" i="90"/>
  <c r="B28" i="90"/>
  <c r="Z27" i="90"/>
  <c r="X27" i="90"/>
  <c r="L27" i="90"/>
  <c r="N27" i="90" s="1"/>
  <c r="B27" i="90"/>
  <c r="T26" i="90"/>
  <c r="P26" i="90"/>
  <c r="H26" i="90"/>
  <c r="D26" i="90"/>
  <c r="L26" i="90" s="1"/>
  <c r="N26" i="90" s="1"/>
  <c r="B26" i="90"/>
  <c r="T25" i="90"/>
  <c r="P25" i="90"/>
  <c r="X25" i="90" s="1"/>
  <c r="H25" i="90"/>
  <c r="D25" i="90"/>
  <c r="Z21" i="90"/>
  <c r="X21" i="90"/>
  <c r="N21" i="90"/>
  <c r="L21" i="90"/>
  <c r="B21" i="90"/>
  <c r="Z20" i="90"/>
  <c r="X20" i="90"/>
  <c r="N20" i="90"/>
  <c r="L20" i="90"/>
  <c r="B20" i="90"/>
  <c r="T19" i="90"/>
  <c r="P19" i="90"/>
  <c r="H19" i="90"/>
  <c r="N19" i="90" s="1"/>
  <c r="D19" i="90"/>
  <c r="T17" i="90"/>
  <c r="P17" i="90"/>
  <c r="X17" i="90" s="1"/>
  <c r="N17" i="90"/>
  <c r="H17" i="90"/>
  <c r="D17" i="90"/>
  <c r="L17" i="90" s="1"/>
  <c r="B17" i="90"/>
  <c r="T16" i="90"/>
  <c r="P16" i="90"/>
  <c r="X16" i="90" s="1"/>
  <c r="Z16" i="90" s="1"/>
  <c r="H16" i="90"/>
  <c r="N16" i="90" s="1"/>
  <c r="D16" i="90"/>
  <c r="B16" i="90"/>
  <c r="T15" i="90"/>
  <c r="P15" i="90"/>
  <c r="X15" i="90" s="1"/>
  <c r="L15" i="90"/>
  <c r="H15" i="90"/>
  <c r="N15" i="90" s="1"/>
  <c r="D15" i="90"/>
  <c r="D12" i="90" s="1"/>
  <c r="F39" i="90" s="1"/>
  <c r="B15" i="90"/>
  <c r="Z14" i="90"/>
  <c r="X14" i="90"/>
  <c r="T14" i="90"/>
  <c r="P14" i="90"/>
  <c r="L14" i="90"/>
  <c r="H14" i="90"/>
  <c r="D14" i="90"/>
  <c r="B14" i="90"/>
  <c r="T13" i="90"/>
  <c r="Z13" i="90" s="1"/>
  <c r="P13" i="90"/>
  <c r="P12" i="90" s="1"/>
  <c r="N13" i="90"/>
  <c r="H13" i="90"/>
  <c r="D13" i="90"/>
  <c r="L13" i="90" s="1"/>
  <c r="B13" i="90"/>
  <c r="D6" i="90"/>
  <c r="D4" i="90"/>
  <c r="R67" i="89"/>
  <c r="X65" i="89"/>
  <c r="Z65" i="89" s="1"/>
  <c r="N65" i="89"/>
  <c r="L65" i="89"/>
  <c r="T61" i="89"/>
  <c r="T60" i="89" s="1"/>
  <c r="P61" i="89"/>
  <c r="X61" i="89" s="1"/>
  <c r="Z61" i="89" s="1"/>
  <c r="N61" i="89"/>
  <c r="H61" i="89"/>
  <c r="D61" i="89"/>
  <c r="L61" i="89" s="1"/>
  <c r="B61" i="89"/>
  <c r="L60" i="89"/>
  <c r="H60" i="89"/>
  <c r="N60" i="89" s="1"/>
  <c r="D60" i="89"/>
  <c r="Z58" i="89"/>
  <c r="X58" i="89"/>
  <c r="N58" i="89"/>
  <c r="L58" i="89"/>
  <c r="B58" i="89"/>
  <c r="T57" i="89"/>
  <c r="P57" i="89"/>
  <c r="X57" i="89" s="1"/>
  <c r="Z57" i="89" s="1"/>
  <c r="L57" i="89"/>
  <c r="N57" i="89" s="1"/>
  <c r="H57" i="89"/>
  <c r="D57" i="89"/>
  <c r="B57" i="89"/>
  <c r="X56" i="89"/>
  <c r="Z56" i="89" s="1"/>
  <c r="N56" i="89"/>
  <c r="L56" i="89"/>
  <c r="B56" i="89"/>
  <c r="Z55" i="89"/>
  <c r="X55" i="89"/>
  <c r="N55" i="89"/>
  <c r="L55" i="89"/>
  <c r="B55" i="89"/>
  <c r="X54" i="89"/>
  <c r="Z54" i="89" s="1"/>
  <c r="N54" i="89"/>
  <c r="L54" i="89"/>
  <c r="B54" i="89"/>
  <c r="X53" i="89"/>
  <c r="Z53" i="89" s="1"/>
  <c r="N53" i="89"/>
  <c r="L53" i="89"/>
  <c r="B53" i="89"/>
  <c r="X52" i="89"/>
  <c r="Z52" i="89" s="1"/>
  <c r="N52" i="89"/>
  <c r="L52" i="89"/>
  <c r="B52" i="89"/>
  <c r="T51" i="89"/>
  <c r="P51" i="89"/>
  <c r="X51" i="89" s="1"/>
  <c r="Z51" i="89" s="1"/>
  <c r="H51" i="89"/>
  <c r="D51" i="89"/>
  <c r="B51" i="89"/>
  <c r="X50" i="89"/>
  <c r="Z50" i="89" s="1"/>
  <c r="N50" i="89"/>
  <c r="L50" i="89"/>
  <c r="B50" i="89"/>
  <c r="T49" i="89"/>
  <c r="P49" i="89"/>
  <c r="X49" i="89" s="1"/>
  <c r="Z49" i="89" s="1"/>
  <c r="N49" i="89"/>
  <c r="H49" i="89"/>
  <c r="D49" i="89"/>
  <c r="L49" i="89" s="1"/>
  <c r="B49" i="89"/>
  <c r="X48" i="89"/>
  <c r="Z48" i="89" s="1"/>
  <c r="N48" i="89"/>
  <c r="L48" i="89"/>
  <c r="B48" i="89"/>
  <c r="X47" i="89"/>
  <c r="Z47" i="89" s="1"/>
  <c r="T47" i="89"/>
  <c r="P47" i="89"/>
  <c r="N47" i="89"/>
  <c r="H47" i="89"/>
  <c r="D47" i="89"/>
  <c r="L47" i="89" s="1"/>
  <c r="B47" i="89"/>
  <c r="X46" i="89"/>
  <c r="Z46" i="89" s="1"/>
  <c r="N46" i="89"/>
  <c r="L46" i="89"/>
  <c r="B46" i="89"/>
  <c r="X45" i="89"/>
  <c r="Z45" i="89" s="1"/>
  <c r="N45" i="89"/>
  <c r="L45" i="89"/>
  <c r="B45" i="89"/>
  <c r="X44" i="89"/>
  <c r="Z44" i="89" s="1"/>
  <c r="T44" i="89"/>
  <c r="P44" i="89"/>
  <c r="L44" i="89"/>
  <c r="H44" i="89"/>
  <c r="N44" i="89" s="1"/>
  <c r="D44" i="89"/>
  <c r="B44" i="89"/>
  <c r="Z43" i="89"/>
  <c r="X43" i="89"/>
  <c r="N43" i="89"/>
  <c r="L43" i="89"/>
  <c r="B43" i="89"/>
  <c r="T42" i="89"/>
  <c r="P42" i="89"/>
  <c r="H42" i="89"/>
  <c r="N42" i="89" s="1"/>
  <c r="D42" i="89"/>
  <c r="L42" i="89" s="1"/>
  <c r="B42" i="89"/>
  <c r="Z41" i="89"/>
  <c r="X41" i="89"/>
  <c r="N41" i="89"/>
  <c r="L41" i="89"/>
  <c r="B41" i="89"/>
  <c r="X40" i="89"/>
  <c r="T40" i="89"/>
  <c r="P40" i="89"/>
  <c r="N40" i="89"/>
  <c r="H40" i="89"/>
  <c r="D40" i="89"/>
  <c r="L40" i="89" s="1"/>
  <c r="B40" i="89"/>
  <c r="Z39" i="89"/>
  <c r="X39" i="89"/>
  <c r="N39" i="89"/>
  <c r="L39" i="89"/>
  <c r="B39" i="89"/>
  <c r="X38" i="89"/>
  <c r="T38" i="89"/>
  <c r="Z38" i="89" s="1"/>
  <c r="P38" i="89"/>
  <c r="L38" i="89"/>
  <c r="N38" i="89" s="1"/>
  <c r="H38" i="89"/>
  <c r="D38" i="89"/>
  <c r="B38" i="89"/>
  <c r="Z37" i="89"/>
  <c r="X37" i="89"/>
  <c r="V37" i="89"/>
  <c r="N37" i="89"/>
  <c r="L37" i="89"/>
  <c r="B37" i="89"/>
  <c r="T36" i="89"/>
  <c r="P36" i="89"/>
  <c r="H36" i="89"/>
  <c r="N36" i="89" s="1"/>
  <c r="D36" i="89"/>
  <c r="B36" i="89"/>
  <c r="X35" i="89"/>
  <c r="Z35" i="89" s="1"/>
  <c r="N35" i="89"/>
  <c r="L35" i="89"/>
  <c r="B35" i="89"/>
  <c r="T34" i="89"/>
  <c r="P34" i="89"/>
  <c r="X34" i="89" s="1"/>
  <c r="L34" i="89"/>
  <c r="H34" i="89"/>
  <c r="N34" i="89" s="1"/>
  <c r="D34" i="89"/>
  <c r="B34" i="89"/>
  <c r="X33" i="89"/>
  <c r="Z33" i="89" s="1"/>
  <c r="N33" i="89"/>
  <c r="L33" i="89"/>
  <c r="B33" i="89"/>
  <c r="X32" i="89"/>
  <c r="Z32" i="89" s="1"/>
  <c r="T32" i="89"/>
  <c r="P32" i="89"/>
  <c r="N32" i="89"/>
  <c r="L32" i="89"/>
  <c r="H32" i="89"/>
  <c r="D32" i="89"/>
  <c r="B32" i="89"/>
  <c r="Z31" i="89"/>
  <c r="X31" i="89"/>
  <c r="N31" i="89"/>
  <c r="L31" i="89"/>
  <c r="B31" i="89"/>
  <c r="X30" i="89"/>
  <c r="Z30" i="89" s="1"/>
  <c r="N30" i="89"/>
  <c r="L30" i="89"/>
  <c r="B30" i="89"/>
  <c r="Z29" i="89"/>
  <c r="X29" i="89"/>
  <c r="V29" i="89"/>
  <c r="N29" i="89"/>
  <c r="L29" i="89"/>
  <c r="B29" i="89"/>
  <c r="Z28" i="89"/>
  <c r="X28" i="89"/>
  <c r="N28" i="89"/>
  <c r="L28" i="89"/>
  <c r="B28" i="89"/>
  <c r="Z27" i="89"/>
  <c r="X27" i="89"/>
  <c r="N27" i="89"/>
  <c r="L27" i="89"/>
  <c r="B27" i="89"/>
  <c r="T26" i="89"/>
  <c r="P26" i="89"/>
  <c r="H26" i="89"/>
  <c r="N26" i="89" s="1"/>
  <c r="D26" i="89"/>
  <c r="B26" i="89"/>
  <c r="X25" i="89"/>
  <c r="Z25" i="89" s="1"/>
  <c r="V25" i="89"/>
  <c r="N25" i="89"/>
  <c r="L25" i="89"/>
  <c r="B25" i="89"/>
  <c r="X24" i="89"/>
  <c r="Z24" i="89" s="1"/>
  <c r="N24" i="89"/>
  <c r="L24" i="89"/>
  <c r="B24" i="89"/>
  <c r="X23" i="89"/>
  <c r="Z23" i="89" s="1"/>
  <c r="V23" i="89"/>
  <c r="T23" i="89"/>
  <c r="R23" i="89"/>
  <c r="P23" i="89"/>
  <c r="N23" i="89"/>
  <c r="L23" i="89"/>
  <c r="H23" i="89"/>
  <c r="D23" i="89"/>
  <c r="B23" i="89"/>
  <c r="T22" i="89"/>
  <c r="P22" i="89"/>
  <c r="H22" i="89"/>
  <c r="D22" i="89"/>
  <c r="L22" i="89" s="1"/>
  <c r="N22" i="89" s="1"/>
  <c r="T20" i="89"/>
  <c r="X18" i="89"/>
  <c r="Z18" i="89" s="1"/>
  <c r="N18" i="89"/>
  <c r="L18" i="89"/>
  <c r="B18" i="89"/>
  <c r="X17" i="89"/>
  <c r="Z17" i="89" s="1"/>
  <c r="V17" i="89"/>
  <c r="N17" i="89"/>
  <c r="L17" i="89"/>
  <c r="B17" i="89"/>
  <c r="X16" i="89"/>
  <c r="Z16" i="89" s="1"/>
  <c r="T16" i="89"/>
  <c r="P16" i="89"/>
  <c r="H16" i="89"/>
  <c r="N16" i="89" s="1"/>
  <c r="D16" i="89"/>
  <c r="L16" i="89" s="1"/>
  <c r="X14" i="89"/>
  <c r="Z14" i="89" s="1"/>
  <c r="T14" i="89"/>
  <c r="P14" i="89"/>
  <c r="L14" i="89"/>
  <c r="H14" i="89"/>
  <c r="N14" i="89" s="1"/>
  <c r="D14" i="89"/>
  <c r="D12" i="89" s="1"/>
  <c r="B14" i="89"/>
  <c r="T13" i="89"/>
  <c r="T12" i="89" s="1"/>
  <c r="V36" i="89" s="1"/>
  <c r="P13" i="89"/>
  <c r="N13" i="89"/>
  <c r="H13" i="89"/>
  <c r="D13" i="89"/>
  <c r="L13" i="89" s="1"/>
  <c r="B13" i="89"/>
  <c r="X12" i="89"/>
  <c r="P12" i="89"/>
  <c r="R46" i="89" s="1"/>
  <c r="D6" i="89"/>
  <c r="D4" i="89"/>
  <c r="J53" i="88"/>
  <c r="Z48" i="88"/>
  <c r="X48" i="88"/>
  <c r="V48" i="88"/>
  <c r="N48" i="88"/>
  <c r="L48" i="88"/>
  <c r="R46" i="88"/>
  <c r="X44" i="88"/>
  <c r="Z44" i="88" s="1"/>
  <c r="T44" i="88"/>
  <c r="P44" i="88"/>
  <c r="N44" i="88"/>
  <c r="L44" i="88"/>
  <c r="H44" i="88"/>
  <c r="H43" i="88" s="1"/>
  <c r="N43" i="88" s="1"/>
  <c r="D44" i="88"/>
  <c r="D43" i="88" s="1"/>
  <c r="L43" i="88" s="1"/>
  <c r="B44" i="88"/>
  <c r="T43" i="88"/>
  <c r="P43" i="88"/>
  <c r="Z41" i="88"/>
  <c r="X41" i="88"/>
  <c r="N41" i="88"/>
  <c r="L41" i="88"/>
  <c r="J41" i="88"/>
  <c r="B41" i="88"/>
  <c r="X40" i="88"/>
  <c r="T40" i="88"/>
  <c r="P40" i="88"/>
  <c r="H40" i="88"/>
  <c r="N40" i="88" s="1"/>
  <c r="D40" i="88"/>
  <c r="L40" i="88" s="1"/>
  <c r="B40" i="88"/>
  <c r="Z39" i="88"/>
  <c r="X39" i="88"/>
  <c r="V39" i="88"/>
  <c r="L39" i="88"/>
  <c r="N39" i="88" s="1"/>
  <c r="B39" i="88"/>
  <c r="T38" i="88"/>
  <c r="P38" i="88"/>
  <c r="X38" i="88" s="1"/>
  <c r="J38" i="88"/>
  <c r="H38" i="88"/>
  <c r="L38" i="88" s="1"/>
  <c r="D38" i="88"/>
  <c r="B38" i="88"/>
  <c r="Z37" i="88"/>
  <c r="X37" i="88"/>
  <c r="N37" i="88"/>
  <c r="L37" i="88"/>
  <c r="B37" i="88"/>
  <c r="T36" i="88"/>
  <c r="P36" i="88"/>
  <c r="X36" i="88" s="1"/>
  <c r="Z36" i="88" s="1"/>
  <c r="N36" i="88"/>
  <c r="H36" i="88"/>
  <c r="D36" i="88"/>
  <c r="L36" i="88" s="1"/>
  <c r="B36" i="88"/>
  <c r="Z35" i="88"/>
  <c r="X35" i="88"/>
  <c r="V35" i="88"/>
  <c r="N35" i="88"/>
  <c r="L35" i="88"/>
  <c r="B35" i="88"/>
  <c r="T34" i="88"/>
  <c r="P34" i="88"/>
  <c r="X34" i="88" s="1"/>
  <c r="L34" i="88"/>
  <c r="H34" i="88"/>
  <c r="N34" i="88" s="1"/>
  <c r="D34" i="88"/>
  <c r="B34" i="88"/>
  <c r="Z33" i="88"/>
  <c r="X33" i="88"/>
  <c r="N33" i="88"/>
  <c r="L33" i="88"/>
  <c r="J33" i="88"/>
  <c r="B33" i="88"/>
  <c r="X32" i="88"/>
  <c r="V32" i="88"/>
  <c r="T32" i="88"/>
  <c r="P32" i="88"/>
  <c r="H32" i="88"/>
  <c r="N32" i="88" s="1"/>
  <c r="D32" i="88"/>
  <c r="L32" i="88" s="1"/>
  <c r="B32" i="88"/>
  <c r="X31" i="88"/>
  <c r="Z31" i="88" s="1"/>
  <c r="R31" i="88"/>
  <c r="N31" i="88"/>
  <c r="L31" i="88"/>
  <c r="B31" i="88"/>
  <c r="Z30" i="88"/>
  <c r="X30" i="88"/>
  <c r="R30" i="88"/>
  <c r="L30" i="88"/>
  <c r="N30" i="88" s="1"/>
  <c r="B30" i="88"/>
  <c r="T29" i="88"/>
  <c r="P29" i="88"/>
  <c r="N29" i="88"/>
  <c r="J29" i="88"/>
  <c r="H29" i="88"/>
  <c r="L29" i="88" s="1"/>
  <c r="D29" i="88"/>
  <c r="B29" i="88"/>
  <c r="Z28" i="88"/>
  <c r="X28" i="88"/>
  <c r="V28" i="88"/>
  <c r="L28" i="88"/>
  <c r="N28" i="88" s="1"/>
  <c r="B28" i="88"/>
  <c r="Z27" i="88"/>
  <c r="X27" i="88"/>
  <c r="L27" i="88"/>
  <c r="N27" i="88" s="1"/>
  <c r="B27" i="88"/>
  <c r="X26" i="88"/>
  <c r="Z26" i="88" s="1"/>
  <c r="R26" i="88"/>
  <c r="N26" i="88"/>
  <c r="L26" i="88"/>
  <c r="B26" i="88"/>
  <c r="X25" i="88"/>
  <c r="Z25" i="88" s="1"/>
  <c r="V25" i="88"/>
  <c r="N25" i="88"/>
  <c r="L25" i="88"/>
  <c r="J25" i="88"/>
  <c r="B25" i="88"/>
  <c r="Z24" i="88"/>
  <c r="X24" i="88"/>
  <c r="V24" i="88"/>
  <c r="L24" i="88"/>
  <c r="N24" i="88" s="1"/>
  <c r="F24" i="88"/>
  <c r="B24" i="88"/>
  <c r="Z23" i="88"/>
  <c r="X23" i="88"/>
  <c r="L23" i="88"/>
  <c r="N23" i="88" s="1"/>
  <c r="B23" i="88"/>
  <c r="X22" i="88"/>
  <c r="Z22" i="88" s="1"/>
  <c r="R22" i="88"/>
  <c r="N22" i="88"/>
  <c r="L22" i="88"/>
  <c r="B22" i="88"/>
  <c r="X21" i="88"/>
  <c r="Z21" i="88" s="1"/>
  <c r="V21" i="88"/>
  <c r="N21" i="88"/>
  <c r="L21" i="88"/>
  <c r="J21" i="88"/>
  <c r="B21" i="88"/>
  <c r="V20" i="88"/>
  <c r="T20" i="88"/>
  <c r="P20" i="88"/>
  <c r="X20" i="88" s="1"/>
  <c r="Z20" i="88" s="1"/>
  <c r="L20" i="88"/>
  <c r="J20" i="88"/>
  <c r="H20" i="88"/>
  <c r="N20" i="88" s="1"/>
  <c r="D20" i="88"/>
  <c r="B20" i="88"/>
  <c r="T19" i="88"/>
  <c r="R19" i="88"/>
  <c r="P19" i="88"/>
  <c r="X19" i="88" s="1"/>
  <c r="J19" i="88"/>
  <c r="H19" i="88"/>
  <c r="D19" i="88"/>
  <c r="R17" i="88"/>
  <c r="P17" i="88"/>
  <c r="J17" i="88"/>
  <c r="X15" i="88"/>
  <c r="Z15" i="88" s="1"/>
  <c r="R15" i="88"/>
  <c r="N15" i="88"/>
  <c r="L15" i="88"/>
  <c r="J15" i="88"/>
  <c r="B15" i="88"/>
  <c r="T14" i="88"/>
  <c r="R14" i="88"/>
  <c r="P14" i="88"/>
  <c r="X14" i="88" s="1"/>
  <c r="J14" i="88"/>
  <c r="H14" i="88"/>
  <c r="D14" i="88"/>
  <c r="T12" i="88"/>
  <c r="V29" i="88" s="1"/>
  <c r="P12" i="88"/>
  <c r="R37" i="88" s="1"/>
  <c r="N12" i="88"/>
  <c r="H12" i="88"/>
  <c r="J37" i="88" s="1"/>
  <c r="D12" i="88"/>
  <c r="F37" i="88" s="1"/>
  <c r="D6" i="88"/>
  <c r="D4" i="88"/>
  <c r="X55" i="87"/>
  <c r="Z55" i="87" s="1"/>
  <c r="N55" i="87"/>
  <c r="L55" i="87"/>
  <c r="X51" i="87"/>
  <c r="T51" i="87"/>
  <c r="Z51" i="87" s="1"/>
  <c r="P51" i="87"/>
  <c r="H51" i="87"/>
  <c r="N51" i="87" s="1"/>
  <c r="D51" i="87"/>
  <c r="L51" i="87" s="1"/>
  <c r="X49" i="87"/>
  <c r="Z49" i="87" s="1"/>
  <c r="N49" i="87"/>
  <c r="L49" i="87"/>
  <c r="B49" i="87"/>
  <c r="X48" i="87"/>
  <c r="T48" i="87"/>
  <c r="Z48" i="87" s="1"/>
  <c r="P48" i="87"/>
  <c r="N48" i="87"/>
  <c r="H48" i="87"/>
  <c r="D48" i="87"/>
  <c r="L48" i="87" s="1"/>
  <c r="B48" i="87"/>
  <c r="Z47" i="87"/>
  <c r="X47" i="87"/>
  <c r="N47" i="87"/>
  <c r="L47" i="87"/>
  <c r="B47" i="87"/>
  <c r="X46" i="87"/>
  <c r="Z46" i="87" s="1"/>
  <c r="N46" i="87"/>
  <c r="L46" i="87"/>
  <c r="B46" i="87"/>
  <c r="X45" i="87"/>
  <c r="Z45" i="87" s="1"/>
  <c r="T45" i="87"/>
  <c r="P45" i="87"/>
  <c r="H45" i="87"/>
  <c r="N45" i="87" s="1"/>
  <c r="D45" i="87"/>
  <c r="B45" i="87"/>
  <c r="Z44" i="87"/>
  <c r="X44" i="87"/>
  <c r="N44" i="87"/>
  <c r="L44" i="87"/>
  <c r="B44" i="87"/>
  <c r="X43" i="87"/>
  <c r="T43" i="87"/>
  <c r="Z43" i="87" s="1"/>
  <c r="P43" i="87"/>
  <c r="N43" i="87"/>
  <c r="H43" i="87"/>
  <c r="D43" i="87"/>
  <c r="L43" i="87" s="1"/>
  <c r="B43" i="87"/>
  <c r="Z42" i="87"/>
  <c r="X42" i="87"/>
  <c r="N42" i="87"/>
  <c r="L42" i="87"/>
  <c r="B42" i="87"/>
  <c r="T41" i="87"/>
  <c r="P41" i="87"/>
  <c r="X41" i="87" s="1"/>
  <c r="H41" i="87"/>
  <c r="N41" i="87" s="1"/>
  <c r="D41" i="87"/>
  <c r="L41" i="87" s="1"/>
  <c r="B41" i="87"/>
  <c r="Z40" i="87"/>
  <c r="X40" i="87"/>
  <c r="V40" i="87"/>
  <c r="N40" i="87"/>
  <c r="L40" i="87"/>
  <c r="B40" i="87"/>
  <c r="T39" i="87"/>
  <c r="P39" i="87"/>
  <c r="X39" i="87" s="1"/>
  <c r="N39" i="87"/>
  <c r="L39" i="87"/>
  <c r="H39" i="87"/>
  <c r="D39" i="87"/>
  <c r="B39" i="87"/>
  <c r="X38" i="87"/>
  <c r="Z38" i="87" s="1"/>
  <c r="V38" i="87"/>
  <c r="N38" i="87"/>
  <c r="L38" i="87"/>
  <c r="B38" i="87"/>
  <c r="T37" i="87"/>
  <c r="P37" i="87"/>
  <c r="X37" i="87" s="1"/>
  <c r="Z37" i="87" s="1"/>
  <c r="H37" i="87"/>
  <c r="N37" i="87" s="1"/>
  <c r="D37" i="87"/>
  <c r="B37" i="87"/>
  <c r="X36" i="87"/>
  <c r="Z36" i="87" s="1"/>
  <c r="N36" i="87"/>
  <c r="L36" i="87"/>
  <c r="B36" i="87"/>
  <c r="Z35" i="87"/>
  <c r="X35" i="87"/>
  <c r="N35" i="87"/>
  <c r="L35" i="87"/>
  <c r="B35" i="87"/>
  <c r="Z34" i="87"/>
  <c r="X34" i="87"/>
  <c r="V34" i="87"/>
  <c r="N34" i="87"/>
  <c r="L34" i="87"/>
  <c r="B34" i="87"/>
  <c r="X33" i="87"/>
  <c r="Z33" i="87" s="1"/>
  <c r="N33" i="87"/>
  <c r="L33" i="87"/>
  <c r="B33" i="87"/>
  <c r="X32" i="87"/>
  <c r="T32" i="87"/>
  <c r="Z32" i="87" s="1"/>
  <c r="P32" i="87"/>
  <c r="N32" i="87"/>
  <c r="H32" i="87"/>
  <c r="D32" i="87"/>
  <c r="L32" i="87" s="1"/>
  <c r="B32" i="87"/>
  <c r="Z31" i="87"/>
  <c r="X31" i="87"/>
  <c r="N31" i="87"/>
  <c r="L31" i="87"/>
  <c r="B31" i="87"/>
  <c r="X30" i="87"/>
  <c r="Z30" i="87" s="1"/>
  <c r="N30" i="87"/>
  <c r="L30" i="87"/>
  <c r="B30" i="87"/>
  <c r="X29" i="87"/>
  <c r="Z29" i="87" s="1"/>
  <c r="N29" i="87"/>
  <c r="L29" i="87"/>
  <c r="B29" i="87"/>
  <c r="Z28" i="87"/>
  <c r="X28" i="87"/>
  <c r="N28" i="87"/>
  <c r="L28" i="87"/>
  <c r="B28" i="87"/>
  <c r="Z27" i="87"/>
  <c r="X27" i="87"/>
  <c r="N27" i="87"/>
  <c r="L27" i="87"/>
  <c r="F27" i="87"/>
  <c r="B27" i="87"/>
  <c r="X26" i="87"/>
  <c r="Z26" i="87" s="1"/>
  <c r="N26" i="87"/>
  <c r="L26" i="87"/>
  <c r="B26" i="87"/>
  <c r="X25" i="87"/>
  <c r="Z25" i="87" s="1"/>
  <c r="N25" i="87"/>
  <c r="L25" i="87"/>
  <c r="B25" i="87"/>
  <c r="Z24" i="87"/>
  <c r="X24" i="87"/>
  <c r="N24" i="87"/>
  <c r="L24" i="87"/>
  <c r="B24" i="87"/>
  <c r="T23" i="87"/>
  <c r="P23" i="87"/>
  <c r="N23" i="87"/>
  <c r="L23" i="87"/>
  <c r="H23" i="87"/>
  <c r="D23" i="87"/>
  <c r="B23" i="87"/>
  <c r="T22" i="87"/>
  <c r="P22" i="87"/>
  <c r="X22" i="87" s="1"/>
  <c r="H22" i="87"/>
  <c r="N22" i="87" s="1"/>
  <c r="D22" i="87"/>
  <c r="X18" i="87"/>
  <c r="Z18" i="87" s="1"/>
  <c r="N18" i="87"/>
  <c r="L18" i="87"/>
  <c r="B18" i="87"/>
  <c r="Z17" i="87"/>
  <c r="X17" i="87"/>
  <c r="N17" i="87"/>
  <c r="L17" i="87"/>
  <c r="B17" i="87"/>
  <c r="T16" i="87"/>
  <c r="P16" i="87"/>
  <c r="X16" i="87" s="1"/>
  <c r="Z16" i="87" s="1"/>
  <c r="H16" i="87"/>
  <c r="N16" i="87" s="1"/>
  <c r="F16" i="87"/>
  <c r="D16" i="87"/>
  <c r="L16" i="87" s="1"/>
  <c r="T14" i="87"/>
  <c r="P14" i="87"/>
  <c r="X14" i="87" s="1"/>
  <c r="Z14" i="87" s="1"/>
  <c r="N14" i="87"/>
  <c r="L14" i="87"/>
  <c r="H14" i="87"/>
  <c r="D14" i="87"/>
  <c r="B14" i="87"/>
  <c r="T13" i="87"/>
  <c r="P13" i="87"/>
  <c r="H13" i="87"/>
  <c r="N13" i="87" s="1"/>
  <c r="D13" i="87"/>
  <c r="D12" i="87" s="1"/>
  <c r="F31" i="87" s="1"/>
  <c r="B13" i="87"/>
  <c r="T12" i="87"/>
  <c r="V28" i="87" s="1"/>
  <c r="H12" i="87"/>
  <c r="J36" i="87" s="1"/>
  <c r="D6" i="87"/>
  <c r="D4" i="87"/>
  <c r="X89" i="86"/>
  <c r="Z89" i="86" s="1"/>
  <c r="N89" i="86"/>
  <c r="L89" i="86"/>
  <c r="Z85" i="86"/>
  <c r="T85" i="86"/>
  <c r="T84" i="86" s="1"/>
  <c r="Z84" i="86" s="1"/>
  <c r="P85" i="86"/>
  <c r="H85" i="86"/>
  <c r="N85" i="86" s="1"/>
  <c r="D85" i="86"/>
  <c r="L85" i="86" s="1"/>
  <c r="B85" i="86"/>
  <c r="H84" i="86"/>
  <c r="N84" i="86" s="1"/>
  <c r="D84" i="86"/>
  <c r="L84" i="86" s="1"/>
  <c r="Z82" i="86"/>
  <c r="X82" i="86"/>
  <c r="N82" i="86"/>
  <c r="L82" i="86"/>
  <c r="B82" i="86"/>
  <c r="Z81" i="86"/>
  <c r="T81" i="86"/>
  <c r="P81" i="86"/>
  <c r="X81" i="86" s="1"/>
  <c r="L81" i="86"/>
  <c r="H81" i="86"/>
  <c r="N81" i="86" s="1"/>
  <c r="D81" i="86"/>
  <c r="B81" i="86"/>
  <c r="X80" i="86"/>
  <c r="Z80" i="86" s="1"/>
  <c r="N80" i="86"/>
  <c r="L80" i="86"/>
  <c r="B80" i="86"/>
  <c r="T79" i="86"/>
  <c r="X79" i="86" s="1"/>
  <c r="Z79" i="86" s="1"/>
  <c r="P79" i="86"/>
  <c r="H79" i="86"/>
  <c r="D79" i="86"/>
  <c r="B79" i="86"/>
  <c r="X78" i="86"/>
  <c r="Z78" i="86" s="1"/>
  <c r="N78" i="86"/>
  <c r="L78" i="86"/>
  <c r="B78" i="86"/>
  <c r="X77" i="86"/>
  <c r="Z77" i="86" s="1"/>
  <c r="N77" i="86"/>
  <c r="L77" i="86"/>
  <c r="B77" i="86"/>
  <c r="Z76" i="86"/>
  <c r="X76" i="86"/>
  <c r="N76" i="86"/>
  <c r="L76" i="86"/>
  <c r="B76" i="86"/>
  <c r="Z75" i="86"/>
  <c r="X75" i="86"/>
  <c r="N75" i="86"/>
  <c r="L75" i="86"/>
  <c r="B75" i="86"/>
  <c r="X74" i="86"/>
  <c r="Z74" i="86" s="1"/>
  <c r="N74" i="86"/>
  <c r="L74" i="86"/>
  <c r="B74" i="86"/>
  <c r="X73" i="86"/>
  <c r="Z73" i="86" s="1"/>
  <c r="N73" i="86"/>
  <c r="L73" i="86"/>
  <c r="B73" i="86"/>
  <c r="Z72" i="86"/>
  <c r="X72" i="86"/>
  <c r="N72" i="86"/>
  <c r="L72" i="86"/>
  <c r="B72" i="86"/>
  <c r="Z71" i="86"/>
  <c r="X71" i="86"/>
  <c r="N71" i="86"/>
  <c r="L71" i="86"/>
  <c r="B71" i="86"/>
  <c r="T70" i="86"/>
  <c r="P70" i="86"/>
  <c r="N70" i="86"/>
  <c r="H70" i="86"/>
  <c r="D70" i="86"/>
  <c r="L70" i="86" s="1"/>
  <c r="B70" i="86"/>
  <c r="X69" i="86"/>
  <c r="Z69" i="86" s="1"/>
  <c r="N69" i="86"/>
  <c r="L69" i="86"/>
  <c r="B69" i="86"/>
  <c r="X68" i="86"/>
  <c r="Z68" i="86" s="1"/>
  <c r="N68" i="86"/>
  <c r="L68" i="86"/>
  <c r="B68" i="86"/>
  <c r="X67" i="86"/>
  <c r="T67" i="86"/>
  <c r="P67" i="86"/>
  <c r="N67" i="86"/>
  <c r="L67" i="86"/>
  <c r="H67" i="86"/>
  <c r="D67" i="86"/>
  <c r="B67" i="86"/>
  <c r="Z66" i="86"/>
  <c r="X66" i="86"/>
  <c r="N66" i="86"/>
  <c r="L66" i="86"/>
  <c r="B66" i="86"/>
  <c r="X65" i="86"/>
  <c r="Z65" i="86" s="1"/>
  <c r="N65" i="86"/>
  <c r="L65" i="86"/>
  <c r="B65" i="86"/>
  <c r="Z64" i="86"/>
  <c r="X64" i="86"/>
  <c r="N64" i="86"/>
  <c r="L64" i="86"/>
  <c r="B64" i="86"/>
  <c r="X63" i="86"/>
  <c r="T63" i="86"/>
  <c r="Z63" i="86" s="1"/>
  <c r="P63" i="86"/>
  <c r="L63" i="86"/>
  <c r="H63" i="86"/>
  <c r="N63" i="86" s="1"/>
  <c r="D63" i="86"/>
  <c r="B63" i="86"/>
  <c r="X62" i="86"/>
  <c r="Z62" i="86" s="1"/>
  <c r="N62" i="86"/>
  <c r="L62" i="86"/>
  <c r="J62" i="86"/>
  <c r="B62" i="86"/>
  <c r="X61" i="86"/>
  <c r="Z61" i="86" s="1"/>
  <c r="N61" i="86"/>
  <c r="L61" i="86"/>
  <c r="B61" i="86"/>
  <c r="Z60" i="86"/>
  <c r="X60" i="86"/>
  <c r="N60" i="86"/>
  <c r="L60" i="86"/>
  <c r="B60" i="86"/>
  <c r="T59" i="86"/>
  <c r="P59" i="86"/>
  <c r="X59" i="86" s="1"/>
  <c r="Z59" i="86" s="1"/>
  <c r="H59" i="86"/>
  <c r="N59" i="86" s="1"/>
  <c r="D59" i="86"/>
  <c r="L59" i="86" s="1"/>
  <c r="B59" i="86"/>
  <c r="X58" i="86"/>
  <c r="Z58" i="86" s="1"/>
  <c r="N58" i="86"/>
  <c r="L58" i="86"/>
  <c r="B58" i="86"/>
  <c r="Z57" i="86"/>
  <c r="X57" i="86"/>
  <c r="N57" i="86"/>
  <c r="L57" i="86"/>
  <c r="B57" i="86"/>
  <c r="T56" i="86"/>
  <c r="P56" i="86"/>
  <c r="L56" i="86"/>
  <c r="H56" i="86"/>
  <c r="N56" i="86" s="1"/>
  <c r="D56" i="86"/>
  <c r="B56" i="86"/>
  <c r="X55" i="86"/>
  <c r="Z55" i="86" s="1"/>
  <c r="N55" i="86"/>
  <c r="L55" i="86"/>
  <c r="B55" i="86"/>
  <c r="T54" i="86"/>
  <c r="P54" i="86"/>
  <c r="N54" i="86"/>
  <c r="L54" i="86"/>
  <c r="H54" i="86"/>
  <c r="D54" i="86"/>
  <c r="B54" i="86"/>
  <c r="X53" i="86"/>
  <c r="Z53" i="86" s="1"/>
  <c r="N53" i="86"/>
  <c r="L53" i="86"/>
  <c r="B53" i="86"/>
  <c r="Z52" i="86"/>
  <c r="T52" i="86"/>
  <c r="P52" i="86"/>
  <c r="X52" i="86" s="1"/>
  <c r="L52" i="86"/>
  <c r="J52" i="86"/>
  <c r="H52" i="86"/>
  <c r="N52" i="86" s="1"/>
  <c r="D52" i="86"/>
  <c r="B52" i="86"/>
  <c r="Z51" i="86"/>
  <c r="X51" i="86"/>
  <c r="N51" i="86"/>
  <c r="L51" i="86"/>
  <c r="B51" i="86"/>
  <c r="X50" i="86"/>
  <c r="T50" i="86"/>
  <c r="P50" i="86"/>
  <c r="N50" i="86"/>
  <c r="L50" i="86"/>
  <c r="H50" i="86"/>
  <c r="D50" i="86"/>
  <c r="B50" i="86"/>
  <c r="Z49" i="86"/>
  <c r="X49" i="86"/>
  <c r="N49" i="86"/>
  <c r="L49" i="86"/>
  <c r="J49" i="86"/>
  <c r="B49" i="86"/>
  <c r="T48" i="86"/>
  <c r="P48" i="86"/>
  <c r="H48" i="86"/>
  <c r="N48" i="86" s="1"/>
  <c r="D48" i="86"/>
  <c r="L48" i="86" s="1"/>
  <c r="B48" i="86"/>
  <c r="Z47" i="86"/>
  <c r="X47" i="86"/>
  <c r="N47" i="86"/>
  <c r="L47" i="86"/>
  <c r="B47" i="86"/>
  <c r="X46" i="86"/>
  <c r="Z46" i="86" s="1"/>
  <c r="L46" i="86"/>
  <c r="N46" i="86" s="1"/>
  <c r="B46" i="86"/>
  <c r="T45" i="86"/>
  <c r="X45" i="86" s="1"/>
  <c r="Z45" i="86" s="1"/>
  <c r="P45" i="86"/>
  <c r="H45" i="86"/>
  <c r="D45" i="86"/>
  <c r="L45" i="86" s="1"/>
  <c r="B45" i="86"/>
  <c r="X44" i="86"/>
  <c r="Z44" i="86" s="1"/>
  <c r="N44" i="86"/>
  <c r="L44" i="86"/>
  <c r="B44" i="86"/>
  <c r="Z43" i="86"/>
  <c r="X43" i="86"/>
  <c r="T43" i="86"/>
  <c r="P43" i="86"/>
  <c r="N43" i="86"/>
  <c r="H43" i="86"/>
  <c r="D43" i="86"/>
  <c r="L43" i="86" s="1"/>
  <c r="B43" i="86"/>
  <c r="Z42" i="86"/>
  <c r="X42" i="86"/>
  <c r="N42" i="86"/>
  <c r="L42" i="86"/>
  <c r="B42" i="86"/>
  <c r="X41" i="86"/>
  <c r="T41" i="86"/>
  <c r="P41" i="86"/>
  <c r="N41" i="86"/>
  <c r="L41" i="86"/>
  <c r="J41" i="86"/>
  <c r="H41" i="86"/>
  <c r="D41" i="86"/>
  <c r="B41" i="86"/>
  <c r="Z40" i="86"/>
  <c r="X40" i="86"/>
  <c r="N40" i="86"/>
  <c r="L40" i="86"/>
  <c r="B40" i="86"/>
  <c r="T39" i="86"/>
  <c r="P39" i="86"/>
  <c r="N39" i="86"/>
  <c r="H39" i="86"/>
  <c r="L39" i="86" s="1"/>
  <c r="D39" i="86"/>
  <c r="B39" i="86"/>
  <c r="Z38" i="86"/>
  <c r="X38" i="86"/>
  <c r="N38" i="86"/>
  <c r="L38" i="86"/>
  <c r="B38" i="86"/>
  <c r="Z37" i="86"/>
  <c r="X37" i="86"/>
  <c r="N37" i="86"/>
  <c r="L37" i="86"/>
  <c r="B37" i="86"/>
  <c r="X36" i="86"/>
  <c r="Z36" i="86" s="1"/>
  <c r="N36" i="86"/>
  <c r="L36" i="86"/>
  <c r="B36" i="86"/>
  <c r="Z35" i="86"/>
  <c r="X35" i="86"/>
  <c r="N35" i="86"/>
  <c r="L35" i="86"/>
  <c r="B35" i="86"/>
  <c r="Z34" i="86"/>
  <c r="X34" i="86"/>
  <c r="N34" i="86"/>
  <c r="L34" i="86"/>
  <c r="B34" i="86"/>
  <c r="Z33" i="86"/>
  <c r="X33" i="86"/>
  <c r="L33" i="86"/>
  <c r="N33" i="86" s="1"/>
  <c r="B33" i="86"/>
  <c r="T32" i="86"/>
  <c r="P32" i="86"/>
  <c r="H32" i="86"/>
  <c r="D32" i="86"/>
  <c r="L32" i="86" s="1"/>
  <c r="B32" i="86"/>
  <c r="Z31" i="86"/>
  <c r="X31" i="86"/>
  <c r="N31" i="86"/>
  <c r="L31" i="86"/>
  <c r="B31" i="86"/>
  <c r="Z30" i="86"/>
  <c r="X30" i="86"/>
  <c r="L30" i="86"/>
  <c r="N30" i="86" s="1"/>
  <c r="B30" i="86"/>
  <c r="X29" i="86"/>
  <c r="Z29" i="86" s="1"/>
  <c r="N29" i="86"/>
  <c r="L29" i="86"/>
  <c r="B29" i="86"/>
  <c r="X28" i="86"/>
  <c r="Z28" i="86" s="1"/>
  <c r="L28" i="86"/>
  <c r="N28" i="86" s="1"/>
  <c r="B28" i="86"/>
  <c r="Z27" i="86"/>
  <c r="X27" i="86"/>
  <c r="V27" i="86"/>
  <c r="N27" i="86"/>
  <c r="L27" i="86"/>
  <c r="B27" i="86"/>
  <c r="Z26" i="86"/>
  <c r="X26" i="86"/>
  <c r="L26" i="86"/>
  <c r="N26" i="86" s="1"/>
  <c r="B26" i="86"/>
  <c r="X25" i="86"/>
  <c r="Z25" i="86" s="1"/>
  <c r="N25" i="86"/>
  <c r="L25" i="86"/>
  <c r="B25" i="86"/>
  <c r="X24" i="86"/>
  <c r="Z24" i="86" s="1"/>
  <c r="N24" i="86"/>
  <c r="L24" i="86"/>
  <c r="B24" i="86"/>
  <c r="Z23" i="86"/>
  <c r="X23" i="86"/>
  <c r="T23" i="86"/>
  <c r="P23" i="86"/>
  <c r="L23" i="86"/>
  <c r="J23" i="86"/>
  <c r="H23" i="86"/>
  <c r="N23" i="86" s="1"/>
  <c r="D23" i="86"/>
  <c r="B23" i="86"/>
  <c r="T22" i="86"/>
  <c r="P22" i="86"/>
  <c r="X22" i="86" s="1"/>
  <c r="H22" i="86"/>
  <c r="D22" i="86"/>
  <c r="L22" i="86" s="1"/>
  <c r="N22" i="86" s="1"/>
  <c r="X18" i="86"/>
  <c r="Z18" i="86" s="1"/>
  <c r="N18" i="86"/>
  <c r="L18" i="86"/>
  <c r="J18" i="86"/>
  <c r="B18" i="86"/>
  <c r="Z17" i="86"/>
  <c r="X17" i="86"/>
  <c r="N17" i="86"/>
  <c r="L17" i="86"/>
  <c r="B17" i="86"/>
  <c r="Z16" i="86"/>
  <c r="X16" i="86"/>
  <c r="T16" i="86"/>
  <c r="P16" i="86"/>
  <c r="L16" i="86"/>
  <c r="H16" i="86"/>
  <c r="N16" i="86" s="1"/>
  <c r="D16" i="86"/>
  <c r="Z14" i="86"/>
  <c r="X14" i="86"/>
  <c r="T14" i="86"/>
  <c r="P14" i="86"/>
  <c r="H14" i="86"/>
  <c r="N14" i="86" s="1"/>
  <c r="D14" i="86"/>
  <c r="L14" i="86" s="1"/>
  <c r="B14" i="86"/>
  <c r="T13" i="86"/>
  <c r="T12" i="86" s="1"/>
  <c r="V31" i="86" s="1"/>
  <c r="P13" i="86"/>
  <c r="N13" i="86"/>
  <c r="H13" i="86"/>
  <c r="L13" i="86" s="1"/>
  <c r="D13" i="86"/>
  <c r="B13" i="86"/>
  <c r="H12" i="86"/>
  <c r="J80" i="86" s="1"/>
  <c r="D6" i="86"/>
  <c r="D4" i="86"/>
  <c r="X94" i="85"/>
  <c r="Z94" i="85" s="1"/>
  <c r="L94" i="85"/>
  <c r="N94" i="85" s="1"/>
  <c r="T90" i="85"/>
  <c r="T89" i="85" s="1"/>
  <c r="Z89" i="85" s="1"/>
  <c r="P90" i="85"/>
  <c r="P89" i="85" s="1"/>
  <c r="X89" i="85" s="1"/>
  <c r="L90" i="85"/>
  <c r="H90" i="85"/>
  <c r="D90" i="85"/>
  <c r="B90" i="85"/>
  <c r="D89" i="85"/>
  <c r="Z87" i="85"/>
  <c r="X87" i="85"/>
  <c r="N87" i="85"/>
  <c r="L87" i="85"/>
  <c r="B87" i="85"/>
  <c r="T86" i="85"/>
  <c r="P86" i="85"/>
  <c r="L86" i="85"/>
  <c r="H86" i="85"/>
  <c r="D86" i="85"/>
  <c r="B86" i="85"/>
  <c r="X85" i="85"/>
  <c r="Z85" i="85" s="1"/>
  <c r="N85" i="85"/>
  <c r="L85" i="85"/>
  <c r="B85" i="85"/>
  <c r="X84" i="85"/>
  <c r="T84" i="85"/>
  <c r="P84" i="85"/>
  <c r="H84" i="85"/>
  <c r="N84" i="85" s="1"/>
  <c r="D84" i="85"/>
  <c r="B84" i="85"/>
  <c r="Z83" i="85"/>
  <c r="X83" i="85"/>
  <c r="N83" i="85"/>
  <c r="L83" i="85"/>
  <c r="B83" i="85"/>
  <c r="T82" i="85"/>
  <c r="P82" i="85"/>
  <c r="H82" i="85"/>
  <c r="D82" i="85"/>
  <c r="L82" i="85" s="1"/>
  <c r="N82" i="85" s="1"/>
  <c r="B82" i="85"/>
  <c r="Z81" i="85"/>
  <c r="X81" i="85"/>
  <c r="N81" i="85"/>
  <c r="L81" i="85"/>
  <c r="B81" i="85"/>
  <c r="X80" i="85"/>
  <c r="Z80" i="85" s="1"/>
  <c r="N80" i="85"/>
  <c r="L80" i="85"/>
  <c r="B80" i="85"/>
  <c r="Z79" i="85"/>
  <c r="X79" i="85"/>
  <c r="N79" i="85"/>
  <c r="L79" i="85"/>
  <c r="B79" i="85"/>
  <c r="X78" i="85"/>
  <c r="Z78" i="85" s="1"/>
  <c r="N78" i="85"/>
  <c r="L78" i="85"/>
  <c r="B78" i="85"/>
  <c r="Z77" i="85"/>
  <c r="X77" i="85"/>
  <c r="N77" i="85"/>
  <c r="L77" i="85"/>
  <c r="B77" i="85"/>
  <c r="X76" i="85"/>
  <c r="Z76" i="85" s="1"/>
  <c r="N76" i="85"/>
  <c r="L76" i="85"/>
  <c r="B76" i="85"/>
  <c r="X75" i="85"/>
  <c r="Z75" i="85" s="1"/>
  <c r="N75" i="85"/>
  <c r="L75" i="85"/>
  <c r="B75" i="85"/>
  <c r="Z74" i="85"/>
  <c r="X74" i="85"/>
  <c r="N74" i="85"/>
  <c r="L74" i="85"/>
  <c r="B74" i="85"/>
  <c r="Z73" i="85"/>
  <c r="X73" i="85"/>
  <c r="N73" i="85"/>
  <c r="L73" i="85"/>
  <c r="B73" i="85"/>
  <c r="T72" i="85"/>
  <c r="P72" i="85"/>
  <c r="H72" i="85"/>
  <c r="N72" i="85" s="1"/>
  <c r="D72" i="85"/>
  <c r="L72" i="85" s="1"/>
  <c r="B72" i="85"/>
  <c r="X71" i="85"/>
  <c r="Z71" i="85" s="1"/>
  <c r="N71" i="85"/>
  <c r="L71" i="85"/>
  <c r="F71" i="85"/>
  <c r="B71" i="85"/>
  <c r="X70" i="85"/>
  <c r="Z70" i="85" s="1"/>
  <c r="N70" i="85"/>
  <c r="L70" i="85"/>
  <c r="B70" i="85"/>
  <c r="X69" i="85"/>
  <c r="T69" i="85"/>
  <c r="R69" i="85"/>
  <c r="P69" i="85"/>
  <c r="N69" i="85"/>
  <c r="L69" i="85"/>
  <c r="H69" i="85"/>
  <c r="D69" i="85"/>
  <c r="B69" i="85"/>
  <c r="Z68" i="85"/>
  <c r="X68" i="85"/>
  <c r="R68" i="85"/>
  <c r="N68" i="85"/>
  <c r="L68" i="85"/>
  <c r="B68" i="85"/>
  <c r="Z67" i="85"/>
  <c r="X67" i="85"/>
  <c r="N67" i="85"/>
  <c r="L67" i="85"/>
  <c r="B67" i="85"/>
  <c r="Z66" i="85"/>
  <c r="X66" i="85"/>
  <c r="L66" i="85"/>
  <c r="N66" i="85" s="1"/>
  <c r="B66" i="85"/>
  <c r="Z65" i="85"/>
  <c r="X65" i="85"/>
  <c r="N65" i="85"/>
  <c r="L65" i="85"/>
  <c r="B65" i="85"/>
  <c r="X64" i="85"/>
  <c r="Z64" i="85" s="1"/>
  <c r="N64" i="85"/>
  <c r="L64" i="85"/>
  <c r="B64" i="85"/>
  <c r="T63" i="85"/>
  <c r="P63" i="85"/>
  <c r="H63" i="85"/>
  <c r="D63" i="85"/>
  <c r="B63" i="85"/>
  <c r="X62" i="85"/>
  <c r="Z62" i="85" s="1"/>
  <c r="L62" i="85"/>
  <c r="N62" i="85" s="1"/>
  <c r="B62" i="85"/>
  <c r="Z61" i="85"/>
  <c r="X61" i="85"/>
  <c r="N61" i="85"/>
  <c r="L61" i="85"/>
  <c r="F61" i="85"/>
  <c r="B61" i="85"/>
  <c r="X60" i="85"/>
  <c r="Z60" i="85" s="1"/>
  <c r="N60" i="85"/>
  <c r="L60" i="85"/>
  <c r="B60" i="85"/>
  <c r="Z59" i="85"/>
  <c r="X59" i="85"/>
  <c r="N59" i="85"/>
  <c r="L59" i="85"/>
  <c r="B59" i="85"/>
  <c r="T58" i="85"/>
  <c r="P58" i="85"/>
  <c r="X58" i="85" s="1"/>
  <c r="L58" i="85"/>
  <c r="H58" i="85"/>
  <c r="D58" i="85"/>
  <c r="B58" i="85"/>
  <c r="X57" i="85"/>
  <c r="Z57" i="85" s="1"/>
  <c r="N57" i="85"/>
  <c r="L57" i="85"/>
  <c r="B57" i="85"/>
  <c r="X56" i="85"/>
  <c r="T56" i="85"/>
  <c r="P56" i="85"/>
  <c r="N56" i="85"/>
  <c r="L56" i="85"/>
  <c r="H56" i="85"/>
  <c r="D56" i="85"/>
  <c r="B56" i="85"/>
  <c r="Z55" i="85"/>
  <c r="X55" i="85"/>
  <c r="N55" i="85"/>
  <c r="L55" i="85"/>
  <c r="B55" i="85"/>
  <c r="T54" i="85"/>
  <c r="X54" i="85" s="1"/>
  <c r="Z54" i="85" s="1"/>
  <c r="P54" i="85"/>
  <c r="H54" i="85"/>
  <c r="D54" i="85"/>
  <c r="L54" i="85" s="1"/>
  <c r="N54" i="85" s="1"/>
  <c r="B54" i="85"/>
  <c r="Z53" i="85"/>
  <c r="X53" i="85"/>
  <c r="N53" i="85"/>
  <c r="L53" i="85"/>
  <c r="B53" i="85"/>
  <c r="T52" i="85"/>
  <c r="P52" i="85"/>
  <c r="X52" i="85" s="1"/>
  <c r="H52" i="85"/>
  <c r="N52" i="85" s="1"/>
  <c r="D52" i="85"/>
  <c r="B52" i="85"/>
  <c r="X51" i="85"/>
  <c r="Z51" i="85" s="1"/>
  <c r="N51" i="85"/>
  <c r="L51" i="85"/>
  <c r="B51" i="85"/>
  <c r="X50" i="85"/>
  <c r="T50" i="85"/>
  <c r="Z50" i="85" s="1"/>
  <c r="P50" i="85"/>
  <c r="H50" i="85"/>
  <c r="D50" i="85"/>
  <c r="L50" i="85" s="1"/>
  <c r="B50" i="85"/>
  <c r="Z49" i="85"/>
  <c r="X49" i="85"/>
  <c r="R49" i="85"/>
  <c r="N49" i="85"/>
  <c r="L49" i="85"/>
  <c r="B49" i="85"/>
  <c r="T48" i="85"/>
  <c r="P48" i="85"/>
  <c r="X48" i="85" s="1"/>
  <c r="Z48" i="85" s="1"/>
  <c r="H48" i="85"/>
  <c r="N48" i="85" s="1"/>
  <c r="D48" i="85"/>
  <c r="L48" i="85" s="1"/>
  <c r="B48" i="85"/>
  <c r="Z47" i="85"/>
  <c r="X47" i="85"/>
  <c r="L47" i="85"/>
  <c r="N47" i="85" s="1"/>
  <c r="B47" i="85"/>
  <c r="X46" i="85"/>
  <c r="Z46" i="85" s="1"/>
  <c r="R46" i="85"/>
  <c r="N46" i="85"/>
  <c r="L46" i="85"/>
  <c r="B46" i="85"/>
  <c r="Z45" i="85"/>
  <c r="T45" i="85"/>
  <c r="P45" i="85"/>
  <c r="X45" i="85" s="1"/>
  <c r="H45" i="85"/>
  <c r="D45" i="85"/>
  <c r="L45" i="85" s="1"/>
  <c r="N45" i="85" s="1"/>
  <c r="B45" i="85"/>
  <c r="X44" i="85"/>
  <c r="Z44" i="85" s="1"/>
  <c r="N44" i="85"/>
  <c r="L44" i="85"/>
  <c r="B44" i="85"/>
  <c r="Z43" i="85"/>
  <c r="T43" i="85"/>
  <c r="P43" i="85"/>
  <c r="X43" i="85" s="1"/>
  <c r="H43" i="85"/>
  <c r="N43" i="85" s="1"/>
  <c r="D43" i="85"/>
  <c r="B43" i="85"/>
  <c r="Z42" i="85"/>
  <c r="X42" i="85"/>
  <c r="N42" i="85"/>
  <c r="L42" i="85"/>
  <c r="B42" i="85"/>
  <c r="Z41" i="85"/>
  <c r="T41" i="85"/>
  <c r="X41" i="85" s="1"/>
  <c r="R41" i="85"/>
  <c r="P41" i="85"/>
  <c r="H41" i="85"/>
  <c r="N41" i="85" s="1"/>
  <c r="D41" i="85"/>
  <c r="B41" i="85"/>
  <c r="X40" i="85"/>
  <c r="Z40" i="85" s="1"/>
  <c r="L40" i="85"/>
  <c r="N40" i="85" s="1"/>
  <c r="B40" i="85"/>
  <c r="X39" i="85"/>
  <c r="Z39" i="85" s="1"/>
  <c r="T39" i="85"/>
  <c r="P39" i="85"/>
  <c r="H39" i="85"/>
  <c r="D39" i="85"/>
  <c r="B39" i="85"/>
  <c r="X38" i="85"/>
  <c r="Z38" i="85" s="1"/>
  <c r="N38" i="85"/>
  <c r="L38" i="85"/>
  <c r="B38" i="85"/>
  <c r="X37" i="85"/>
  <c r="Z37" i="85" s="1"/>
  <c r="N37" i="85"/>
  <c r="L37" i="85"/>
  <c r="B37" i="85"/>
  <c r="X36" i="85"/>
  <c r="Z36" i="85" s="1"/>
  <c r="N36" i="85"/>
  <c r="L36" i="85"/>
  <c r="B36" i="85"/>
  <c r="X35" i="85"/>
  <c r="Z35" i="85" s="1"/>
  <c r="N35" i="85"/>
  <c r="L35" i="85"/>
  <c r="B35" i="85"/>
  <c r="Z34" i="85"/>
  <c r="X34" i="85"/>
  <c r="N34" i="85"/>
  <c r="L34" i="85"/>
  <c r="B34" i="85"/>
  <c r="X33" i="85"/>
  <c r="Z33" i="85" s="1"/>
  <c r="N33" i="85"/>
  <c r="L33" i="85"/>
  <c r="B33" i="85"/>
  <c r="T32" i="85"/>
  <c r="P32" i="85"/>
  <c r="X32" i="85" s="1"/>
  <c r="H32" i="85"/>
  <c r="F32" i="85"/>
  <c r="D32" i="85"/>
  <c r="L32" i="85" s="1"/>
  <c r="N32" i="85" s="1"/>
  <c r="B32" i="85"/>
  <c r="Z31" i="85"/>
  <c r="X31" i="85"/>
  <c r="L31" i="85"/>
  <c r="N31" i="85" s="1"/>
  <c r="B31" i="85"/>
  <c r="X30" i="85"/>
  <c r="Z30" i="85" s="1"/>
  <c r="L30" i="85"/>
  <c r="N30" i="85" s="1"/>
  <c r="B30" i="85"/>
  <c r="Z29" i="85"/>
  <c r="X29" i="85"/>
  <c r="N29" i="85"/>
  <c r="L29" i="85"/>
  <c r="B29" i="85"/>
  <c r="X28" i="85"/>
  <c r="Z28" i="85" s="1"/>
  <c r="L28" i="85"/>
  <c r="N28" i="85" s="1"/>
  <c r="B28" i="85"/>
  <c r="Z27" i="85"/>
  <c r="X27" i="85"/>
  <c r="L27" i="85"/>
  <c r="N27" i="85" s="1"/>
  <c r="B27" i="85"/>
  <c r="Z26" i="85"/>
  <c r="X26" i="85"/>
  <c r="L26" i="85"/>
  <c r="N26" i="85" s="1"/>
  <c r="B26" i="85"/>
  <c r="Z25" i="85"/>
  <c r="X25" i="85"/>
  <c r="N25" i="85"/>
  <c r="L25" i="85"/>
  <c r="B25" i="85"/>
  <c r="Z24" i="85"/>
  <c r="X24" i="85"/>
  <c r="L24" i="85"/>
  <c r="N24" i="85" s="1"/>
  <c r="B24" i="85"/>
  <c r="T23" i="85"/>
  <c r="P23" i="85"/>
  <c r="H23" i="85"/>
  <c r="D23" i="85"/>
  <c r="B23" i="85"/>
  <c r="T22" i="85"/>
  <c r="P22" i="85"/>
  <c r="X22" i="85" s="1"/>
  <c r="H22" i="85"/>
  <c r="D22" i="85"/>
  <c r="P20" i="85"/>
  <c r="Z18" i="85"/>
  <c r="X18" i="85"/>
  <c r="N18" i="85"/>
  <c r="L18" i="85"/>
  <c r="B18" i="85"/>
  <c r="Z17" i="85"/>
  <c r="X17" i="85"/>
  <c r="N17" i="85"/>
  <c r="L17" i="85"/>
  <c r="B17" i="85"/>
  <c r="T16" i="85"/>
  <c r="P16" i="85"/>
  <c r="H16" i="85"/>
  <c r="D16" i="85"/>
  <c r="X14" i="85"/>
  <c r="T14" i="85"/>
  <c r="P14" i="85"/>
  <c r="H14" i="85"/>
  <c r="D14" i="85"/>
  <c r="D12" i="85" s="1"/>
  <c r="F74" i="85" s="1"/>
  <c r="B14" i="85"/>
  <c r="T13" i="85"/>
  <c r="P13" i="85"/>
  <c r="L13" i="85"/>
  <c r="H13" i="85"/>
  <c r="N13" i="85" s="1"/>
  <c r="D13" i="85"/>
  <c r="B13" i="85"/>
  <c r="P12" i="85"/>
  <c r="R80" i="85" s="1"/>
  <c r="D6" i="85"/>
  <c r="D4" i="85"/>
  <c r="X79" i="84"/>
  <c r="Z79" i="84" s="1"/>
  <c r="L79" i="84"/>
  <c r="N79" i="84" s="1"/>
  <c r="T75" i="84"/>
  <c r="Z75" i="84" s="1"/>
  <c r="P75" i="84"/>
  <c r="N75" i="84"/>
  <c r="H75" i="84"/>
  <c r="D75" i="84"/>
  <c r="L75" i="84" s="1"/>
  <c r="Z73" i="84"/>
  <c r="X73" i="84"/>
  <c r="N73" i="84"/>
  <c r="L73" i="84"/>
  <c r="B73" i="84"/>
  <c r="T72" i="84"/>
  <c r="P72" i="84"/>
  <c r="X72" i="84" s="1"/>
  <c r="Z72" i="84" s="1"/>
  <c r="H72" i="84"/>
  <c r="N72" i="84" s="1"/>
  <c r="D72" i="84"/>
  <c r="L72" i="84" s="1"/>
  <c r="B72" i="84"/>
  <c r="X71" i="84"/>
  <c r="Z71" i="84" s="1"/>
  <c r="N71" i="84"/>
  <c r="L71" i="84"/>
  <c r="B71" i="84"/>
  <c r="X70" i="84"/>
  <c r="Z70" i="84" s="1"/>
  <c r="T70" i="84"/>
  <c r="R70" i="84"/>
  <c r="P70" i="84"/>
  <c r="H70" i="84"/>
  <c r="D70" i="84"/>
  <c r="L70" i="84" s="1"/>
  <c r="N70" i="84" s="1"/>
  <c r="B70" i="84"/>
  <c r="X69" i="84"/>
  <c r="Z69" i="84" s="1"/>
  <c r="R69" i="84"/>
  <c r="N69" i="84"/>
  <c r="L69" i="84"/>
  <c r="B69" i="84"/>
  <c r="X68" i="84"/>
  <c r="Z68" i="84" s="1"/>
  <c r="N68" i="84"/>
  <c r="L68" i="84"/>
  <c r="B68" i="84"/>
  <c r="Z67" i="84"/>
  <c r="X67" i="84"/>
  <c r="N67" i="84"/>
  <c r="L67" i="84"/>
  <c r="B67" i="84"/>
  <c r="Z66" i="84"/>
  <c r="X66" i="84"/>
  <c r="N66" i="84"/>
  <c r="L66" i="84"/>
  <c r="B66" i="84"/>
  <c r="X65" i="84"/>
  <c r="Z65" i="84" s="1"/>
  <c r="R65" i="84"/>
  <c r="N65" i="84"/>
  <c r="L65" i="84"/>
  <c r="B65" i="84"/>
  <c r="X64" i="84"/>
  <c r="Z64" i="84" s="1"/>
  <c r="N64" i="84"/>
  <c r="L64" i="84"/>
  <c r="B64" i="84"/>
  <c r="Z63" i="84"/>
  <c r="X63" i="84"/>
  <c r="N63" i="84"/>
  <c r="L63" i="84"/>
  <c r="B63" i="84"/>
  <c r="T62" i="84"/>
  <c r="X62" i="84" s="1"/>
  <c r="Z62" i="84" s="1"/>
  <c r="P62" i="84"/>
  <c r="L62" i="84"/>
  <c r="H62" i="84"/>
  <c r="D62" i="84"/>
  <c r="B62" i="84"/>
  <c r="Z61" i="84"/>
  <c r="X61" i="84"/>
  <c r="N61" i="84"/>
  <c r="L61" i="84"/>
  <c r="J61" i="84"/>
  <c r="B61" i="84"/>
  <c r="V60" i="84"/>
  <c r="T60" i="84"/>
  <c r="P60" i="84"/>
  <c r="X60" i="84" s="1"/>
  <c r="Z60" i="84" s="1"/>
  <c r="H60" i="84"/>
  <c r="N60" i="84" s="1"/>
  <c r="D60" i="84"/>
  <c r="L60" i="84" s="1"/>
  <c r="B60" i="84"/>
  <c r="X59" i="84"/>
  <c r="Z59" i="84" s="1"/>
  <c r="N59" i="84"/>
  <c r="L59" i="84"/>
  <c r="B59" i="84"/>
  <c r="X58" i="84"/>
  <c r="Z58" i="84" s="1"/>
  <c r="T58" i="84"/>
  <c r="R58" i="84"/>
  <c r="P58" i="84"/>
  <c r="N58" i="84"/>
  <c r="H58" i="84"/>
  <c r="D58" i="84"/>
  <c r="L58" i="84" s="1"/>
  <c r="B58" i="84"/>
  <c r="X57" i="84"/>
  <c r="Z57" i="84" s="1"/>
  <c r="N57" i="84"/>
  <c r="L57" i="84"/>
  <c r="B57" i="84"/>
  <c r="X56" i="84"/>
  <c r="T56" i="84"/>
  <c r="Z56" i="84" s="1"/>
  <c r="P56" i="84"/>
  <c r="N56" i="84"/>
  <c r="H56" i="84"/>
  <c r="L56" i="84" s="1"/>
  <c r="D56" i="84"/>
  <c r="B56" i="84"/>
  <c r="Z55" i="84"/>
  <c r="X55" i="84"/>
  <c r="L55" i="84"/>
  <c r="N55" i="84" s="1"/>
  <c r="B55" i="84"/>
  <c r="Z54" i="84"/>
  <c r="X54" i="84"/>
  <c r="R54" i="84"/>
  <c r="N54" i="84"/>
  <c r="L54" i="84"/>
  <c r="B54" i="84"/>
  <c r="T53" i="84"/>
  <c r="X53" i="84" s="1"/>
  <c r="Z53" i="84" s="1"/>
  <c r="P53" i="84"/>
  <c r="N53" i="84"/>
  <c r="H53" i="84"/>
  <c r="D53" i="84"/>
  <c r="L53" i="84" s="1"/>
  <c r="B53" i="84"/>
  <c r="X52" i="84"/>
  <c r="Z52" i="84" s="1"/>
  <c r="N52" i="84"/>
  <c r="L52" i="84"/>
  <c r="B52" i="84"/>
  <c r="X51" i="84"/>
  <c r="T51" i="84"/>
  <c r="P51" i="84"/>
  <c r="H51" i="84"/>
  <c r="N51" i="84" s="1"/>
  <c r="D51" i="84"/>
  <c r="L51" i="84" s="1"/>
  <c r="B51" i="84"/>
  <c r="Z50" i="84"/>
  <c r="X50" i="84"/>
  <c r="N50" i="84"/>
  <c r="L50" i="84"/>
  <c r="B50" i="84"/>
  <c r="T49" i="84"/>
  <c r="P49" i="84"/>
  <c r="H49" i="84"/>
  <c r="D49" i="84"/>
  <c r="L49" i="84" s="1"/>
  <c r="N49" i="84" s="1"/>
  <c r="B49" i="84"/>
  <c r="Z48" i="84"/>
  <c r="X48" i="84"/>
  <c r="N48" i="84"/>
  <c r="L48" i="84"/>
  <c r="B48" i="84"/>
  <c r="T47" i="84"/>
  <c r="P47" i="84"/>
  <c r="N47" i="84"/>
  <c r="H47" i="84"/>
  <c r="L47" i="84" s="1"/>
  <c r="D47" i="84"/>
  <c r="B47" i="84"/>
  <c r="X46" i="84"/>
  <c r="Z46" i="84" s="1"/>
  <c r="N46" i="84"/>
  <c r="L46" i="84"/>
  <c r="B46" i="84"/>
  <c r="T45" i="84"/>
  <c r="P45" i="84"/>
  <c r="X45" i="84" s="1"/>
  <c r="L45" i="84"/>
  <c r="H45" i="84"/>
  <c r="D45" i="84"/>
  <c r="B45" i="84"/>
  <c r="X44" i="84"/>
  <c r="Z44" i="84" s="1"/>
  <c r="R44" i="84"/>
  <c r="N44" i="84"/>
  <c r="L44" i="84"/>
  <c r="B44" i="84"/>
  <c r="T43" i="84"/>
  <c r="R43" i="84"/>
  <c r="P43" i="84"/>
  <c r="X43" i="84" s="1"/>
  <c r="Z43" i="84" s="1"/>
  <c r="H43" i="84"/>
  <c r="D43" i="84"/>
  <c r="B43" i="84"/>
  <c r="Z42" i="84"/>
  <c r="X42" i="84"/>
  <c r="N42" i="84"/>
  <c r="L42" i="84"/>
  <c r="B42" i="84"/>
  <c r="T41" i="84"/>
  <c r="P41" i="84"/>
  <c r="N41" i="84"/>
  <c r="H41" i="84"/>
  <c r="D41" i="84"/>
  <c r="B41" i="84"/>
  <c r="X40" i="84"/>
  <c r="Z40" i="84" s="1"/>
  <c r="L40" i="84"/>
  <c r="N40" i="84" s="1"/>
  <c r="B40" i="84"/>
  <c r="X39" i="84"/>
  <c r="T39" i="84"/>
  <c r="P39" i="84"/>
  <c r="J39" i="84"/>
  <c r="H39" i="84"/>
  <c r="D39" i="84"/>
  <c r="L39" i="84" s="1"/>
  <c r="B39" i="84"/>
  <c r="Z38" i="84"/>
  <c r="X38" i="84"/>
  <c r="N38" i="84"/>
  <c r="L38" i="84"/>
  <c r="B38" i="84"/>
  <c r="X37" i="84"/>
  <c r="Z37" i="84" s="1"/>
  <c r="R37" i="84"/>
  <c r="N37" i="84"/>
  <c r="L37" i="84"/>
  <c r="B37" i="84"/>
  <c r="X36" i="84"/>
  <c r="Z36" i="84" s="1"/>
  <c r="R36" i="84"/>
  <c r="N36" i="84"/>
  <c r="L36" i="84"/>
  <c r="B36" i="84"/>
  <c r="Z35" i="84"/>
  <c r="X35" i="84"/>
  <c r="N35" i="84"/>
  <c r="L35" i="84"/>
  <c r="B35" i="84"/>
  <c r="Z34" i="84"/>
  <c r="X34" i="84"/>
  <c r="N34" i="84"/>
  <c r="L34" i="84"/>
  <c r="B34" i="84"/>
  <c r="Z33" i="84"/>
  <c r="X33" i="84"/>
  <c r="R33" i="84"/>
  <c r="N33" i="84"/>
  <c r="L33" i="84"/>
  <c r="B33" i="84"/>
  <c r="T32" i="84"/>
  <c r="R32" i="84"/>
  <c r="P32" i="84"/>
  <c r="H32" i="84"/>
  <c r="L32" i="84" s="1"/>
  <c r="N32" i="84" s="1"/>
  <c r="D32" i="84"/>
  <c r="B32" i="84"/>
  <c r="Z31" i="84"/>
  <c r="X31" i="84"/>
  <c r="R31" i="84"/>
  <c r="L31" i="84"/>
  <c r="N31" i="84" s="1"/>
  <c r="B31" i="84"/>
  <c r="Z30" i="84"/>
  <c r="X30" i="84"/>
  <c r="R30" i="84"/>
  <c r="N30" i="84"/>
  <c r="L30" i="84"/>
  <c r="J30" i="84"/>
  <c r="B30" i="84"/>
  <c r="Z29" i="84"/>
  <c r="X29" i="84"/>
  <c r="N29" i="84"/>
  <c r="L29" i="84"/>
  <c r="B29" i="84"/>
  <c r="Z28" i="84"/>
  <c r="X28" i="84"/>
  <c r="N28" i="84"/>
  <c r="L28" i="84"/>
  <c r="B28" i="84"/>
  <c r="X27" i="84"/>
  <c r="Z27" i="84" s="1"/>
  <c r="R27" i="84"/>
  <c r="N27" i="84"/>
  <c r="L27" i="84"/>
  <c r="B27" i="84"/>
  <c r="Z26" i="84"/>
  <c r="X26" i="84"/>
  <c r="R26" i="84"/>
  <c r="N26" i="84"/>
  <c r="L26" i="84"/>
  <c r="B26" i="84"/>
  <c r="Z25" i="84"/>
  <c r="X25" i="84"/>
  <c r="N25" i="84"/>
  <c r="L25" i="84"/>
  <c r="B25" i="84"/>
  <c r="Z24" i="84"/>
  <c r="X24" i="84"/>
  <c r="L24" i="84"/>
  <c r="N24" i="84" s="1"/>
  <c r="B24" i="84"/>
  <c r="X23" i="84"/>
  <c r="Z23" i="84" s="1"/>
  <c r="T23" i="84"/>
  <c r="P23" i="84"/>
  <c r="H23" i="84"/>
  <c r="N23" i="84" s="1"/>
  <c r="D23" i="84"/>
  <c r="L23" i="84" s="1"/>
  <c r="B23" i="84"/>
  <c r="X22" i="84"/>
  <c r="T22" i="84"/>
  <c r="Z22" i="84" s="1"/>
  <c r="P22" i="84"/>
  <c r="R22" i="84" s="1"/>
  <c r="H22" i="84"/>
  <c r="D22" i="84"/>
  <c r="L22" i="84" s="1"/>
  <c r="Z18" i="84"/>
  <c r="X18" i="84"/>
  <c r="N18" i="84"/>
  <c r="L18" i="84"/>
  <c r="B18" i="84"/>
  <c r="Z17" i="84"/>
  <c r="X17" i="84"/>
  <c r="V17" i="84"/>
  <c r="R17" i="84"/>
  <c r="N17" i="84"/>
  <c r="L17" i="84"/>
  <c r="B17" i="84"/>
  <c r="T16" i="84"/>
  <c r="P16" i="84"/>
  <c r="X16" i="84" s="1"/>
  <c r="L16" i="84"/>
  <c r="N16" i="84" s="1"/>
  <c r="H16" i="84"/>
  <c r="D16" i="84"/>
  <c r="X14" i="84"/>
  <c r="T14" i="84"/>
  <c r="P14" i="84"/>
  <c r="P12" i="84" s="1"/>
  <c r="R57" i="84" s="1"/>
  <c r="H14" i="84"/>
  <c r="N14" i="84" s="1"/>
  <c r="D14" i="84"/>
  <c r="L14" i="84" s="1"/>
  <c r="B14" i="84"/>
  <c r="X13" i="84"/>
  <c r="T13" i="84"/>
  <c r="Z13" i="84" s="1"/>
  <c r="P13" i="84"/>
  <c r="N13" i="84"/>
  <c r="L13" i="84"/>
  <c r="H13" i="84"/>
  <c r="H12" i="84" s="1"/>
  <c r="J44" i="84" s="1"/>
  <c r="D13" i="84"/>
  <c r="B13" i="84"/>
  <c r="T12" i="84"/>
  <c r="V23" i="84" s="1"/>
  <c r="D6" i="84"/>
  <c r="D4" i="84"/>
  <c r="X73" i="83"/>
  <c r="Z73" i="83" s="1"/>
  <c r="N73" i="83"/>
  <c r="L73" i="83"/>
  <c r="F71" i="83"/>
  <c r="T69" i="83"/>
  <c r="Z69" i="83" s="1"/>
  <c r="P69" i="83"/>
  <c r="X69" i="83" s="1"/>
  <c r="N69" i="83"/>
  <c r="L69" i="83"/>
  <c r="H69" i="83"/>
  <c r="D69" i="83"/>
  <c r="D68" i="83" s="1"/>
  <c r="B69" i="83"/>
  <c r="N68" i="83"/>
  <c r="L68" i="83"/>
  <c r="H68" i="83"/>
  <c r="Z66" i="83"/>
  <c r="X66" i="83"/>
  <c r="N66" i="83"/>
  <c r="L66" i="83"/>
  <c r="B66" i="83"/>
  <c r="T65" i="83"/>
  <c r="P65" i="83"/>
  <c r="X65" i="83" s="1"/>
  <c r="Z65" i="83" s="1"/>
  <c r="L65" i="83"/>
  <c r="H65" i="83"/>
  <c r="N65" i="83" s="1"/>
  <c r="D65" i="83"/>
  <c r="B65" i="83"/>
  <c r="Z64" i="83"/>
  <c r="X64" i="83"/>
  <c r="N64" i="83"/>
  <c r="L64" i="83"/>
  <c r="J64" i="83"/>
  <c r="B64" i="83"/>
  <c r="T63" i="83"/>
  <c r="P63" i="83"/>
  <c r="X63" i="83" s="1"/>
  <c r="Z63" i="83" s="1"/>
  <c r="H63" i="83"/>
  <c r="D63" i="83"/>
  <c r="L63" i="83" s="1"/>
  <c r="B63" i="83"/>
  <c r="X62" i="83"/>
  <c r="Z62" i="83" s="1"/>
  <c r="N62" i="83"/>
  <c r="L62" i="83"/>
  <c r="B62" i="83"/>
  <c r="X61" i="83"/>
  <c r="Z61" i="83" s="1"/>
  <c r="N61" i="83"/>
  <c r="L61" i="83"/>
  <c r="B61" i="83"/>
  <c r="Z60" i="83"/>
  <c r="X60" i="83"/>
  <c r="N60" i="83"/>
  <c r="L60" i="83"/>
  <c r="B60" i="83"/>
  <c r="X59" i="83"/>
  <c r="Z59" i="83" s="1"/>
  <c r="N59" i="83"/>
  <c r="L59" i="83"/>
  <c r="F59" i="83"/>
  <c r="B59" i="83"/>
  <c r="X58" i="83"/>
  <c r="Z58" i="83" s="1"/>
  <c r="N58" i="83"/>
  <c r="L58" i="83"/>
  <c r="B58" i="83"/>
  <c r="Z57" i="83"/>
  <c r="X57" i="83"/>
  <c r="N57" i="83"/>
  <c r="L57" i="83"/>
  <c r="B57" i="83"/>
  <c r="T56" i="83"/>
  <c r="P56" i="83"/>
  <c r="L56" i="83"/>
  <c r="H56" i="83"/>
  <c r="N56" i="83" s="1"/>
  <c r="D56" i="83"/>
  <c r="B56" i="83"/>
  <c r="X55" i="83"/>
  <c r="Z55" i="83" s="1"/>
  <c r="N55" i="83"/>
  <c r="L55" i="83"/>
  <c r="B55" i="83"/>
  <c r="Z54" i="83"/>
  <c r="X54" i="83"/>
  <c r="N54" i="83"/>
  <c r="L54" i="83"/>
  <c r="B54" i="83"/>
  <c r="Z53" i="83"/>
  <c r="X53" i="83"/>
  <c r="N53" i="83"/>
  <c r="L53" i="83"/>
  <c r="B53" i="83"/>
  <c r="X52" i="83"/>
  <c r="Z52" i="83" s="1"/>
  <c r="T52" i="83"/>
  <c r="P52" i="83"/>
  <c r="N52" i="83"/>
  <c r="H52" i="83"/>
  <c r="D52" i="83"/>
  <c r="L52" i="83" s="1"/>
  <c r="B52" i="83"/>
  <c r="Z51" i="83"/>
  <c r="X51" i="83"/>
  <c r="N51" i="83"/>
  <c r="L51" i="83"/>
  <c r="J51" i="83"/>
  <c r="B51" i="83"/>
  <c r="Z50" i="83"/>
  <c r="X50" i="83"/>
  <c r="N50" i="83"/>
  <c r="L50" i="83"/>
  <c r="B50" i="83"/>
  <c r="X49" i="83"/>
  <c r="Z49" i="83" s="1"/>
  <c r="N49" i="83"/>
  <c r="L49" i="83"/>
  <c r="B49" i="83"/>
  <c r="T48" i="83"/>
  <c r="P48" i="83"/>
  <c r="L48" i="83"/>
  <c r="H48" i="83"/>
  <c r="N48" i="83" s="1"/>
  <c r="D48" i="83"/>
  <c r="B48" i="83"/>
  <c r="X47" i="83"/>
  <c r="Z47" i="83" s="1"/>
  <c r="N47" i="83"/>
  <c r="L47" i="83"/>
  <c r="B47" i="83"/>
  <c r="X46" i="83"/>
  <c r="V46" i="83"/>
  <c r="T46" i="83"/>
  <c r="Z46" i="83" s="1"/>
  <c r="P46" i="83"/>
  <c r="H46" i="83"/>
  <c r="N46" i="83" s="1"/>
  <c r="D46" i="83"/>
  <c r="B46" i="83"/>
  <c r="Z45" i="83"/>
  <c r="X45" i="83"/>
  <c r="R45" i="83"/>
  <c r="N45" i="83"/>
  <c r="L45" i="83"/>
  <c r="B45" i="83"/>
  <c r="X44" i="83"/>
  <c r="Z44" i="83" s="1"/>
  <c r="T44" i="83"/>
  <c r="P44" i="83"/>
  <c r="N44" i="83"/>
  <c r="L44" i="83"/>
  <c r="J44" i="83"/>
  <c r="H44" i="83"/>
  <c r="D44" i="83"/>
  <c r="B44" i="83"/>
  <c r="Z43" i="83"/>
  <c r="X43" i="83"/>
  <c r="N43" i="83"/>
  <c r="L43" i="83"/>
  <c r="F43" i="83"/>
  <c r="B43" i="83"/>
  <c r="T42" i="83"/>
  <c r="P42" i="83"/>
  <c r="X42" i="83" s="1"/>
  <c r="Z42" i="83" s="1"/>
  <c r="H42" i="83"/>
  <c r="N42" i="83" s="1"/>
  <c r="F42" i="83"/>
  <c r="D42" i="83"/>
  <c r="B42" i="83"/>
  <c r="Z41" i="83"/>
  <c r="X41" i="83"/>
  <c r="N41" i="83"/>
  <c r="L41" i="83"/>
  <c r="B41" i="83"/>
  <c r="X40" i="83"/>
  <c r="T40" i="83"/>
  <c r="P40" i="83"/>
  <c r="H40" i="83"/>
  <c r="N40" i="83" s="1"/>
  <c r="D40" i="83"/>
  <c r="B40" i="83"/>
  <c r="Z39" i="83"/>
  <c r="X39" i="83"/>
  <c r="V39" i="83"/>
  <c r="N39" i="83"/>
  <c r="L39" i="83"/>
  <c r="B39" i="83"/>
  <c r="T38" i="83"/>
  <c r="P38" i="83"/>
  <c r="H38" i="83"/>
  <c r="N38" i="83" s="1"/>
  <c r="D38" i="83"/>
  <c r="L38" i="83" s="1"/>
  <c r="B38" i="83"/>
  <c r="X37" i="83"/>
  <c r="Z37" i="83" s="1"/>
  <c r="V37" i="83"/>
  <c r="N37" i="83"/>
  <c r="L37" i="83"/>
  <c r="B37" i="83"/>
  <c r="X36" i="83"/>
  <c r="Z36" i="83" s="1"/>
  <c r="N36" i="83"/>
  <c r="L36" i="83"/>
  <c r="F36" i="83"/>
  <c r="B36" i="83"/>
  <c r="Z35" i="83"/>
  <c r="X35" i="83"/>
  <c r="N35" i="83"/>
  <c r="L35" i="83"/>
  <c r="B35" i="83"/>
  <c r="X34" i="83"/>
  <c r="Z34" i="83" s="1"/>
  <c r="N34" i="83"/>
  <c r="L34" i="83"/>
  <c r="B34" i="83"/>
  <c r="X33" i="83"/>
  <c r="Z33" i="83" s="1"/>
  <c r="V33" i="83"/>
  <c r="N33" i="83"/>
  <c r="L33" i="83"/>
  <c r="B33" i="83"/>
  <c r="T32" i="83"/>
  <c r="P32" i="83"/>
  <c r="X32" i="83" s="1"/>
  <c r="Z32" i="83" s="1"/>
  <c r="L32" i="83"/>
  <c r="H32" i="83"/>
  <c r="N32" i="83" s="1"/>
  <c r="D32" i="83"/>
  <c r="B32" i="83"/>
  <c r="Z31" i="83"/>
  <c r="X31" i="83"/>
  <c r="N31" i="83"/>
  <c r="L31" i="83"/>
  <c r="J31" i="83"/>
  <c r="B31" i="83"/>
  <c r="X30" i="83"/>
  <c r="Z30" i="83" s="1"/>
  <c r="L30" i="83"/>
  <c r="N30" i="83" s="1"/>
  <c r="F30" i="83"/>
  <c r="B30" i="83"/>
  <c r="Z29" i="83"/>
  <c r="X29" i="83"/>
  <c r="N29" i="83"/>
  <c r="L29" i="83"/>
  <c r="B29" i="83"/>
  <c r="X28" i="83"/>
  <c r="Z28" i="83" s="1"/>
  <c r="N28" i="83"/>
  <c r="L28" i="83"/>
  <c r="B28" i="83"/>
  <c r="Z27" i="83"/>
  <c r="X27" i="83"/>
  <c r="N27" i="83"/>
  <c r="L27" i="83"/>
  <c r="J27" i="83"/>
  <c r="B27" i="83"/>
  <c r="X26" i="83"/>
  <c r="Z26" i="83" s="1"/>
  <c r="L26" i="83"/>
  <c r="N26" i="83" s="1"/>
  <c r="F26" i="83"/>
  <c r="B26" i="83"/>
  <c r="Z25" i="83"/>
  <c r="X25" i="83"/>
  <c r="N25" i="83"/>
  <c r="L25" i="83"/>
  <c r="B25" i="83"/>
  <c r="X24" i="83"/>
  <c r="Z24" i="83" s="1"/>
  <c r="L24" i="83"/>
  <c r="N24" i="83" s="1"/>
  <c r="B24" i="83"/>
  <c r="T23" i="83"/>
  <c r="P23" i="83"/>
  <c r="X23" i="83" s="1"/>
  <c r="Z23" i="83" s="1"/>
  <c r="N23" i="83"/>
  <c r="L23" i="83"/>
  <c r="H23" i="83"/>
  <c r="D23" i="83"/>
  <c r="B23" i="83"/>
  <c r="T22" i="83"/>
  <c r="P22" i="83"/>
  <c r="H22" i="83"/>
  <c r="D22" i="83"/>
  <c r="L22" i="83" s="1"/>
  <c r="X18" i="83"/>
  <c r="Z18" i="83" s="1"/>
  <c r="N18" i="83"/>
  <c r="L18" i="83"/>
  <c r="B18" i="83"/>
  <c r="Z17" i="83"/>
  <c r="X17" i="83"/>
  <c r="N17" i="83"/>
  <c r="L17" i="83"/>
  <c r="J17" i="83"/>
  <c r="B17" i="83"/>
  <c r="T16" i="83"/>
  <c r="P16" i="83"/>
  <c r="X16" i="83" s="1"/>
  <c r="H16" i="83"/>
  <c r="N16" i="83" s="1"/>
  <c r="D16" i="83"/>
  <c r="T14" i="83"/>
  <c r="P14" i="83"/>
  <c r="X14" i="83" s="1"/>
  <c r="Z14" i="83" s="1"/>
  <c r="N14" i="83"/>
  <c r="L14" i="83"/>
  <c r="H14" i="83"/>
  <c r="D14" i="83"/>
  <c r="B14" i="83"/>
  <c r="T13" i="83"/>
  <c r="T12" i="83" s="1"/>
  <c r="P13" i="83"/>
  <c r="X13" i="83" s="1"/>
  <c r="Z13" i="83" s="1"/>
  <c r="H13" i="83"/>
  <c r="H12" i="83" s="1"/>
  <c r="D13" i="83"/>
  <c r="L13" i="83" s="1"/>
  <c r="B13" i="83"/>
  <c r="P12" i="83"/>
  <c r="R53" i="83" s="1"/>
  <c r="D12" i="83"/>
  <c r="F53" i="83" s="1"/>
  <c r="D6" i="83"/>
  <c r="D4" i="83"/>
  <c r="X77" i="82"/>
  <c r="Z77" i="82" s="1"/>
  <c r="L77" i="82"/>
  <c r="N77" i="82" s="1"/>
  <c r="T73" i="82"/>
  <c r="Z73" i="82" s="1"/>
  <c r="P73" i="82"/>
  <c r="X73" i="82" s="1"/>
  <c r="H73" i="82"/>
  <c r="N73" i="82" s="1"/>
  <c r="D73" i="82"/>
  <c r="X71" i="82"/>
  <c r="Z71" i="82" s="1"/>
  <c r="N71" i="82"/>
  <c r="L71" i="82"/>
  <c r="B71" i="82"/>
  <c r="Z70" i="82"/>
  <c r="V70" i="82"/>
  <c r="T70" i="82"/>
  <c r="X70" i="82" s="1"/>
  <c r="P70" i="82"/>
  <c r="N70" i="82"/>
  <c r="L70" i="82"/>
  <c r="H70" i="82"/>
  <c r="D70" i="82"/>
  <c r="B70" i="82"/>
  <c r="X69" i="82"/>
  <c r="Z69" i="82" s="1"/>
  <c r="L69" i="82"/>
  <c r="N69" i="82" s="1"/>
  <c r="B69" i="82"/>
  <c r="V68" i="82"/>
  <c r="T68" i="82"/>
  <c r="P68" i="82"/>
  <c r="X68" i="82" s="1"/>
  <c r="Z68" i="82" s="1"/>
  <c r="H68" i="82"/>
  <c r="D68" i="82"/>
  <c r="L68" i="82" s="1"/>
  <c r="N68" i="82" s="1"/>
  <c r="B68" i="82"/>
  <c r="X67" i="82"/>
  <c r="Z67" i="82" s="1"/>
  <c r="N67" i="82"/>
  <c r="L67" i="82"/>
  <c r="B67" i="82"/>
  <c r="Z66" i="82"/>
  <c r="X66" i="82"/>
  <c r="N66" i="82"/>
  <c r="L66" i="82"/>
  <c r="B66" i="82"/>
  <c r="X65" i="82"/>
  <c r="Z65" i="82" s="1"/>
  <c r="N65" i="82"/>
  <c r="L65" i="82"/>
  <c r="B65" i="82"/>
  <c r="Z64" i="82"/>
  <c r="X64" i="82"/>
  <c r="N64" i="82"/>
  <c r="L64" i="82"/>
  <c r="B64" i="82"/>
  <c r="X63" i="82"/>
  <c r="Z63" i="82" s="1"/>
  <c r="N63" i="82"/>
  <c r="L63" i="82"/>
  <c r="B63" i="82"/>
  <c r="Z62" i="82"/>
  <c r="X62" i="82"/>
  <c r="N62" i="82"/>
  <c r="L62" i="82"/>
  <c r="B62" i="82"/>
  <c r="X61" i="82"/>
  <c r="T61" i="82"/>
  <c r="Z61" i="82" s="1"/>
  <c r="P61" i="82"/>
  <c r="H61" i="82"/>
  <c r="N61" i="82" s="1"/>
  <c r="D61" i="82"/>
  <c r="B61" i="82"/>
  <c r="Z60" i="82"/>
  <c r="X60" i="82"/>
  <c r="N60" i="82"/>
  <c r="L60" i="82"/>
  <c r="B60" i="82"/>
  <c r="X59" i="82"/>
  <c r="Z59" i="82" s="1"/>
  <c r="N59" i="82"/>
  <c r="L59" i="82"/>
  <c r="B59" i="82"/>
  <c r="Z58" i="82"/>
  <c r="X58" i="82"/>
  <c r="V58" i="82"/>
  <c r="N58" i="82"/>
  <c r="L58" i="82"/>
  <c r="B58" i="82"/>
  <c r="T57" i="82"/>
  <c r="P57" i="82"/>
  <c r="H57" i="82"/>
  <c r="N57" i="82" s="1"/>
  <c r="D57" i="82"/>
  <c r="L57" i="82" s="1"/>
  <c r="B57" i="82"/>
  <c r="X56" i="82"/>
  <c r="Z56" i="82" s="1"/>
  <c r="V56" i="82"/>
  <c r="N56" i="82"/>
  <c r="L56" i="82"/>
  <c r="B56" i="82"/>
  <c r="X55" i="82"/>
  <c r="Z55" i="82" s="1"/>
  <c r="N55" i="82"/>
  <c r="L55" i="82"/>
  <c r="B55" i="82"/>
  <c r="Z54" i="82"/>
  <c r="X54" i="82"/>
  <c r="N54" i="82"/>
  <c r="L54" i="82"/>
  <c r="B54" i="82"/>
  <c r="X53" i="82"/>
  <c r="T53" i="82"/>
  <c r="P53" i="82"/>
  <c r="N53" i="82"/>
  <c r="H53" i="82"/>
  <c r="D53" i="82"/>
  <c r="L53" i="82" s="1"/>
  <c r="B53" i="82"/>
  <c r="Z52" i="82"/>
  <c r="X52" i="82"/>
  <c r="N52" i="82"/>
  <c r="L52" i="82"/>
  <c r="B52" i="82"/>
  <c r="X51" i="82"/>
  <c r="T51" i="82"/>
  <c r="P51" i="82"/>
  <c r="L51" i="82"/>
  <c r="H51" i="82"/>
  <c r="N51" i="82" s="1"/>
  <c r="D51" i="82"/>
  <c r="B51" i="82"/>
  <c r="Z50" i="82"/>
  <c r="X50" i="82"/>
  <c r="V50" i="82"/>
  <c r="N50" i="82"/>
  <c r="L50" i="82"/>
  <c r="B50" i="82"/>
  <c r="T49" i="82"/>
  <c r="P49" i="82"/>
  <c r="X49" i="82" s="1"/>
  <c r="H49" i="82"/>
  <c r="D49" i="82"/>
  <c r="L49" i="82" s="1"/>
  <c r="B49" i="82"/>
  <c r="X48" i="82"/>
  <c r="Z48" i="82" s="1"/>
  <c r="V48" i="82"/>
  <c r="N48" i="82"/>
  <c r="L48" i="82"/>
  <c r="B48" i="82"/>
  <c r="T47" i="82"/>
  <c r="P47" i="82"/>
  <c r="X47" i="82" s="1"/>
  <c r="Z47" i="82" s="1"/>
  <c r="L47" i="82"/>
  <c r="H47" i="82"/>
  <c r="N47" i="82" s="1"/>
  <c r="D47" i="82"/>
  <c r="B47" i="82"/>
  <c r="Z46" i="82"/>
  <c r="X46" i="82"/>
  <c r="N46" i="82"/>
  <c r="L46" i="82"/>
  <c r="B46" i="82"/>
  <c r="X45" i="82"/>
  <c r="T45" i="82"/>
  <c r="Z45" i="82" s="1"/>
  <c r="P45" i="82"/>
  <c r="L45" i="82"/>
  <c r="H45" i="82"/>
  <c r="D45" i="82"/>
  <c r="B45" i="82"/>
  <c r="Z44" i="82"/>
  <c r="X44" i="82"/>
  <c r="N44" i="82"/>
  <c r="L44" i="82"/>
  <c r="B44" i="82"/>
  <c r="T43" i="82"/>
  <c r="Z43" i="82" s="1"/>
  <c r="P43" i="82"/>
  <c r="X43" i="82" s="1"/>
  <c r="H43" i="82"/>
  <c r="N43" i="82" s="1"/>
  <c r="D43" i="82"/>
  <c r="B43" i="82"/>
  <c r="Z42" i="82"/>
  <c r="X42" i="82"/>
  <c r="N42" i="82"/>
  <c r="L42" i="82"/>
  <c r="B42" i="82"/>
  <c r="X41" i="82"/>
  <c r="T41" i="82"/>
  <c r="Z41" i="82" s="1"/>
  <c r="P41" i="82"/>
  <c r="N41" i="82"/>
  <c r="H41" i="82"/>
  <c r="D41" i="82"/>
  <c r="L41" i="82" s="1"/>
  <c r="B41" i="82"/>
  <c r="Z40" i="82"/>
  <c r="X40" i="82"/>
  <c r="N40" i="82"/>
  <c r="L40" i="82"/>
  <c r="B40" i="82"/>
  <c r="T39" i="82"/>
  <c r="P39" i="82"/>
  <c r="L39" i="82"/>
  <c r="H39" i="82"/>
  <c r="N39" i="82" s="1"/>
  <c r="D39" i="82"/>
  <c r="B39" i="82"/>
  <c r="Z38" i="82"/>
  <c r="X38" i="82"/>
  <c r="V38" i="82"/>
  <c r="N38" i="82"/>
  <c r="L38" i="82"/>
  <c r="B38" i="82"/>
  <c r="X37" i="82"/>
  <c r="Z37" i="82" s="1"/>
  <c r="R37" i="82"/>
  <c r="N37" i="82"/>
  <c r="L37" i="82"/>
  <c r="B37" i="82"/>
  <c r="Z36" i="82"/>
  <c r="X36" i="82"/>
  <c r="N36" i="82"/>
  <c r="L36" i="82"/>
  <c r="B36" i="82"/>
  <c r="X35" i="82"/>
  <c r="Z35" i="82" s="1"/>
  <c r="N35" i="82"/>
  <c r="L35" i="82"/>
  <c r="B35" i="82"/>
  <c r="Z34" i="82"/>
  <c r="X34" i="82"/>
  <c r="V34" i="82"/>
  <c r="N34" i="82"/>
  <c r="L34" i="82"/>
  <c r="B34" i="82"/>
  <c r="X33" i="82"/>
  <c r="Z33" i="82" s="1"/>
  <c r="N33" i="82"/>
  <c r="L33" i="82"/>
  <c r="B33" i="82"/>
  <c r="Z32" i="82"/>
  <c r="X32" i="82"/>
  <c r="T32" i="82"/>
  <c r="P32" i="82"/>
  <c r="N32" i="82"/>
  <c r="H32" i="82"/>
  <c r="D32" i="82"/>
  <c r="L32" i="82" s="1"/>
  <c r="B32" i="82"/>
  <c r="X31" i="82"/>
  <c r="Z31" i="82" s="1"/>
  <c r="N31" i="82"/>
  <c r="L31" i="82"/>
  <c r="B31" i="82"/>
  <c r="Z30" i="82"/>
  <c r="X30" i="82"/>
  <c r="N30" i="82"/>
  <c r="L30" i="82"/>
  <c r="B30" i="82"/>
  <c r="X29" i="82"/>
  <c r="Z29" i="82" s="1"/>
  <c r="N29" i="82"/>
  <c r="L29" i="82"/>
  <c r="B29" i="82"/>
  <c r="X28" i="82"/>
  <c r="Z28" i="82" s="1"/>
  <c r="N28" i="82"/>
  <c r="L28" i="82"/>
  <c r="B28" i="82"/>
  <c r="X27" i="82"/>
  <c r="Z27" i="82" s="1"/>
  <c r="N27" i="82"/>
  <c r="L27" i="82"/>
  <c r="B27" i="82"/>
  <c r="Z26" i="82"/>
  <c r="X26" i="82"/>
  <c r="N26" i="82"/>
  <c r="L26" i="82"/>
  <c r="B26" i="82"/>
  <c r="X25" i="82"/>
  <c r="Z25" i="82" s="1"/>
  <c r="N25" i="82"/>
  <c r="L25" i="82"/>
  <c r="B25" i="82"/>
  <c r="X24" i="82"/>
  <c r="Z24" i="82" s="1"/>
  <c r="V24" i="82"/>
  <c r="N24" i="82"/>
  <c r="L24" i="82"/>
  <c r="B24" i="82"/>
  <c r="T23" i="82"/>
  <c r="P23" i="82"/>
  <c r="X23" i="82" s="1"/>
  <c r="Z23" i="82" s="1"/>
  <c r="L23" i="82"/>
  <c r="H23" i="82"/>
  <c r="N23" i="82" s="1"/>
  <c r="D23" i="82"/>
  <c r="B23" i="82"/>
  <c r="T22" i="82"/>
  <c r="P22" i="82"/>
  <c r="X22" i="82" s="1"/>
  <c r="Z22" i="82" s="1"/>
  <c r="H22" i="82"/>
  <c r="N22" i="82" s="1"/>
  <c r="D22" i="82"/>
  <c r="L22" i="82" s="1"/>
  <c r="R20" i="82"/>
  <c r="Z18" i="82"/>
  <c r="X18" i="82"/>
  <c r="N18" i="82"/>
  <c r="L18" i="82"/>
  <c r="B18" i="82"/>
  <c r="X17" i="82"/>
  <c r="Z17" i="82" s="1"/>
  <c r="N17" i="82"/>
  <c r="L17" i="82"/>
  <c r="B17" i="82"/>
  <c r="T16" i="82"/>
  <c r="P16" i="82"/>
  <c r="X16" i="82" s="1"/>
  <c r="Z16" i="82" s="1"/>
  <c r="N16" i="82"/>
  <c r="H16" i="82"/>
  <c r="F16" i="82"/>
  <c r="D16" i="82"/>
  <c r="L16" i="82" s="1"/>
  <c r="T14" i="82"/>
  <c r="X14" i="82" s="1"/>
  <c r="Z14" i="82" s="1"/>
  <c r="P14" i="82"/>
  <c r="N14" i="82"/>
  <c r="L14" i="82"/>
  <c r="H14" i="82"/>
  <c r="D14" i="82"/>
  <c r="B14" i="82"/>
  <c r="T13" i="82"/>
  <c r="T12" i="82" s="1"/>
  <c r="V28" i="82" s="1"/>
  <c r="P13" i="82"/>
  <c r="P12" i="82" s="1"/>
  <c r="R63" i="82" s="1"/>
  <c r="N13" i="82"/>
  <c r="H13" i="82"/>
  <c r="D13" i="82"/>
  <c r="D12" i="82" s="1"/>
  <c r="F65" i="82" s="1"/>
  <c r="B13" i="82"/>
  <c r="H12" i="82"/>
  <c r="D6" i="82"/>
  <c r="D4" i="82"/>
  <c r="J104" i="81"/>
  <c r="J101" i="81"/>
  <c r="Z99" i="81"/>
  <c r="X99" i="81"/>
  <c r="N99" i="81"/>
  <c r="L99" i="81"/>
  <c r="J99" i="81"/>
  <c r="Z95" i="81"/>
  <c r="T95" i="81"/>
  <c r="P95" i="81"/>
  <c r="X95" i="81" s="1"/>
  <c r="N95" i="81"/>
  <c r="H95" i="81"/>
  <c r="F95" i="81"/>
  <c r="D95" i="81"/>
  <c r="L95" i="81" s="1"/>
  <c r="B95" i="81"/>
  <c r="T94" i="81"/>
  <c r="P94" i="81"/>
  <c r="X94" i="81" s="1"/>
  <c r="H94" i="81"/>
  <c r="D94" i="81"/>
  <c r="B94" i="81"/>
  <c r="T93" i="81"/>
  <c r="J93" i="81"/>
  <c r="Z91" i="81"/>
  <c r="X91" i="81"/>
  <c r="N91" i="81"/>
  <c r="L91" i="81"/>
  <c r="B91" i="81"/>
  <c r="X90" i="81"/>
  <c r="T90" i="81"/>
  <c r="Z90" i="81" s="1"/>
  <c r="P90" i="81"/>
  <c r="H90" i="81"/>
  <c r="D90" i="81"/>
  <c r="L90" i="81" s="1"/>
  <c r="N90" i="81" s="1"/>
  <c r="B90" i="81"/>
  <c r="Z89" i="81"/>
  <c r="X89" i="81"/>
  <c r="N89" i="81"/>
  <c r="L89" i="81"/>
  <c r="B89" i="81"/>
  <c r="X88" i="81"/>
  <c r="Z88" i="81" s="1"/>
  <c r="N88" i="81"/>
  <c r="L88" i="81"/>
  <c r="B88" i="81"/>
  <c r="Z87" i="81"/>
  <c r="X87" i="81"/>
  <c r="N87" i="81"/>
  <c r="L87" i="81"/>
  <c r="J87" i="81"/>
  <c r="B87" i="81"/>
  <c r="X86" i="81"/>
  <c r="T86" i="81"/>
  <c r="Z86" i="81" s="1"/>
  <c r="P86" i="81"/>
  <c r="L86" i="81"/>
  <c r="H86" i="81"/>
  <c r="N86" i="81" s="1"/>
  <c r="D86" i="81"/>
  <c r="B86" i="81"/>
  <c r="X85" i="81"/>
  <c r="Z85" i="81" s="1"/>
  <c r="N85" i="81"/>
  <c r="L85" i="81"/>
  <c r="J85" i="81"/>
  <c r="B85" i="81"/>
  <c r="T84" i="81"/>
  <c r="Z84" i="81" s="1"/>
  <c r="P84" i="81"/>
  <c r="X84" i="81" s="1"/>
  <c r="H84" i="81"/>
  <c r="N84" i="81" s="1"/>
  <c r="D84" i="81"/>
  <c r="L84" i="81" s="1"/>
  <c r="B84" i="81"/>
  <c r="Z83" i="81"/>
  <c r="X83" i="81"/>
  <c r="N83" i="81"/>
  <c r="L83" i="81"/>
  <c r="B83" i="81"/>
  <c r="X82" i="81"/>
  <c r="T82" i="81"/>
  <c r="P82" i="81"/>
  <c r="H82" i="81"/>
  <c r="D82" i="81"/>
  <c r="L82" i="81" s="1"/>
  <c r="N82" i="81" s="1"/>
  <c r="B82" i="81"/>
  <c r="Z81" i="81"/>
  <c r="X81" i="81"/>
  <c r="N81" i="81"/>
  <c r="L81" i="81"/>
  <c r="B81" i="81"/>
  <c r="X80" i="81"/>
  <c r="Z80" i="81" s="1"/>
  <c r="N80" i="81"/>
  <c r="L80" i="81"/>
  <c r="B80" i="81"/>
  <c r="Z79" i="81"/>
  <c r="X79" i="81"/>
  <c r="N79" i="81"/>
  <c r="L79" i="81"/>
  <c r="J79" i="81"/>
  <c r="B79" i="81"/>
  <c r="X78" i="81"/>
  <c r="Z78" i="81" s="1"/>
  <c r="N78" i="81"/>
  <c r="L78" i="81"/>
  <c r="F78" i="81"/>
  <c r="B78" i="81"/>
  <c r="Z77" i="81"/>
  <c r="X77" i="81"/>
  <c r="N77" i="81"/>
  <c r="L77" i="81"/>
  <c r="B77" i="81"/>
  <c r="X76" i="81"/>
  <c r="Z76" i="81" s="1"/>
  <c r="N76" i="81"/>
  <c r="L76" i="81"/>
  <c r="B76" i="81"/>
  <c r="Z75" i="81"/>
  <c r="X75" i="81"/>
  <c r="N75" i="81"/>
  <c r="L75" i="81"/>
  <c r="J75" i="81"/>
  <c r="B75" i="81"/>
  <c r="X74" i="81"/>
  <c r="Z74" i="81" s="1"/>
  <c r="L74" i="81"/>
  <c r="N74" i="81" s="1"/>
  <c r="F74" i="81"/>
  <c r="B74" i="81"/>
  <c r="Z73" i="81"/>
  <c r="X73" i="81"/>
  <c r="N73" i="81"/>
  <c r="L73" i="81"/>
  <c r="B73" i="81"/>
  <c r="T72" i="81"/>
  <c r="P72" i="81"/>
  <c r="L72" i="81"/>
  <c r="H72" i="81"/>
  <c r="N72" i="81" s="1"/>
  <c r="D72" i="81"/>
  <c r="B72" i="81"/>
  <c r="Z71" i="81"/>
  <c r="X71" i="81"/>
  <c r="V71" i="81"/>
  <c r="N71" i="81"/>
  <c r="L71" i="81"/>
  <c r="B71" i="81"/>
  <c r="X70" i="81"/>
  <c r="Z70" i="81" s="1"/>
  <c r="N70" i="81"/>
  <c r="L70" i="81"/>
  <c r="B70" i="81"/>
  <c r="X69" i="81"/>
  <c r="Z69" i="81" s="1"/>
  <c r="T69" i="81"/>
  <c r="P69" i="81"/>
  <c r="N69" i="81"/>
  <c r="J69" i="81"/>
  <c r="H69" i="81"/>
  <c r="D69" i="81"/>
  <c r="L69" i="81" s="1"/>
  <c r="B69" i="81"/>
  <c r="Z68" i="81"/>
  <c r="X68" i="81"/>
  <c r="N68" i="81"/>
  <c r="L68" i="81"/>
  <c r="B68" i="81"/>
  <c r="Z67" i="81"/>
  <c r="X67" i="81"/>
  <c r="N67" i="81"/>
  <c r="L67" i="81"/>
  <c r="B67" i="81"/>
  <c r="X66" i="81"/>
  <c r="Z66" i="81" s="1"/>
  <c r="L66" i="81"/>
  <c r="N66" i="81" s="1"/>
  <c r="B66" i="81"/>
  <c r="X65" i="81"/>
  <c r="Z65" i="81" s="1"/>
  <c r="V65" i="81"/>
  <c r="N65" i="81"/>
  <c r="L65" i="81"/>
  <c r="B65" i="81"/>
  <c r="Z64" i="81"/>
  <c r="X64" i="81"/>
  <c r="N64" i="81"/>
  <c r="L64" i="81"/>
  <c r="F64" i="81"/>
  <c r="B64" i="81"/>
  <c r="T63" i="81"/>
  <c r="P63" i="81"/>
  <c r="J63" i="81"/>
  <c r="H63" i="81"/>
  <c r="F63" i="81"/>
  <c r="D63" i="81"/>
  <c r="L63" i="81" s="1"/>
  <c r="B63" i="81"/>
  <c r="X62" i="81"/>
  <c r="Z62" i="81" s="1"/>
  <c r="V62" i="81"/>
  <c r="N62" i="81"/>
  <c r="L62" i="81"/>
  <c r="B62" i="81"/>
  <c r="Z61" i="81"/>
  <c r="X61" i="81"/>
  <c r="L61" i="81"/>
  <c r="N61" i="81" s="1"/>
  <c r="B61" i="81"/>
  <c r="X60" i="81"/>
  <c r="Z60" i="81" s="1"/>
  <c r="N60" i="81"/>
  <c r="L60" i="81"/>
  <c r="B60" i="81"/>
  <c r="Z59" i="81"/>
  <c r="X59" i="81"/>
  <c r="N59" i="81"/>
  <c r="L59" i="81"/>
  <c r="J59" i="81"/>
  <c r="B59" i="81"/>
  <c r="X58" i="81"/>
  <c r="V58" i="81"/>
  <c r="T58" i="81"/>
  <c r="Z58" i="81" s="1"/>
  <c r="P58" i="81"/>
  <c r="H58" i="81"/>
  <c r="D58" i="81"/>
  <c r="B58" i="81"/>
  <c r="X57" i="81"/>
  <c r="Z57" i="81" s="1"/>
  <c r="N57" i="81"/>
  <c r="L57" i="81"/>
  <c r="J57" i="81"/>
  <c r="B57" i="81"/>
  <c r="T56" i="81"/>
  <c r="Z56" i="81" s="1"/>
  <c r="P56" i="81"/>
  <c r="X56" i="81" s="1"/>
  <c r="H56" i="81"/>
  <c r="N56" i="81" s="1"/>
  <c r="D56" i="81"/>
  <c r="B56" i="81"/>
  <c r="Z55" i="81"/>
  <c r="X55" i="81"/>
  <c r="N55" i="81"/>
  <c r="L55" i="81"/>
  <c r="B55" i="81"/>
  <c r="X54" i="81"/>
  <c r="T54" i="81"/>
  <c r="Z54" i="81" s="1"/>
  <c r="P54" i="81"/>
  <c r="H54" i="81"/>
  <c r="D54" i="81"/>
  <c r="L54" i="81" s="1"/>
  <c r="N54" i="81" s="1"/>
  <c r="B54" i="81"/>
  <c r="Z53" i="81"/>
  <c r="X53" i="81"/>
  <c r="N53" i="81"/>
  <c r="L53" i="81"/>
  <c r="B53" i="81"/>
  <c r="X52" i="81"/>
  <c r="T52" i="81"/>
  <c r="P52" i="81"/>
  <c r="L52" i="81"/>
  <c r="J52" i="81"/>
  <c r="H52" i="81"/>
  <c r="N52" i="81" s="1"/>
  <c r="D52" i="81"/>
  <c r="B52" i="81"/>
  <c r="Z51" i="81"/>
  <c r="X51" i="81"/>
  <c r="V51" i="81"/>
  <c r="N51" i="81"/>
  <c r="L51" i="81"/>
  <c r="B51" i="81"/>
  <c r="T50" i="81"/>
  <c r="P50" i="81"/>
  <c r="H50" i="81"/>
  <c r="N50" i="81" s="1"/>
  <c r="F50" i="81"/>
  <c r="D50" i="81"/>
  <c r="L50" i="81" s="1"/>
  <c r="B50" i="81"/>
  <c r="X49" i="81"/>
  <c r="Z49" i="81" s="1"/>
  <c r="V49" i="81"/>
  <c r="N49" i="81"/>
  <c r="L49" i="81"/>
  <c r="B49" i="81"/>
  <c r="Z48" i="81"/>
  <c r="T48" i="81"/>
  <c r="P48" i="81"/>
  <c r="X48" i="81" s="1"/>
  <c r="L48" i="81"/>
  <c r="H48" i="81"/>
  <c r="D48" i="81"/>
  <c r="B48" i="81"/>
  <c r="Z47" i="81"/>
  <c r="X47" i="81"/>
  <c r="N47" i="81"/>
  <c r="L47" i="81"/>
  <c r="J47" i="81"/>
  <c r="B47" i="81"/>
  <c r="X46" i="81"/>
  <c r="V46" i="81"/>
  <c r="T46" i="81"/>
  <c r="Z46" i="81" s="1"/>
  <c r="P46" i="81"/>
  <c r="H46" i="81"/>
  <c r="D46" i="81"/>
  <c r="B46" i="81"/>
  <c r="X45" i="81"/>
  <c r="Z45" i="81" s="1"/>
  <c r="N45" i="81"/>
  <c r="L45" i="81"/>
  <c r="J45" i="81"/>
  <c r="B45" i="81"/>
  <c r="T44" i="81"/>
  <c r="Z44" i="81" s="1"/>
  <c r="R44" i="81"/>
  <c r="P44" i="81"/>
  <c r="X44" i="81" s="1"/>
  <c r="H44" i="81"/>
  <c r="N44" i="81" s="1"/>
  <c r="D44" i="81"/>
  <c r="L44" i="81" s="1"/>
  <c r="B44" i="81"/>
  <c r="Z43" i="81"/>
  <c r="X43" i="81"/>
  <c r="V43" i="81"/>
  <c r="N43" i="81"/>
  <c r="L43" i="81"/>
  <c r="B43" i="81"/>
  <c r="X42" i="81"/>
  <c r="Z42" i="81" s="1"/>
  <c r="L42" i="81"/>
  <c r="N42" i="81" s="1"/>
  <c r="J42" i="81"/>
  <c r="B42" i="81"/>
  <c r="X41" i="81"/>
  <c r="Z41" i="81" s="1"/>
  <c r="V41" i="81"/>
  <c r="N41" i="81"/>
  <c r="L41" i="81"/>
  <c r="B41" i="81"/>
  <c r="Z40" i="81"/>
  <c r="T40" i="81"/>
  <c r="P40" i="81"/>
  <c r="X40" i="81" s="1"/>
  <c r="L40" i="81"/>
  <c r="H40" i="81"/>
  <c r="D40" i="81"/>
  <c r="B40" i="81"/>
  <c r="Z39" i="81"/>
  <c r="X39" i="81"/>
  <c r="N39" i="81"/>
  <c r="L39" i="81"/>
  <c r="J39" i="81"/>
  <c r="B39" i="81"/>
  <c r="X38" i="81"/>
  <c r="V38" i="81"/>
  <c r="T38" i="81"/>
  <c r="Z38" i="81" s="1"/>
  <c r="P38" i="81"/>
  <c r="H38" i="81"/>
  <c r="D38" i="81"/>
  <c r="B38" i="81"/>
  <c r="X37" i="81"/>
  <c r="Z37" i="81" s="1"/>
  <c r="V37" i="81"/>
  <c r="N37" i="81"/>
  <c r="L37" i="81"/>
  <c r="J37" i="81"/>
  <c r="B37" i="81"/>
  <c r="T36" i="81"/>
  <c r="Z36" i="81" s="1"/>
  <c r="P36" i="81"/>
  <c r="X36" i="81" s="1"/>
  <c r="H36" i="81"/>
  <c r="N36" i="81" s="1"/>
  <c r="D36" i="81"/>
  <c r="B36" i="81"/>
  <c r="Z35" i="81"/>
  <c r="X35" i="81"/>
  <c r="V35" i="81"/>
  <c r="R35" i="81"/>
  <c r="N35" i="81"/>
  <c r="L35" i="81"/>
  <c r="B35" i="81"/>
  <c r="X34" i="81"/>
  <c r="Z34" i="81" s="1"/>
  <c r="N34" i="81"/>
  <c r="L34" i="81"/>
  <c r="J34" i="81"/>
  <c r="B34" i="81"/>
  <c r="X33" i="81"/>
  <c r="Z33" i="81" s="1"/>
  <c r="V33" i="81"/>
  <c r="N33" i="81"/>
  <c r="L33" i="81"/>
  <c r="B33" i="81"/>
  <c r="Z32" i="81"/>
  <c r="X32" i="81"/>
  <c r="N32" i="81"/>
  <c r="L32" i="81"/>
  <c r="F32" i="81"/>
  <c r="B32" i="81"/>
  <c r="Z31" i="81"/>
  <c r="X31" i="81"/>
  <c r="V31" i="81"/>
  <c r="N31" i="81"/>
  <c r="L31" i="81"/>
  <c r="B31" i="81"/>
  <c r="X30" i="81"/>
  <c r="Z30" i="81" s="1"/>
  <c r="N30" i="81"/>
  <c r="L30" i="81"/>
  <c r="J30" i="81"/>
  <c r="B30" i="81"/>
  <c r="V29" i="81"/>
  <c r="T29" i="81"/>
  <c r="Z29" i="81" s="1"/>
  <c r="R29" i="81"/>
  <c r="P29" i="81"/>
  <c r="X29" i="81" s="1"/>
  <c r="J29" i="81"/>
  <c r="H29" i="81"/>
  <c r="D29" i="81"/>
  <c r="B29" i="81"/>
  <c r="X28" i="81"/>
  <c r="Z28" i="81" s="1"/>
  <c r="L28" i="81"/>
  <c r="N28" i="81" s="1"/>
  <c r="B28" i="81"/>
  <c r="Z27" i="81"/>
  <c r="X27" i="81"/>
  <c r="N27" i="81"/>
  <c r="L27" i="81"/>
  <c r="J27" i="81"/>
  <c r="B27" i="81"/>
  <c r="X26" i="81"/>
  <c r="Z26" i="81" s="1"/>
  <c r="V26" i="81"/>
  <c r="N26" i="81"/>
  <c r="L26" i="81"/>
  <c r="B26" i="81"/>
  <c r="Z25" i="81"/>
  <c r="X25" i="81"/>
  <c r="V25" i="81"/>
  <c r="N25" i="81"/>
  <c r="L25" i="81"/>
  <c r="J25" i="81"/>
  <c r="B25" i="81"/>
  <c r="X24" i="81"/>
  <c r="Z24" i="81" s="1"/>
  <c r="L24" i="81"/>
  <c r="N24" i="81" s="1"/>
  <c r="B24" i="81"/>
  <c r="Z23" i="81"/>
  <c r="X23" i="81"/>
  <c r="N23" i="81"/>
  <c r="L23" i="81"/>
  <c r="J23" i="81"/>
  <c r="B23" i="81"/>
  <c r="X22" i="81"/>
  <c r="Z22" i="81" s="1"/>
  <c r="V22" i="81"/>
  <c r="N22" i="81"/>
  <c r="L22" i="81"/>
  <c r="B22" i="81"/>
  <c r="Z21" i="81"/>
  <c r="X21" i="81"/>
  <c r="V21" i="81"/>
  <c r="L21" i="81"/>
  <c r="N21" i="81" s="1"/>
  <c r="J21" i="81"/>
  <c r="B21" i="81"/>
  <c r="X20" i="81"/>
  <c r="Z20" i="81" s="1"/>
  <c r="L20" i="81"/>
  <c r="N20" i="81" s="1"/>
  <c r="B20" i="81"/>
  <c r="Z19" i="81"/>
  <c r="X19" i="81"/>
  <c r="T19" i="81"/>
  <c r="R19" i="81"/>
  <c r="P19" i="81"/>
  <c r="J19" i="81"/>
  <c r="H19" i="81"/>
  <c r="F19" i="81"/>
  <c r="D19" i="81"/>
  <c r="L19" i="81" s="1"/>
  <c r="N19" i="81" s="1"/>
  <c r="B19" i="81"/>
  <c r="T18" i="81"/>
  <c r="P18" i="81"/>
  <c r="H18" i="81"/>
  <c r="F18" i="81"/>
  <c r="D18" i="81"/>
  <c r="H16" i="81"/>
  <c r="F16" i="81"/>
  <c r="T14" i="81"/>
  <c r="P14" i="81"/>
  <c r="P16" i="81" s="1"/>
  <c r="H14" i="81"/>
  <c r="N14" i="81" s="1"/>
  <c r="F14" i="81"/>
  <c r="D14" i="81"/>
  <c r="L14" i="81" s="1"/>
  <c r="Z12" i="81"/>
  <c r="T12" i="81"/>
  <c r="V90" i="81" s="1"/>
  <c r="P12" i="81"/>
  <c r="R88" i="81" s="1"/>
  <c r="L12" i="81"/>
  <c r="H12" i="81"/>
  <c r="J70" i="81" s="1"/>
  <c r="D12" i="81"/>
  <c r="D6" i="81"/>
  <c r="D4" i="81"/>
  <c r="Z78" i="80"/>
  <c r="X78" i="80"/>
  <c r="L78" i="80"/>
  <c r="N78" i="80" s="1"/>
  <c r="X74" i="80"/>
  <c r="T74" i="80"/>
  <c r="Z74" i="80" s="1"/>
  <c r="P74" i="80"/>
  <c r="H74" i="80"/>
  <c r="N74" i="80" s="1"/>
  <c r="D74" i="80"/>
  <c r="L74" i="80" s="1"/>
  <c r="X72" i="80"/>
  <c r="Z72" i="80" s="1"/>
  <c r="N72" i="80"/>
  <c r="L72" i="80"/>
  <c r="B72" i="80"/>
  <c r="V71" i="80"/>
  <c r="T71" i="80"/>
  <c r="P71" i="80"/>
  <c r="X71" i="80" s="1"/>
  <c r="Z71" i="80" s="1"/>
  <c r="N71" i="80"/>
  <c r="L71" i="80"/>
  <c r="H71" i="80"/>
  <c r="D71" i="80"/>
  <c r="B71" i="80"/>
  <c r="X70" i="80"/>
  <c r="Z70" i="80" s="1"/>
  <c r="N70" i="80"/>
  <c r="L70" i="80"/>
  <c r="B70" i="80"/>
  <c r="T69" i="80"/>
  <c r="Z69" i="80" s="1"/>
  <c r="P69" i="80"/>
  <c r="X69" i="80" s="1"/>
  <c r="N69" i="80"/>
  <c r="J69" i="80"/>
  <c r="H69" i="80"/>
  <c r="D69" i="80"/>
  <c r="L69" i="80" s="1"/>
  <c r="B69" i="80"/>
  <c r="X68" i="80"/>
  <c r="Z68" i="80" s="1"/>
  <c r="L68" i="80"/>
  <c r="N68" i="80" s="1"/>
  <c r="B68" i="80"/>
  <c r="Z67" i="80"/>
  <c r="X67" i="80"/>
  <c r="T67" i="80"/>
  <c r="P67" i="80"/>
  <c r="N67" i="80"/>
  <c r="H67" i="80"/>
  <c r="D67" i="80"/>
  <c r="L67" i="80" s="1"/>
  <c r="B67" i="80"/>
  <c r="Z66" i="80"/>
  <c r="X66" i="80"/>
  <c r="N66" i="80"/>
  <c r="L66" i="80"/>
  <c r="B66" i="80"/>
  <c r="Z65" i="80"/>
  <c r="X65" i="80"/>
  <c r="N65" i="80"/>
  <c r="L65" i="80"/>
  <c r="B65" i="80"/>
  <c r="X64" i="80"/>
  <c r="Z64" i="80" s="1"/>
  <c r="N64" i="80"/>
  <c r="L64" i="80"/>
  <c r="B64" i="80"/>
  <c r="Z63" i="80"/>
  <c r="X63" i="80"/>
  <c r="N63" i="80"/>
  <c r="L63" i="80"/>
  <c r="B63" i="80"/>
  <c r="Z62" i="80"/>
  <c r="X62" i="80"/>
  <c r="N62" i="80"/>
  <c r="L62" i="80"/>
  <c r="B62" i="80"/>
  <c r="Z61" i="80"/>
  <c r="X61" i="80"/>
  <c r="N61" i="80"/>
  <c r="L61" i="80"/>
  <c r="B61" i="80"/>
  <c r="X60" i="80"/>
  <c r="T60" i="80"/>
  <c r="P60" i="80"/>
  <c r="N60" i="80"/>
  <c r="H60" i="80"/>
  <c r="D60" i="80"/>
  <c r="L60" i="80" s="1"/>
  <c r="B60" i="80"/>
  <c r="Z59" i="80"/>
  <c r="X59" i="80"/>
  <c r="N59" i="80"/>
  <c r="L59" i="80"/>
  <c r="B59" i="80"/>
  <c r="X58" i="80"/>
  <c r="Z58" i="80" s="1"/>
  <c r="N58" i="80"/>
  <c r="L58" i="80"/>
  <c r="B58" i="80"/>
  <c r="V57" i="80"/>
  <c r="T57" i="80"/>
  <c r="P57" i="80"/>
  <c r="X57" i="80" s="1"/>
  <c r="Z57" i="80" s="1"/>
  <c r="L57" i="80"/>
  <c r="H57" i="80"/>
  <c r="N57" i="80" s="1"/>
  <c r="D57" i="80"/>
  <c r="B57" i="80"/>
  <c r="X56" i="80"/>
  <c r="Z56" i="80" s="1"/>
  <c r="N56" i="80"/>
  <c r="L56" i="80"/>
  <c r="B56" i="80"/>
  <c r="Z55" i="80"/>
  <c r="X55" i="80"/>
  <c r="N55" i="80"/>
  <c r="L55" i="80"/>
  <c r="J55" i="80"/>
  <c r="B55" i="80"/>
  <c r="X54" i="80"/>
  <c r="Z54" i="80" s="1"/>
  <c r="N54" i="80"/>
  <c r="L54" i="80"/>
  <c r="B54" i="80"/>
  <c r="Z53" i="80"/>
  <c r="X53" i="80"/>
  <c r="T53" i="80"/>
  <c r="P53" i="80"/>
  <c r="N53" i="80"/>
  <c r="L53" i="80"/>
  <c r="H53" i="80"/>
  <c r="D53" i="80"/>
  <c r="B53" i="80"/>
  <c r="Z52" i="80"/>
  <c r="X52" i="80"/>
  <c r="N52" i="80"/>
  <c r="L52" i="80"/>
  <c r="B52" i="80"/>
  <c r="T51" i="80"/>
  <c r="P51" i="80"/>
  <c r="X51" i="80" s="1"/>
  <c r="Z51" i="80" s="1"/>
  <c r="L51" i="80"/>
  <c r="H51" i="80"/>
  <c r="N51" i="80" s="1"/>
  <c r="D51" i="80"/>
  <c r="B51" i="80"/>
  <c r="X50" i="80"/>
  <c r="Z50" i="80" s="1"/>
  <c r="L50" i="80"/>
  <c r="N50" i="80" s="1"/>
  <c r="B50" i="80"/>
  <c r="V49" i="80"/>
  <c r="T49" i="80"/>
  <c r="P49" i="80"/>
  <c r="X49" i="80" s="1"/>
  <c r="Z49" i="80" s="1"/>
  <c r="H49" i="80"/>
  <c r="N49" i="80" s="1"/>
  <c r="D49" i="80"/>
  <c r="L49" i="80" s="1"/>
  <c r="B49" i="80"/>
  <c r="X48" i="80"/>
  <c r="Z48" i="80" s="1"/>
  <c r="N48" i="80"/>
  <c r="L48" i="80"/>
  <c r="B48" i="80"/>
  <c r="X47" i="80"/>
  <c r="Z47" i="80" s="1"/>
  <c r="T47" i="80"/>
  <c r="P47" i="80"/>
  <c r="N47" i="80"/>
  <c r="H47" i="80"/>
  <c r="D47" i="80"/>
  <c r="L47" i="80" s="1"/>
  <c r="B47" i="80"/>
  <c r="Z46" i="80"/>
  <c r="X46" i="80"/>
  <c r="L46" i="80"/>
  <c r="N46" i="80" s="1"/>
  <c r="B46" i="80"/>
  <c r="X45" i="80"/>
  <c r="T45" i="80"/>
  <c r="Z45" i="80" s="1"/>
  <c r="P45" i="80"/>
  <c r="N45" i="80"/>
  <c r="J45" i="80"/>
  <c r="H45" i="80"/>
  <c r="D45" i="80"/>
  <c r="L45" i="80" s="1"/>
  <c r="B45" i="80"/>
  <c r="Z44" i="80"/>
  <c r="X44" i="80"/>
  <c r="N44" i="80"/>
  <c r="L44" i="80"/>
  <c r="B44" i="80"/>
  <c r="T43" i="80"/>
  <c r="Z43" i="80" s="1"/>
  <c r="P43" i="80"/>
  <c r="X43" i="80" s="1"/>
  <c r="N43" i="80"/>
  <c r="J43" i="80"/>
  <c r="H43" i="80"/>
  <c r="D43" i="80"/>
  <c r="L43" i="80" s="1"/>
  <c r="B43" i="80"/>
  <c r="X42" i="80"/>
  <c r="Z42" i="80" s="1"/>
  <c r="N42" i="80"/>
  <c r="L42" i="80"/>
  <c r="B42" i="80"/>
  <c r="Z41" i="80"/>
  <c r="T41" i="80"/>
  <c r="P41" i="80"/>
  <c r="X41" i="80" s="1"/>
  <c r="N41" i="80"/>
  <c r="L41" i="80"/>
  <c r="H41" i="80"/>
  <c r="D41" i="80"/>
  <c r="B41" i="80"/>
  <c r="Z40" i="80"/>
  <c r="X40" i="80"/>
  <c r="N40" i="80"/>
  <c r="L40" i="80"/>
  <c r="B40" i="80"/>
  <c r="T39" i="80"/>
  <c r="P39" i="80"/>
  <c r="X39" i="80" s="1"/>
  <c r="Z39" i="80" s="1"/>
  <c r="L39" i="80"/>
  <c r="H39" i="80"/>
  <c r="N39" i="80" s="1"/>
  <c r="D39" i="80"/>
  <c r="B39" i="80"/>
  <c r="X38" i="80"/>
  <c r="Z38" i="80" s="1"/>
  <c r="N38" i="80"/>
  <c r="L38" i="80"/>
  <c r="B38" i="80"/>
  <c r="X37" i="80"/>
  <c r="Z37" i="80" s="1"/>
  <c r="N37" i="80"/>
  <c r="L37" i="80"/>
  <c r="B37" i="80"/>
  <c r="Z36" i="80"/>
  <c r="X36" i="80"/>
  <c r="N36" i="80"/>
  <c r="L36" i="80"/>
  <c r="B36" i="80"/>
  <c r="Z35" i="80"/>
  <c r="X35" i="80"/>
  <c r="N35" i="80"/>
  <c r="L35" i="80"/>
  <c r="B35" i="80"/>
  <c r="X34" i="80"/>
  <c r="Z34" i="80" s="1"/>
  <c r="N34" i="80"/>
  <c r="L34" i="80"/>
  <c r="B34" i="80"/>
  <c r="X33" i="80"/>
  <c r="Z33" i="80" s="1"/>
  <c r="V33" i="80"/>
  <c r="N33" i="80"/>
  <c r="L33" i="80"/>
  <c r="B33" i="80"/>
  <c r="T32" i="80"/>
  <c r="P32" i="80"/>
  <c r="X32" i="80" s="1"/>
  <c r="Z32" i="80" s="1"/>
  <c r="L32" i="80"/>
  <c r="H32" i="80"/>
  <c r="N32" i="80" s="1"/>
  <c r="D32" i="80"/>
  <c r="B32" i="80"/>
  <c r="X31" i="80"/>
  <c r="Z31" i="80" s="1"/>
  <c r="N31" i="80"/>
  <c r="L31" i="80"/>
  <c r="J31" i="80"/>
  <c r="B31" i="80"/>
  <c r="X30" i="80"/>
  <c r="Z30" i="80" s="1"/>
  <c r="N30" i="80"/>
  <c r="L30" i="80"/>
  <c r="F30" i="80"/>
  <c r="B30" i="80"/>
  <c r="Z29" i="80"/>
  <c r="X29" i="80"/>
  <c r="N29" i="80"/>
  <c r="L29" i="80"/>
  <c r="B29" i="80"/>
  <c r="X28" i="80"/>
  <c r="Z28" i="80" s="1"/>
  <c r="N28" i="80"/>
  <c r="L28" i="80"/>
  <c r="B28" i="80"/>
  <c r="X27" i="80"/>
  <c r="Z27" i="80" s="1"/>
  <c r="N27" i="80"/>
  <c r="L27" i="80"/>
  <c r="J27" i="80"/>
  <c r="B27" i="80"/>
  <c r="X26" i="80"/>
  <c r="Z26" i="80" s="1"/>
  <c r="N26" i="80"/>
  <c r="L26" i="80"/>
  <c r="B26" i="80"/>
  <c r="Z25" i="80"/>
  <c r="X25" i="80"/>
  <c r="N25" i="80"/>
  <c r="L25" i="80"/>
  <c r="B25" i="80"/>
  <c r="X24" i="80"/>
  <c r="Z24" i="80" s="1"/>
  <c r="N24" i="80"/>
  <c r="L24" i="80"/>
  <c r="B24" i="80"/>
  <c r="X23" i="80"/>
  <c r="Z23" i="80" s="1"/>
  <c r="T23" i="80"/>
  <c r="P23" i="80"/>
  <c r="H23" i="80"/>
  <c r="D23" i="80"/>
  <c r="L23" i="80" s="1"/>
  <c r="N23" i="80" s="1"/>
  <c r="B23" i="80"/>
  <c r="T22" i="80"/>
  <c r="P22" i="80"/>
  <c r="H22" i="80"/>
  <c r="D22" i="80"/>
  <c r="L22" i="80" s="1"/>
  <c r="N22" i="80" s="1"/>
  <c r="T20" i="80"/>
  <c r="Z18" i="80"/>
  <c r="X18" i="80"/>
  <c r="N18" i="80"/>
  <c r="L18" i="80"/>
  <c r="B18" i="80"/>
  <c r="X17" i="80"/>
  <c r="Z17" i="80" s="1"/>
  <c r="N17" i="80"/>
  <c r="L17" i="80"/>
  <c r="J17" i="80"/>
  <c r="B17" i="80"/>
  <c r="T16" i="80"/>
  <c r="P16" i="80"/>
  <c r="X16" i="80" s="1"/>
  <c r="Z16" i="80" s="1"/>
  <c r="H16" i="80"/>
  <c r="N16" i="80" s="1"/>
  <c r="D16" i="80"/>
  <c r="L16" i="80" s="1"/>
  <c r="T14" i="80"/>
  <c r="P14" i="80"/>
  <c r="X14" i="80" s="1"/>
  <c r="Z14" i="80" s="1"/>
  <c r="N14" i="80"/>
  <c r="L14" i="80"/>
  <c r="H14" i="80"/>
  <c r="D14" i="80"/>
  <c r="B14" i="80"/>
  <c r="Z13" i="80"/>
  <c r="T13" i="80"/>
  <c r="T12" i="80" s="1"/>
  <c r="V39" i="80" s="1"/>
  <c r="P13" i="80"/>
  <c r="X13" i="80" s="1"/>
  <c r="H13" i="80"/>
  <c r="N13" i="80" s="1"/>
  <c r="D13" i="80"/>
  <c r="D12" i="80" s="1"/>
  <c r="B13" i="80"/>
  <c r="P12" i="80"/>
  <c r="H12" i="80"/>
  <c r="J70" i="80" s="1"/>
  <c r="D6" i="80"/>
  <c r="D4" i="80"/>
  <c r="Z85" i="79"/>
  <c r="X85" i="79"/>
  <c r="L85" i="79"/>
  <c r="N85" i="79" s="1"/>
  <c r="T81" i="79"/>
  <c r="Z81" i="79" s="1"/>
  <c r="P81" i="79"/>
  <c r="X81" i="79" s="1"/>
  <c r="H81" i="79"/>
  <c r="N81" i="79" s="1"/>
  <c r="D81" i="79"/>
  <c r="Z79" i="79"/>
  <c r="X79" i="79"/>
  <c r="N79" i="79"/>
  <c r="L79" i="79"/>
  <c r="B79" i="79"/>
  <c r="Z78" i="79"/>
  <c r="T78" i="79"/>
  <c r="P78" i="79"/>
  <c r="X78" i="79" s="1"/>
  <c r="L78" i="79"/>
  <c r="N78" i="79" s="1"/>
  <c r="H78" i="79"/>
  <c r="D78" i="79"/>
  <c r="B78" i="79"/>
  <c r="X77" i="79"/>
  <c r="Z77" i="79" s="1"/>
  <c r="N77" i="79"/>
  <c r="L77" i="79"/>
  <c r="B77" i="79"/>
  <c r="T76" i="79"/>
  <c r="R76" i="79"/>
  <c r="P76" i="79"/>
  <c r="X76" i="79" s="1"/>
  <c r="Z76" i="79" s="1"/>
  <c r="H76" i="79"/>
  <c r="N76" i="79" s="1"/>
  <c r="D76" i="79"/>
  <c r="L76" i="79" s="1"/>
  <c r="B76" i="79"/>
  <c r="X75" i="79"/>
  <c r="Z75" i="79" s="1"/>
  <c r="R75" i="79"/>
  <c r="N75" i="79"/>
  <c r="L75" i="79"/>
  <c r="B75" i="79"/>
  <c r="Z74" i="79"/>
  <c r="X74" i="79"/>
  <c r="T74" i="79"/>
  <c r="R74" i="79"/>
  <c r="P74" i="79"/>
  <c r="N74" i="79"/>
  <c r="H74" i="79"/>
  <c r="D74" i="79"/>
  <c r="L74" i="79" s="1"/>
  <c r="B74" i="79"/>
  <c r="Z73" i="79"/>
  <c r="X73" i="79"/>
  <c r="R73" i="79"/>
  <c r="N73" i="79"/>
  <c r="L73" i="79"/>
  <c r="B73" i="79"/>
  <c r="X72" i="79"/>
  <c r="Z72" i="79" s="1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R69" i="79"/>
  <c r="N69" i="79"/>
  <c r="L69" i="79"/>
  <c r="B69" i="79"/>
  <c r="X68" i="79"/>
  <c r="Z68" i="79" s="1"/>
  <c r="N68" i="79"/>
  <c r="L68" i="79"/>
  <c r="B68" i="79"/>
  <c r="Z67" i="79"/>
  <c r="X67" i="79"/>
  <c r="N67" i="79"/>
  <c r="L67" i="79"/>
  <c r="B67" i="79"/>
  <c r="T66" i="79"/>
  <c r="P66" i="79"/>
  <c r="X66" i="79" s="1"/>
  <c r="Z66" i="79" s="1"/>
  <c r="N66" i="79"/>
  <c r="L66" i="79"/>
  <c r="H66" i="79"/>
  <c r="D66" i="79"/>
  <c r="B66" i="79"/>
  <c r="X65" i="79"/>
  <c r="Z65" i="79" s="1"/>
  <c r="N65" i="79"/>
  <c r="L65" i="79"/>
  <c r="B65" i="79"/>
  <c r="X64" i="79"/>
  <c r="Z64" i="79" s="1"/>
  <c r="N64" i="79"/>
  <c r="L64" i="79"/>
  <c r="B64" i="79"/>
  <c r="T63" i="79"/>
  <c r="P63" i="79"/>
  <c r="X63" i="79" s="1"/>
  <c r="Z63" i="79" s="1"/>
  <c r="L63" i="79"/>
  <c r="H63" i="79"/>
  <c r="N63" i="79" s="1"/>
  <c r="D63" i="79"/>
  <c r="B63" i="79"/>
  <c r="Z62" i="79"/>
  <c r="X62" i="79"/>
  <c r="N62" i="79"/>
  <c r="L62" i="79"/>
  <c r="B62" i="79"/>
  <c r="X61" i="79"/>
  <c r="Z61" i="79" s="1"/>
  <c r="N61" i="79"/>
  <c r="L61" i="79"/>
  <c r="B61" i="79"/>
  <c r="Z60" i="79"/>
  <c r="X60" i="79"/>
  <c r="N60" i="79"/>
  <c r="L60" i="79"/>
  <c r="B60" i="79"/>
  <c r="T59" i="79"/>
  <c r="P59" i="79"/>
  <c r="L59" i="79"/>
  <c r="H59" i="79"/>
  <c r="N59" i="79" s="1"/>
  <c r="D59" i="79"/>
  <c r="B59" i="79"/>
  <c r="Z58" i="79"/>
  <c r="X58" i="79"/>
  <c r="N58" i="79"/>
  <c r="L58" i="79"/>
  <c r="B58" i="79"/>
  <c r="T57" i="79"/>
  <c r="P57" i="79"/>
  <c r="H57" i="79"/>
  <c r="N57" i="79" s="1"/>
  <c r="D57" i="79"/>
  <c r="L57" i="79" s="1"/>
  <c r="B57" i="79"/>
  <c r="X56" i="79"/>
  <c r="Z56" i="79" s="1"/>
  <c r="N56" i="79"/>
  <c r="L56" i="79"/>
  <c r="B56" i="79"/>
  <c r="Z55" i="79"/>
  <c r="X55" i="79"/>
  <c r="L55" i="79"/>
  <c r="N55" i="79" s="1"/>
  <c r="B55" i="79"/>
  <c r="T54" i="79"/>
  <c r="Z54" i="79" s="1"/>
  <c r="P54" i="79"/>
  <c r="X54" i="79" s="1"/>
  <c r="H54" i="79"/>
  <c r="D54" i="79"/>
  <c r="L54" i="79" s="1"/>
  <c r="N54" i="79" s="1"/>
  <c r="B54" i="79"/>
  <c r="X53" i="79"/>
  <c r="Z53" i="79" s="1"/>
  <c r="N53" i="79"/>
  <c r="L53" i="79"/>
  <c r="B53" i="79"/>
  <c r="Z52" i="79"/>
  <c r="T52" i="79"/>
  <c r="P52" i="79"/>
  <c r="X52" i="79" s="1"/>
  <c r="N52" i="79"/>
  <c r="L52" i="79"/>
  <c r="H52" i="79"/>
  <c r="D52" i="79"/>
  <c r="B52" i="79"/>
  <c r="Z51" i="79"/>
  <c r="X51" i="79"/>
  <c r="N51" i="79"/>
  <c r="L51" i="79"/>
  <c r="B51" i="79"/>
  <c r="T50" i="79"/>
  <c r="P50" i="79"/>
  <c r="X50" i="79" s="1"/>
  <c r="Z50" i="79" s="1"/>
  <c r="N50" i="79"/>
  <c r="L50" i="79"/>
  <c r="H50" i="79"/>
  <c r="D50" i="79"/>
  <c r="B50" i="79"/>
  <c r="X49" i="79"/>
  <c r="Z49" i="79" s="1"/>
  <c r="L49" i="79"/>
  <c r="N49" i="79" s="1"/>
  <c r="B49" i="79"/>
  <c r="T48" i="79"/>
  <c r="R48" i="79"/>
  <c r="P48" i="79"/>
  <c r="X48" i="79" s="1"/>
  <c r="Z48" i="79" s="1"/>
  <c r="H48" i="79"/>
  <c r="N48" i="79" s="1"/>
  <c r="D48" i="79"/>
  <c r="L48" i="79" s="1"/>
  <c r="B48" i="79"/>
  <c r="X47" i="79"/>
  <c r="Z47" i="79" s="1"/>
  <c r="R47" i="79"/>
  <c r="N47" i="79"/>
  <c r="L47" i="79"/>
  <c r="B47" i="79"/>
  <c r="Z46" i="79"/>
  <c r="X46" i="79"/>
  <c r="T46" i="79"/>
  <c r="R46" i="79"/>
  <c r="P46" i="79"/>
  <c r="N46" i="79"/>
  <c r="H46" i="79"/>
  <c r="D46" i="79"/>
  <c r="L46" i="79" s="1"/>
  <c r="B46" i="79"/>
  <c r="Z45" i="79"/>
  <c r="X45" i="79"/>
  <c r="R45" i="79"/>
  <c r="L45" i="79"/>
  <c r="N45" i="79" s="1"/>
  <c r="B45" i="79"/>
  <c r="X44" i="79"/>
  <c r="Z44" i="79" s="1"/>
  <c r="L44" i="79"/>
  <c r="N44" i="79" s="1"/>
  <c r="B44" i="79"/>
  <c r="T43" i="79"/>
  <c r="P43" i="79"/>
  <c r="X43" i="79" s="1"/>
  <c r="H43" i="79"/>
  <c r="D43" i="79"/>
  <c r="B43" i="79"/>
  <c r="Z42" i="79"/>
  <c r="X42" i="79"/>
  <c r="N42" i="79"/>
  <c r="L42" i="79"/>
  <c r="B42" i="79"/>
  <c r="X41" i="79"/>
  <c r="T41" i="79"/>
  <c r="P41" i="79"/>
  <c r="N41" i="79"/>
  <c r="H41" i="79"/>
  <c r="D41" i="79"/>
  <c r="L41" i="79" s="1"/>
  <c r="B41" i="79"/>
  <c r="Z40" i="79"/>
  <c r="X40" i="79"/>
  <c r="N40" i="79"/>
  <c r="L40" i="79"/>
  <c r="B40" i="79"/>
  <c r="X39" i="79"/>
  <c r="T39" i="79"/>
  <c r="P39" i="79"/>
  <c r="L39" i="79"/>
  <c r="H39" i="79"/>
  <c r="N39" i="79" s="1"/>
  <c r="D39" i="79"/>
  <c r="B39" i="79"/>
  <c r="Z38" i="79"/>
  <c r="X38" i="79"/>
  <c r="N38" i="79"/>
  <c r="L38" i="79"/>
  <c r="B38" i="79"/>
  <c r="T37" i="79"/>
  <c r="P37" i="79"/>
  <c r="H37" i="79"/>
  <c r="D37" i="79"/>
  <c r="L37" i="79" s="1"/>
  <c r="B37" i="79"/>
  <c r="X36" i="79"/>
  <c r="Z36" i="79" s="1"/>
  <c r="N36" i="79"/>
  <c r="L36" i="79"/>
  <c r="B36" i="79"/>
  <c r="Z35" i="79"/>
  <c r="X35" i="79"/>
  <c r="N35" i="79"/>
  <c r="L35" i="79"/>
  <c r="B35" i="79"/>
  <c r="Z34" i="79"/>
  <c r="X34" i="79"/>
  <c r="R34" i="79"/>
  <c r="N34" i="79"/>
  <c r="L34" i="79"/>
  <c r="B34" i="79"/>
  <c r="X33" i="79"/>
  <c r="Z33" i="79" s="1"/>
  <c r="N33" i="79"/>
  <c r="L33" i="79"/>
  <c r="B33" i="79"/>
  <c r="T32" i="79"/>
  <c r="R32" i="79"/>
  <c r="P32" i="79"/>
  <c r="X32" i="79" s="1"/>
  <c r="Z32" i="79" s="1"/>
  <c r="H32" i="79"/>
  <c r="N32" i="79" s="1"/>
  <c r="D32" i="79"/>
  <c r="L32" i="79" s="1"/>
  <c r="B32" i="79"/>
  <c r="X31" i="79"/>
  <c r="Z31" i="79" s="1"/>
  <c r="R31" i="79"/>
  <c r="N31" i="79"/>
  <c r="L31" i="79"/>
  <c r="B31" i="79"/>
  <c r="Z30" i="79"/>
  <c r="X30" i="79"/>
  <c r="N30" i="79"/>
  <c r="L30" i="79"/>
  <c r="B30" i="79"/>
  <c r="X29" i="79"/>
  <c r="Z29" i="79" s="1"/>
  <c r="N29" i="79"/>
  <c r="L29" i="79"/>
  <c r="B29" i="79"/>
  <c r="Z28" i="79"/>
  <c r="X28" i="79"/>
  <c r="N28" i="79"/>
  <c r="L28" i="79"/>
  <c r="B28" i="79"/>
  <c r="X27" i="79"/>
  <c r="Z27" i="79" s="1"/>
  <c r="R27" i="79"/>
  <c r="N27" i="79"/>
  <c r="L27" i="79"/>
  <c r="B27" i="79"/>
  <c r="Z26" i="79"/>
  <c r="X26" i="79"/>
  <c r="N26" i="79"/>
  <c r="L26" i="79"/>
  <c r="B26" i="79"/>
  <c r="X25" i="79"/>
  <c r="Z25" i="79" s="1"/>
  <c r="N25" i="79"/>
  <c r="L25" i="79"/>
  <c r="B25" i="79"/>
  <c r="Z24" i="79"/>
  <c r="X24" i="79"/>
  <c r="N24" i="79"/>
  <c r="L24" i="79"/>
  <c r="B24" i="79"/>
  <c r="X23" i="79"/>
  <c r="T23" i="79"/>
  <c r="P23" i="79"/>
  <c r="L23" i="79"/>
  <c r="H23" i="79"/>
  <c r="N23" i="79" s="1"/>
  <c r="D23" i="79"/>
  <c r="B23" i="79"/>
  <c r="T22" i="79"/>
  <c r="P22" i="79"/>
  <c r="X22" i="79" s="1"/>
  <c r="Z22" i="79" s="1"/>
  <c r="H22" i="79"/>
  <c r="D22" i="79"/>
  <c r="L22" i="79" s="1"/>
  <c r="Z18" i="79"/>
  <c r="X18" i="79"/>
  <c r="N18" i="79"/>
  <c r="L18" i="79"/>
  <c r="B18" i="79"/>
  <c r="Z17" i="79"/>
  <c r="X17" i="79"/>
  <c r="R17" i="79"/>
  <c r="N17" i="79"/>
  <c r="L17" i="79"/>
  <c r="B17" i="79"/>
  <c r="X16" i="79"/>
  <c r="T16" i="79"/>
  <c r="P16" i="79"/>
  <c r="N16" i="79"/>
  <c r="H16" i="79"/>
  <c r="D16" i="79"/>
  <c r="L16" i="79" s="1"/>
  <c r="X14" i="79"/>
  <c r="Z14" i="79" s="1"/>
  <c r="T14" i="79"/>
  <c r="P14" i="79"/>
  <c r="H14" i="79"/>
  <c r="D14" i="79"/>
  <c r="B14" i="79"/>
  <c r="T13" i="79"/>
  <c r="P13" i="79"/>
  <c r="X13" i="79" s="1"/>
  <c r="Z13" i="79" s="1"/>
  <c r="N13" i="79"/>
  <c r="H13" i="79"/>
  <c r="D13" i="79"/>
  <c r="B13" i="79"/>
  <c r="T12" i="79"/>
  <c r="P12" i="79"/>
  <c r="R70" i="79" s="1"/>
  <c r="D12" i="79"/>
  <c r="D6" i="79"/>
  <c r="D4" i="79"/>
  <c r="X33" i="78"/>
  <c r="Z33" i="78" s="1"/>
  <c r="V33" i="78"/>
  <c r="N33" i="78"/>
  <c r="L33" i="78"/>
  <c r="X29" i="78"/>
  <c r="T29" i="78"/>
  <c r="Z29" i="78" s="1"/>
  <c r="P29" i="78"/>
  <c r="N29" i="78"/>
  <c r="H29" i="78"/>
  <c r="D29" i="78"/>
  <c r="L29" i="78" s="1"/>
  <c r="X27" i="78"/>
  <c r="Z27" i="78" s="1"/>
  <c r="N27" i="78"/>
  <c r="L27" i="78"/>
  <c r="B27" i="78"/>
  <c r="T26" i="78"/>
  <c r="R26" i="78"/>
  <c r="P26" i="78"/>
  <c r="X26" i="78" s="1"/>
  <c r="Z26" i="78" s="1"/>
  <c r="H26" i="78"/>
  <c r="N26" i="78" s="1"/>
  <c r="D26" i="78"/>
  <c r="B26" i="78"/>
  <c r="X25" i="78"/>
  <c r="Z25" i="78" s="1"/>
  <c r="R25" i="78"/>
  <c r="N25" i="78"/>
  <c r="L25" i="78"/>
  <c r="F25" i="78"/>
  <c r="B25" i="78"/>
  <c r="X24" i="78"/>
  <c r="T24" i="78"/>
  <c r="P24" i="78"/>
  <c r="N24" i="78"/>
  <c r="H24" i="78"/>
  <c r="D24" i="78"/>
  <c r="B24" i="78"/>
  <c r="Z23" i="78"/>
  <c r="X23" i="78"/>
  <c r="N23" i="78"/>
  <c r="L23" i="78"/>
  <c r="F23" i="78"/>
  <c r="B23" i="78"/>
  <c r="T22" i="78"/>
  <c r="P22" i="78"/>
  <c r="H22" i="78"/>
  <c r="N22" i="78" s="1"/>
  <c r="F22" i="78"/>
  <c r="D22" i="78"/>
  <c r="B22" i="78"/>
  <c r="T21" i="78"/>
  <c r="P21" i="78"/>
  <c r="H21" i="78"/>
  <c r="N21" i="78" s="1"/>
  <c r="D21" i="78"/>
  <c r="D19" i="78"/>
  <c r="D31" i="78" s="1"/>
  <c r="Z17" i="78"/>
  <c r="X17" i="78"/>
  <c r="N17" i="78"/>
  <c r="L17" i="78"/>
  <c r="F17" i="78"/>
  <c r="B17" i="78"/>
  <c r="Z16" i="78"/>
  <c r="X16" i="78"/>
  <c r="R16" i="78"/>
  <c r="N16" i="78"/>
  <c r="L16" i="78"/>
  <c r="B16" i="78"/>
  <c r="T15" i="78"/>
  <c r="P15" i="78"/>
  <c r="N15" i="78"/>
  <c r="H15" i="78"/>
  <c r="D15" i="78"/>
  <c r="X13" i="78"/>
  <c r="T13" i="78"/>
  <c r="T12" i="78" s="1"/>
  <c r="P13" i="78"/>
  <c r="P12" i="78" s="1"/>
  <c r="H13" i="78"/>
  <c r="N13" i="78" s="1"/>
  <c r="D13" i="78"/>
  <c r="B13" i="78"/>
  <c r="N12" i="78"/>
  <c r="H12" i="78"/>
  <c r="J27" i="78" s="1"/>
  <c r="D12" i="78"/>
  <c r="D6" i="78"/>
  <c r="D4" i="78"/>
  <c r="X130" i="77"/>
  <c r="Z130" i="77" s="1"/>
  <c r="L130" i="77"/>
  <c r="N130" i="77" s="1"/>
  <c r="T126" i="77"/>
  <c r="Z126" i="77" s="1"/>
  <c r="P126" i="77"/>
  <c r="N126" i="77"/>
  <c r="H126" i="77"/>
  <c r="D126" i="77"/>
  <c r="L126" i="77" s="1"/>
  <c r="Z124" i="77"/>
  <c r="X124" i="77"/>
  <c r="L124" i="77"/>
  <c r="N124" i="77" s="1"/>
  <c r="B124" i="77"/>
  <c r="X123" i="77"/>
  <c r="T123" i="77"/>
  <c r="P123" i="77"/>
  <c r="H123" i="77"/>
  <c r="D123" i="77"/>
  <c r="B123" i="77"/>
  <c r="X122" i="77"/>
  <c r="Z122" i="77" s="1"/>
  <c r="N122" i="77"/>
  <c r="L122" i="77"/>
  <c r="B122" i="77"/>
  <c r="T121" i="77"/>
  <c r="P121" i="77"/>
  <c r="X121" i="77" s="1"/>
  <c r="N121" i="77"/>
  <c r="L121" i="77"/>
  <c r="H121" i="77"/>
  <c r="D121" i="77"/>
  <c r="B121" i="77"/>
  <c r="X120" i="77"/>
  <c r="Z120" i="77" s="1"/>
  <c r="N120" i="77"/>
  <c r="L120" i="77"/>
  <c r="B120" i="77"/>
  <c r="Z119" i="77"/>
  <c r="X119" i="77"/>
  <c r="T119" i="77"/>
  <c r="P119" i="77"/>
  <c r="N119" i="77"/>
  <c r="H119" i="77"/>
  <c r="L119" i="77" s="1"/>
  <c r="D119" i="77"/>
  <c r="B119" i="77"/>
  <c r="Z118" i="77"/>
  <c r="X118" i="77"/>
  <c r="L118" i="77"/>
  <c r="N118" i="77" s="1"/>
  <c r="B118" i="77"/>
  <c r="T117" i="77"/>
  <c r="P117" i="77"/>
  <c r="L117" i="77"/>
  <c r="H117" i="77"/>
  <c r="N117" i="77" s="1"/>
  <c r="D117" i="77"/>
  <c r="B117" i="77"/>
  <c r="X116" i="77"/>
  <c r="Z116" i="77" s="1"/>
  <c r="N116" i="77"/>
  <c r="L116" i="77"/>
  <c r="B116" i="77"/>
  <c r="X115" i="77"/>
  <c r="Z115" i="77" s="1"/>
  <c r="N115" i="77"/>
  <c r="L115" i="77"/>
  <c r="B115" i="77"/>
  <c r="X114" i="77"/>
  <c r="Z114" i="77" s="1"/>
  <c r="N114" i="77"/>
  <c r="L114" i="77"/>
  <c r="B114" i="77"/>
  <c r="X113" i="77"/>
  <c r="Z113" i="77" s="1"/>
  <c r="N113" i="77"/>
  <c r="L113" i="77"/>
  <c r="B113" i="77"/>
  <c r="Z112" i="77"/>
  <c r="X112" i="77"/>
  <c r="N112" i="77"/>
  <c r="L112" i="77"/>
  <c r="B112" i="77"/>
  <c r="X111" i="77"/>
  <c r="Z111" i="77" s="1"/>
  <c r="N111" i="77"/>
  <c r="L111" i="77"/>
  <c r="B111" i="77"/>
  <c r="Z110" i="77"/>
  <c r="T110" i="77"/>
  <c r="P110" i="77"/>
  <c r="X110" i="77" s="1"/>
  <c r="L110" i="77"/>
  <c r="H110" i="77"/>
  <c r="N110" i="77" s="1"/>
  <c r="D110" i="77"/>
  <c r="B110" i="77"/>
  <c r="X109" i="77"/>
  <c r="Z109" i="77" s="1"/>
  <c r="N109" i="77"/>
  <c r="L109" i="77"/>
  <c r="B109" i="77"/>
  <c r="X108" i="77"/>
  <c r="Z108" i="77" s="1"/>
  <c r="N108" i="77"/>
  <c r="L108" i="77"/>
  <c r="J108" i="77"/>
  <c r="B108" i="77"/>
  <c r="X107" i="77"/>
  <c r="Z107" i="77" s="1"/>
  <c r="T107" i="77"/>
  <c r="P107" i="77"/>
  <c r="H107" i="77"/>
  <c r="D107" i="77"/>
  <c r="B107" i="77"/>
  <c r="Z106" i="77"/>
  <c r="X106" i="77"/>
  <c r="N106" i="77"/>
  <c r="L106" i="77"/>
  <c r="B106" i="77"/>
  <c r="Z105" i="77"/>
  <c r="X105" i="77"/>
  <c r="L105" i="77"/>
  <c r="N105" i="77" s="1"/>
  <c r="B105" i="77"/>
  <c r="Z104" i="77"/>
  <c r="X104" i="77"/>
  <c r="N104" i="77"/>
  <c r="L104" i="77"/>
  <c r="B104" i="77"/>
  <c r="T103" i="77"/>
  <c r="P103" i="77"/>
  <c r="X103" i="77" s="1"/>
  <c r="H103" i="77"/>
  <c r="D103" i="77"/>
  <c r="B103" i="77"/>
  <c r="X102" i="77"/>
  <c r="Z102" i="77" s="1"/>
  <c r="N102" i="77"/>
  <c r="L102" i="77"/>
  <c r="B102" i="77"/>
  <c r="X101" i="77"/>
  <c r="Z101" i="77" s="1"/>
  <c r="N101" i="77"/>
  <c r="L101" i="77"/>
  <c r="B101" i="77"/>
  <c r="Z100" i="77"/>
  <c r="X100" i="77"/>
  <c r="N100" i="77"/>
  <c r="L100" i="77"/>
  <c r="B100" i="77"/>
  <c r="T99" i="77"/>
  <c r="R99" i="77"/>
  <c r="P99" i="77"/>
  <c r="X99" i="77" s="1"/>
  <c r="H99" i="77"/>
  <c r="N99" i="77" s="1"/>
  <c r="D99" i="77"/>
  <c r="B99" i="77"/>
  <c r="Z98" i="77"/>
  <c r="X98" i="77"/>
  <c r="N98" i="77"/>
  <c r="L98" i="77"/>
  <c r="B98" i="77"/>
  <c r="Z97" i="77"/>
  <c r="X97" i="77"/>
  <c r="T97" i="77"/>
  <c r="P97" i="77"/>
  <c r="L97" i="77"/>
  <c r="H97" i="77"/>
  <c r="D97" i="77"/>
  <c r="B97" i="77"/>
  <c r="Z96" i="77"/>
  <c r="X96" i="77"/>
  <c r="N96" i="77"/>
  <c r="L96" i="77"/>
  <c r="B96" i="77"/>
  <c r="X95" i="77"/>
  <c r="T95" i="77"/>
  <c r="P95" i="77"/>
  <c r="N95" i="77"/>
  <c r="L95" i="77"/>
  <c r="H95" i="77"/>
  <c r="D95" i="77"/>
  <c r="B95" i="77"/>
  <c r="Z94" i="77"/>
  <c r="X94" i="77"/>
  <c r="N94" i="77"/>
  <c r="L94" i="77"/>
  <c r="B94" i="77"/>
  <c r="T93" i="77"/>
  <c r="P93" i="77"/>
  <c r="X93" i="77" s="1"/>
  <c r="J93" i="77"/>
  <c r="H93" i="77"/>
  <c r="D93" i="77"/>
  <c r="L93" i="77" s="1"/>
  <c r="B93" i="77"/>
  <c r="Z92" i="77"/>
  <c r="X92" i="77"/>
  <c r="N92" i="77"/>
  <c r="L92" i="77"/>
  <c r="B92" i="77"/>
  <c r="T91" i="77"/>
  <c r="P91" i="77"/>
  <c r="J91" i="77"/>
  <c r="H91" i="77"/>
  <c r="D91" i="77"/>
  <c r="L91" i="77" s="1"/>
  <c r="B91" i="77"/>
  <c r="X90" i="77"/>
  <c r="Z90" i="77" s="1"/>
  <c r="L90" i="77"/>
  <c r="N90" i="77" s="1"/>
  <c r="B90" i="77"/>
  <c r="T89" i="77"/>
  <c r="P89" i="77"/>
  <c r="X89" i="77" s="1"/>
  <c r="Z89" i="77" s="1"/>
  <c r="H89" i="77"/>
  <c r="D89" i="77"/>
  <c r="L89" i="77" s="1"/>
  <c r="N89" i="77" s="1"/>
  <c r="B89" i="77"/>
  <c r="Z88" i="77"/>
  <c r="X88" i="77"/>
  <c r="N88" i="77"/>
  <c r="L88" i="77"/>
  <c r="B88" i="77"/>
  <c r="T87" i="77"/>
  <c r="P87" i="77"/>
  <c r="X87" i="77" s="1"/>
  <c r="Z87" i="77" s="1"/>
  <c r="N87" i="77"/>
  <c r="L87" i="77"/>
  <c r="H87" i="77"/>
  <c r="D87" i="77"/>
  <c r="B87" i="77"/>
  <c r="Z86" i="77"/>
  <c r="X86" i="77"/>
  <c r="N86" i="77"/>
  <c r="L86" i="77"/>
  <c r="B86" i="77"/>
  <c r="Z85" i="77"/>
  <c r="X85" i="77"/>
  <c r="N85" i="77"/>
  <c r="L85" i="77"/>
  <c r="B85" i="77"/>
  <c r="T84" i="77"/>
  <c r="P84" i="77"/>
  <c r="X84" i="77" s="1"/>
  <c r="Z84" i="77" s="1"/>
  <c r="L84" i="77"/>
  <c r="H84" i="77"/>
  <c r="N84" i="77" s="1"/>
  <c r="D84" i="77"/>
  <c r="B84" i="77"/>
  <c r="Z83" i="77"/>
  <c r="X83" i="77"/>
  <c r="N83" i="77"/>
  <c r="L83" i="77"/>
  <c r="J83" i="77"/>
  <c r="B83" i="77"/>
  <c r="X82" i="77"/>
  <c r="T82" i="77"/>
  <c r="Z82" i="77" s="1"/>
  <c r="P82" i="77"/>
  <c r="L82" i="77"/>
  <c r="H82" i="77"/>
  <c r="D82" i="77"/>
  <c r="B82" i="77"/>
  <c r="X81" i="77"/>
  <c r="Z81" i="77" s="1"/>
  <c r="N81" i="77"/>
  <c r="L81" i="77"/>
  <c r="J81" i="77"/>
  <c r="B81" i="77"/>
  <c r="T80" i="77"/>
  <c r="P80" i="77"/>
  <c r="H80" i="77"/>
  <c r="N80" i="77" s="1"/>
  <c r="D80" i="77"/>
  <c r="B80" i="77"/>
  <c r="Z79" i="77"/>
  <c r="X79" i="77"/>
  <c r="N79" i="77"/>
  <c r="L79" i="77"/>
  <c r="B79" i="77"/>
  <c r="X78" i="77"/>
  <c r="T78" i="77"/>
  <c r="P78" i="77"/>
  <c r="N78" i="77"/>
  <c r="H78" i="77"/>
  <c r="D78" i="77"/>
  <c r="L78" i="77" s="1"/>
  <c r="B78" i="77"/>
  <c r="Z77" i="77"/>
  <c r="X77" i="77"/>
  <c r="N77" i="77"/>
  <c r="L77" i="77"/>
  <c r="B77" i="77"/>
  <c r="X76" i="77"/>
  <c r="Z76" i="77" s="1"/>
  <c r="N76" i="77"/>
  <c r="L76" i="77"/>
  <c r="B76" i="77"/>
  <c r="Z75" i="77"/>
  <c r="X75" i="77"/>
  <c r="N75" i="77"/>
  <c r="L75" i="77"/>
  <c r="J75" i="77"/>
  <c r="B75" i="77"/>
  <c r="X74" i="77"/>
  <c r="Z74" i="77" s="1"/>
  <c r="N74" i="77"/>
  <c r="L74" i="77"/>
  <c r="B74" i="77"/>
  <c r="Z73" i="77"/>
  <c r="X73" i="77"/>
  <c r="N73" i="77"/>
  <c r="L73" i="77"/>
  <c r="B73" i="77"/>
  <c r="X72" i="77"/>
  <c r="Z72" i="77" s="1"/>
  <c r="N72" i="77"/>
  <c r="L72" i="77"/>
  <c r="B72" i="77"/>
  <c r="T71" i="77"/>
  <c r="P71" i="77"/>
  <c r="X71" i="77" s="1"/>
  <c r="Z71" i="77" s="1"/>
  <c r="N71" i="77"/>
  <c r="H71" i="77"/>
  <c r="D71" i="77"/>
  <c r="L71" i="77" s="1"/>
  <c r="B71" i="77"/>
  <c r="X70" i="77"/>
  <c r="Z70" i="77" s="1"/>
  <c r="N70" i="77"/>
  <c r="L70" i="77"/>
  <c r="B70" i="77"/>
  <c r="X69" i="77"/>
  <c r="Z69" i="77" s="1"/>
  <c r="N69" i="77"/>
  <c r="L69" i="77"/>
  <c r="J69" i="77"/>
  <c r="B69" i="77"/>
  <c r="Z68" i="77"/>
  <c r="X68" i="77"/>
  <c r="N68" i="77"/>
  <c r="L68" i="77"/>
  <c r="B68" i="77"/>
  <c r="Z67" i="77"/>
  <c r="X67" i="77"/>
  <c r="N67" i="77"/>
  <c r="L67" i="77"/>
  <c r="B67" i="77"/>
  <c r="X66" i="77"/>
  <c r="Z66" i="77" s="1"/>
  <c r="R66" i="77"/>
  <c r="L66" i="77"/>
  <c r="N66" i="77" s="1"/>
  <c r="B66" i="77"/>
  <c r="X65" i="77"/>
  <c r="Z65" i="77" s="1"/>
  <c r="N65" i="77"/>
  <c r="L65" i="77"/>
  <c r="J65" i="77"/>
  <c r="B65" i="77"/>
  <c r="Z64" i="77"/>
  <c r="X64" i="77"/>
  <c r="N64" i="77"/>
  <c r="L64" i="77"/>
  <c r="B64" i="77"/>
  <c r="Z63" i="77"/>
  <c r="X63" i="77"/>
  <c r="N63" i="77"/>
  <c r="L63" i="77"/>
  <c r="B63" i="77"/>
  <c r="T62" i="77"/>
  <c r="P62" i="77"/>
  <c r="H62" i="77"/>
  <c r="D62" i="77"/>
  <c r="B62" i="77"/>
  <c r="T61" i="77"/>
  <c r="P61" i="77"/>
  <c r="H61" i="77"/>
  <c r="D61" i="77"/>
  <c r="L61" i="77" s="1"/>
  <c r="Z57" i="77"/>
  <c r="X57" i="77"/>
  <c r="N57" i="77"/>
  <c r="L57" i="77"/>
  <c r="B57" i="77"/>
  <c r="Z56" i="77"/>
  <c r="X56" i="77"/>
  <c r="L56" i="77"/>
  <c r="N56" i="77" s="1"/>
  <c r="B56" i="77"/>
  <c r="Z55" i="77"/>
  <c r="X55" i="77"/>
  <c r="N55" i="77"/>
  <c r="L55" i="77"/>
  <c r="B55" i="77"/>
  <c r="X54" i="77"/>
  <c r="Z54" i="77" s="1"/>
  <c r="N54" i="77"/>
  <c r="L54" i="77"/>
  <c r="B54" i="77"/>
  <c r="Z53" i="77"/>
  <c r="X53" i="77"/>
  <c r="N53" i="77"/>
  <c r="L53" i="77"/>
  <c r="B53" i="77"/>
  <c r="Z52" i="77"/>
  <c r="X52" i="77"/>
  <c r="N52" i="77"/>
  <c r="L52" i="77"/>
  <c r="B52" i="77"/>
  <c r="Z51" i="77"/>
  <c r="X51" i="77"/>
  <c r="N51" i="77"/>
  <c r="L51" i="77"/>
  <c r="B51" i="77"/>
  <c r="X50" i="77"/>
  <c r="Z50" i="77" s="1"/>
  <c r="N50" i="77"/>
  <c r="L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N47" i="77"/>
  <c r="L47" i="77"/>
  <c r="B47" i="77"/>
  <c r="X46" i="77"/>
  <c r="Z46" i="77" s="1"/>
  <c r="L46" i="77"/>
  <c r="N46" i="77" s="1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L43" i="77"/>
  <c r="N43" i="77" s="1"/>
  <c r="B43" i="77"/>
  <c r="X42" i="77"/>
  <c r="Z42" i="77" s="1"/>
  <c r="L42" i="77"/>
  <c r="N42" i="77" s="1"/>
  <c r="B42" i="77"/>
  <c r="Z41" i="77"/>
  <c r="X41" i="77"/>
  <c r="N41" i="77"/>
  <c r="L41" i="77"/>
  <c r="B41" i="77"/>
  <c r="T40" i="77"/>
  <c r="P40" i="77"/>
  <c r="X40" i="77" s="1"/>
  <c r="Z40" i="77" s="1"/>
  <c r="L40" i="77"/>
  <c r="N40" i="77" s="1"/>
  <c r="H40" i="77"/>
  <c r="D40" i="77"/>
  <c r="T38" i="77"/>
  <c r="X38" i="77" s="1"/>
  <c r="Z38" i="77" s="1"/>
  <c r="P38" i="77"/>
  <c r="L38" i="77"/>
  <c r="H38" i="77"/>
  <c r="N38" i="77" s="1"/>
  <c r="D38" i="77"/>
  <c r="B38" i="77"/>
  <c r="T37" i="77"/>
  <c r="Z37" i="77" s="1"/>
  <c r="P37" i="77"/>
  <c r="X37" i="77" s="1"/>
  <c r="N37" i="77"/>
  <c r="L37" i="77"/>
  <c r="H37" i="77"/>
  <c r="D37" i="77"/>
  <c r="B37" i="77"/>
  <c r="X36" i="77"/>
  <c r="T36" i="77"/>
  <c r="P36" i="77"/>
  <c r="H36" i="77"/>
  <c r="N36" i="77" s="1"/>
  <c r="D36" i="77"/>
  <c r="B36" i="77"/>
  <c r="T35" i="77"/>
  <c r="P35" i="77"/>
  <c r="N35" i="77"/>
  <c r="L35" i="77"/>
  <c r="H35" i="77"/>
  <c r="D35" i="77"/>
  <c r="B35" i="77"/>
  <c r="T34" i="77"/>
  <c r="X34" i="77" s="1"/>
  <c r="Z34" i="77" s="1"/>
  <c r="P34" i="77"/>
  <c r="H34" i="77"/>
  <c r="N34" i="77" s="1"/>
  <c r="D34" i="77"/>
  <c r="L34" i="77" s="1"/>
  <c r="B34" i="77"/>
  <c r="T33" i="77"/>
  <c r="P33" i="77"/>
  <c r="X33" i="77" s="1"/>
  <c r="N33" i="77"/>
  <c r="L33" i="77"/>
  <c r="H33" i="77"/>
  <c r="D33" i="77"/>
  <c r="B33" i="77"/>
  <c r="X32" i="77"/>
  <c r="T32" i="77"/>
  <c r="Z32" i="77" s="1"/>
  <c r="P32" i="77"/>
  <c r="H32" i="77"/>
  <c r="N32" i="77" s="1"/>
  <c r="D32" i="77"/>
  <c r="B32" i="77"/>
  <c r="T31" i="77"/>
  <c r="P31" i="77"/>
  <c r="N31" i="77"/>
  <c r="L31" i="77"/>
  <c r="H31" i="77"/>
  <c r="D31" i="77"/>
  <c r="B31" i="77"/>
  <c r="Z30" i="77"/>
  <c r="T30" i="77"/>
  <c r="X30" i="77" s="1"/>
  <c r="P30" i="77"/>
  <c r="H30" i="77"/>
  <c r="N30" i="77" s="1"/>
  <c r="D30" i="77"/>
  <c r="L30" i="77" s="1"/>
  <c r="B30" i="77"/>
  <c r="T29" i="77"/>
  <c r="Z29" i="77" s="1"/>
  <c r="P29" i="77"/>
  <c r="X29" i="77" s="1"/>
  <c r="N29" i="77"/>
  <c r="L29" i="77"/>
  <c r="H29" i="77"/>
  <c r="D29" i="77"/>
  <c r="B29" i="77"/>
  <c r="X28" i="77"/>
  <c r="T28" i="77"/>
  <c r="Z28" i="77" s="1"/>
  <c r="P28" i="77"/>
  <c r="H28" i="77"/>
  <c r="N28" i="77" s="1"/>
  <c r="D28" i="77"/>
  <c r="B28" i="77"/>
  <c r="T27" i="77"/>
  <c r="P27" i="77"/>
  <c r="X27" i="77" s="1"/>
  <c r="N27" i="77"/>
  <c r="L27" i="77"/>
  <c r="H27" i="77"/>
  <c r="D27" i="77"/>
  <c r="B27" i="77"/>
  <c r="Z26" i="77"/>
  <c r="T26" i="77"/>
  <c r="X26" i="77" s="1"/>
  <c r="P26" i="77"/>
  <c r="L26" i="77"/>
  <c r="H26" i="77"/>
  <c r="N26" i="77" s="1"/>
  <c r="D26" i="77"/>
  <c r="B26" i="77"/>
  <c r="T25" i="77"/>
  <c r="Z25" i="77" s="1"/>
  <c r="P25" i="77"/>
  <c r="X25" i="77" s="1"/>
  <c r="N25" i="77"/>
  <c r="L25" i="77"/>
  <c r="H25" i="77"/>
  <c r="D25" i="77"/>
  <c r="B25" i="77"/>
  <c r="X24" i="77"/>
  <c r="T24" i="77"/>
  <c r="P24" i="77"/>
  <c r="H24" i="77"/>
  <c r="N24" i="77" s="1"/>
  <c r="D24" i="77"/>
  <c r="B24" i="77"/>
  <c r="T23" i="77"/>
  <c r="P23" i="77"/>
  <c r="X23" i="77" s="1"/>
  <c r="N23" i="77"/>
  <c r="L23" i="77"/>
  <c r="H23" i="77"/>
  <c r="D23" i="77"/>
  <c r="B23" i="77"/>
  <c r="T22" i="77"/>
  <c r="X22" i="77" s="1"/>
  <c r="Z22" i="77" s="1"/>
  <c r="P22" i="77"/>
  <c r="H22" i="77"/>
  <c r="N22" i="77" s="1"/>
  <c r="D22" i="77"/>
  <c r="L22" i="77" s="1"/>
  <c r="B22" i="77"/>
  <c r="T21" i="77"/>
  <c r="Z21" i="77" s="1"/>
  <c r="P21" i="77"/>
  <c r="X21" i="77" s="1"/>
  <c r="N21" i="77"/>
  <c r="L21" i="77"/>
  <c r="H21" i="77"/>
  <c r="D21" i="77"/>
  <c r="B21" i="77"/>
  <c r="X20" i="77"/>
  <c r="T20" i="77"/>
  <c r="P20" i="77"/>
  <c r="H20" i="77"/>
  <c r="N20" i="77" s="1"/>
  <c r="D20" i="77"/>
  <c r="B20" i="77"/>
  <c r="T19" i="77"/>
  <c r="P19" i="77"/>
  <c r="X19" i="77" s="1"/>
  <c r="N19" i="77"/>
  <c r="L19" i="77"/>
  <c r="H19" i="77"/>
  <c r="D19" i="77"/>
  <c r="B19" i="77"/>
  <c r="T18" i="77"/>
  <c r="X18" i="77" s="1"/>
  <c r="Z18" i="77" s="1"/>
  <c r="P18" i="77"/>
  <c r="L18" i="77"/>
  <c r="H18" i="77"/>
  <c r="N18" i="77" s="1"/>
  <c r="D18" i="77"/>
  <c r="B18" i="77"/>
  <c r="T17" i="77"/>
  <c r="Z17" i="77" s="1"/>
  <c r="P17" i="77"/>
  <c r="X17" i="77" s="1"/>
  <c r="N17" i="77"/>
  <c r="L17" i="77"/>
  <c r="H17" i="77"/>
  <c r="D17" i="77"/>
  <c r="B17" i="77"/>
  <c r="X16" i="77"/>
  <c r="T16" i="77"/>
  <c r="Z16" i="77" s="1"/>
  <c r="P16" i="77"/>
  <c r="H16" i="77"/>
  <c r="N16" i="77" s="1"/>
  <c r="D16" i="77"/>
  <c r="B16" i="77"/>
  <c r="T15" i="77"/>
  <c r="P15" i="77"/>
  <c r="N15" i="77"/>
  <c r="L15" i="77"/>
  <c r="H15" i="77"/>
  <c r="D15" i="77"/>
  <c r="B15" i="77"/>
  <c r="T14" i="77"/>
  <c r="X14" i="77" s="1"/>
  <c r="Z14" i="77" s="1"/>
  <c r="P14" i="77"/>
  <c r="H14" i="77"/>
  <c r="N14" i="77" s="1"/>
  <c r="D14" i="77"/>
  <c r="B14" i="77"/>
  <c r="T13" i="77"/>
  <c r="Z13" i="77" s="1"/>
  <c r="P13" i="77"/>
  <c r="P12" i="77" s="1"/>
  <c r="N13" i="77"/>
  <c r="L13" i="77"/>
  <c r="H13" i="77"/>
  <c r="D13" i="77"/>
  <c r="B13" i="77"/>
  <c r="H12" i="77"/>
  <c r="J100" i="77" s="1"/>
  <c r="D6" i="77"/>
  <c r="D4" i="77"/>
  <c r="X84" i="76"/>
  <c r="Z84" i="76" s="1"/>
  <c r="N84" i="76"/>
  <c r="L84" i="76"/>
  <c r="Z80" i="76"/>
  <c r="T80" i="76"/>
  <c r="P80" i="76"/>
  <c r="X80" i="76" s="1"/>
  <c r="L80" i="76"/>
  <c r="H80" i="76"/>
  <c r="N80" i="76" s="1"/>
  <c r="D80" i="76"/>
  <c r="Z78" i="76"/>
  <c r="X78" i="76"/>
  <c r="L78" i="76"/>
  <c r="N78" i="76" s="1"/>
  <c r="F78" i="76"/>
  <c r="B78" i="76"/>
  <c r="T77" i="76"/>
  <c r="Z77" i="76" s="1"/>
  <c r="P77" i="76"/>
  <c r="X77" i="76" s="1"/>
  <c r="H77" i="76"/>
  <c r="N77" i="76" s="1"/>
  <c r="D77" i="76"/>
  <c r="L77" i="76" s="1"/>
  <c r="B77" i="76"/>
  <c r="X76" i="76"/>
  <c r="Z76" i="76" s="1"/>
  <c r="N76" i="76"/>
  <c r="L76" i="76"/>
  <c r="F76" i="76"/>
  <c r="B76" i="76"/>
  <c r="T75" i="76"/>
  <c r="P75" i="76"/>
  <c r="X75" i="76" s="1"/>
  <c r="Z75" i="76" s="1"/>
  <c r="N75" i="76"/>
  <c r="L75" i="76"/>
  <c r="H75" i="76"/>
  <c r="D75" i="76"/>
  <c r="B75" i="76"/>
  <c r="Z74" i="76"/>
  <c r="X74" i="76"/>
  <c r="N74" i="76"/>
  <c r="L74" i="76"/>
  <c r="B74" i="76"/>
  <c r="Z73" i="76"/>
  <c r="T73" i="76"/>
  <c r="X73" i="76" s="1"/>
  <c r="P73" i="76"/>
  <c r="L73" i="76"/>
  <c r="N73" i="76" s="1"/>
  <c r="H73" i="76"/>
  <c r="D73" i="76"/>
  <c r="B73" i="76"/>
  <c r="X72" i="76"/>
  <c r="Z72" i="76" s="1"/>
  <c r="N72" i="76"/>
  <c r="L72" i="76"/>
  <c r="B72" i="76"/>
  <c r="Z71" i="76"/>
  <c r="X71" i="76"/>
  <c r="N71" i="76"/>
  <c r="L71" i="76"/>
  <c r="B71" i="76"/>
  <c r="Z70" i="76"/>
  <c r="X70" i="76"/>
  <c r="N70" i="76"/>
  <c r="L70" i="76"/>
  <c r="B70" i="76"/>
  <c r="Z69" i="76"/>
  <c r="X69" i="76"/>
  <c r="N69" i="76"/>
  <c r="L69" i="76"/>
  <c r="B69" i="76"/>
  <c r="X68" i="76"/>
  <c r="Z68" i="76" s="1"/>
  <c r="N68" i="76"/>
  <c r="L68" i="76"/>
  <c r="B68" i="76"/>
  <c r="T67" i="76"/>
  <c r="P67" i="76"/>
  <c r="X67" i="76" s="1"/>
  <c r="H67" i="76"/>
  <c r="N67" i="76" s="1"/>
  <c r="D67" i="76"/>
  <c r="L67" i="76" s="1"/>
  <c r="B67" i="76"/>
  <c r="X66" i="76"/>
  <c r="Z66" i="76" s="1"/>
  <c r="N66" i="76"/>
  <c r="L66" i="76"/>
  <c r="B66" i="76"/>
  <c r="X65" i="76"/>
  <c r="Z65" i="76" s="1"/>
  <c r="T65" i="76"/>
  <c r="P65" i="76"/>
  <c r="N65" i="76"/>
  <c r="H65" i="76"/>
  <c r="D65" i="76"/>
  <c r="L65" i="76" s="1"/>
  <c r="B65" i="76"/>
  <c r="Z64" i="76"/>
  <c r="X64" i="76"/>
  <c r="L64" i="76"/>
  <c r="N64" i="76" s="1"/>
  <c r="B64" i="76"/>
  <c r="X63" i="76"/>
  <c r="Z63" i="76" s="1"/>
  <c r="N63" i="76"/>
  <c r="L63" i="76"/>
  <c r="B63" i="76"/>
  <c r="Z62" i="76"/>
  <c r="X62" i="76"/>
  <c r="N62" i="76"/>
  <c r="L62" i="76"/>
  <c r="B62" i="76"/>
  <c r="Z61" i="76"/>
  <c r="T61" i="76"/>
  <c r="X61" i="76" s="1"/>
  <c r="P61" i="76"/>
  <c r="L61" i="76"/>
  <c r="N61" i="76" s="1"/>
  <c r="H61" i="76"/>
  <c r="D61" i="76"/>
  <c r="B61" i="76"/>
  <c r="X60" i="76"/>
  <c r="Z60" i="76" s="1"/>
  <c r="N60" i="76"/>
  <c r="L60" i="76"/>
  <c r="B60" i="76"/>
  <c r="Z59" i="76"/>
  <c r="X59" i="76"/>
  <c r="N59" i="76"/>
  <c r="L59" i="76"/>
  <c r="B59" i="76"/>
  <c r="Z58" i="76"/>
  <c r="X58" i="76"/>
  <c r="N58" i="76"/>
  <c r="L58" i="76"/>
  <c r="B58" i="76"/>
  <c r="T57" i="76"/>
  <c r="Z57" i="76" s="1"/>
  <c r="P57" i="76"/>
  <c r="X57" i="76" s="1"/>
  <c r="H57" i="76"/>
  <c r="N57" i="76" s="1"/>
  <c r="F57" i="76"/>
  <c r="D57" i="76"/>
  <c r="L57" i="76" s="1"/>
  <c r="B57" i="76"/>
  <c r="X56" i="76"/>
  <c r="Z56" i="76" s="1"/>
  <c r="N56" i="76"/>
  <c r="L56" i="76"/>
  <c r="B56" i="76"/>
  <c r="Z55" i="76"/>
  <c r="T55" i="76"/>
  <c r="P55" i="76"/>
  <c r="X55" i="76" s="1"/>
  <c r="L55" i="76"/>
  <c r="N55" i="76" s="1"/>
  <c r="H55" i="76"/>
  <c r="F55" i="76"/>
  <c r="D55" i="76"/>
  <c r="B55" i="76"/>
  <c r="Z54" i="76"/>
  <c r="X54" i="76"/>
  <c r="N54" i="76"/>
  <c r="L54" i="76"/>
  <c r="B54" i="76"/>
  <c r="T53" i="76"/>
  <c r="X53" i="76" s="1"/>
  <c r="Z53" i="76" s="1"/>
  <c r="P53" i="76"/>
  <c r="L53" i="76"/>
  <c r="N53" i="76" s="1"/>
  <c r="H53" i="76"/>
  <c r="D53" i="76"/>
  <c r="B53" i="76"/>
  <c r="X52" i="76"/>
  <c r="Z52" i="76" s="1"/>
  <c r="N52" i="76"/>
  <c r="L52" i="76"/>
  <c r="B52" i="76"/>
  <c r="T51" i="76"/>
  <c r="P51" i="76"/>
  <c r="X51" i="76" s="1"/>
  <c r="H51" i="76"/>
  <c r="N51" i="76" s="1"/>
  <c r="D51" i="76"/>
  <c r="L51" i="76" s="1"/>
  <c r="B51" i="76"/>
  <c r="X50" i="76"/>
  <c r="Z50" i="76" s="1"/>
  <c r="N50" i="76"/>
  <c r="L50" i="76"/>
  <c r="B50" i="76"/>
  <c r="X49" i="76"/>
  <c r="Z49" i="76" s="1"/>
  <c r="T49" i="76"/>
  <c r="P49" i="76"/>
  <c r="H49" i="76"/>
  <c r="D49" i="76"/>
  <c r="L49" i="76" s="1"/>
  <c r="N49" i="76" s="1"/>
  <c r="B49" i="76"/>
  <c r="Z48" i="76"/>
  <c r="X48" i="76"/>
  <c r="N48" i="76"/>
  <c r="L48" i="76"/>
  <c r="B48" i="76"/>
  <c r="X47" i="76"/>
  <c r="Z47" i="76" s="1"/>
  <c r="T47" i="76"/>
  <c r="P47" i="76"/>
  <c r="N47" i="76"/>
  <c r="H47" i="76"/>
  <c r="L47" i="76" s="1"/>
  <c r="D47" i="76"/>
  <c r="B47" i="76"/>
  <c r="Z46" i="76"/>
  <c r="X46" i="76"/>
  <c r="L46" i="76"/>
  <c r="N46" i="76" s="1"/>
  <c r="F46" i="76"/>
  <c r="B46" i="76"/>
  <c r="Z45" i="76"/>
  <c r="X45" i="76"/>
  <c r="L45" i="76"/>
  <c r="N45" i="76" s="1"/>
  <c r="B45" i="76"/>
  <c r="X44" i="76"/>
  <c r="Z44" i="76" s="1"/>
  <c r="T44" i="76"/>
  <c r="P44" i="76"/>
  <c r="H44" i="76"/>
  <c r="D44" i="76"/>
  <c r="L44" i="76" s="1"/>
  <c r="N44" i="76" s="1"/>
  <c r="B44" i="76"/>
  <c r="Z43" i="76"/>
  <c r="X43" i="76"/>
  <c r="N43" i="76"/>
  <c r="L43" i="76"/>
  <c r="B43" i="76"/>
  <c r="X42" i="76"/>
  <c r="T42" i="76"/>
  <c r="P42" i="76"/>
  <c r="L42" i="76"/>
  <c r="H42" i="76"/>
  <c r="N42" i="76" s="1"/>
  <c r="D42" i="76"/>
  <c r="B42" i="76"/>
  <c r="Z41" i="76"/>
  <c r="X41" i="76"/>
  <c r="N41" i="76"/>
  <c r="L41" i="76"/>
  <c r="B41" i="76"/>
  <c r="T40" i="76"/>
  <c r="P40" i="76"/>
  <c r="X40" i="76" s="1"/>
  <c r="N40" i="76"/>
  <c r="H40" i="76"/>
  <c r="L40" i="76" s="1"/>
  <c r="D40" i="76"/>
  <c r="B40" i="76"/>
  <c r="X39" i="76"/>
  <c r="Z39" i="76" s="1"/>
  <c r="N39" i="76"/>
  <c r="L39" i="76"/>
  <c r="B39" i="76"/>
  <c r="T38" i="76"/>
  <c r="P38" i="76"/>
  <c r="X38" i="76" s="1"/>
  <c r="Z38" i="76" s="1"/>
  <c r="N38" i="76"/>
  <c r="L38" i="76"/>
  <c r="H38" i="76"/>
  <c r="D38" i="76"/>
  <c r="B38" i="76"/>
  <c r="X37" i="76"/>
  <c r="Z37" i="76" s="1"/>
  <c r="N37" i="76"/>
  <c r="L37" i="76"/>
  <c r="B37" i="76"/>
  <c r="X36" i="76"/>
  <c r="Z36" i="76" s="1"/>
  <c r="N36" i="76"/>
  <c r="L36" i="76"/>
  <c r="B36" i="76"/>
  <c r="Z35" i="76"/>
  <c r="X35" i="76"/>
  <c r="N35" i="76"/>
  <c r="L35" i="76"/>
  <c r="B35" i="76"/>
  <c r="X34" i="76"/>
  <c r="Z34" i="76" s="1"/>
  <c r="N34" i="76"/>
  <c r="L34" i="76"/>
  <c r="B34" i="76"/>
  <c r="X33" i="76"/>
  <c r="Z33" i="76" s="1"/>
  <c r="N33" i="76"/>
  <c r="L33" i="76"/>
  <c r="B33" i="76"/>
  <c r="X32" i="76"/>
  <c r="T32" i="76"/>
  <c r="Z32" i="76" s="1"/>
  <c r="P32" i="76"/>
  <c r="H32" i="76"/>
  <c r="D32" i="76"/>
  <c r="B32" i="76"/>
  <c r="X31" i="76"/>
  <c r="Z31" i="76" s="1"/>
  <c r="N31" i="76"/>
  <c r="L31" i="76"/>
  <c r="B31" i="76"/>
  <c r="Z30" i="76"/>
  <c r="X30" i="76"/>
  <c r="N30" i="76"/>
  <c r="L30" i="76"/>
  <c r="B30" i="76"/>
  <c r="Z29" i="76"/>
  <c r="X29" i="76"/>
  <c r="N29" i="76"/>
  <c r="L29" i="76"/>
  <c r="B29" i="76"/>
  <c r="Z28" i="76"/>
  <c r="X28" i="76"/>
  <c r="R28" i="76"/>
  <c r="L28" i="76"/>
  <c r="N28" i="76" s="1"/>
  <c r="B28" i="76"/>
  <c r="X27" i="76"/>
  <c r="Z27" i="76" s="1"/>
  <c r="N27" i="76"/>
  <c r="L27" i="76"/>
  <c r="B27" i="76"/>
  <c r="Z26" i="76"/>
  <c r="X26" i="76"/>
  <c r="N26" i="76"/>
  <c r="L26" i="76"/>
  <c r="B26" i="76"/>
  <c r="Z25" i="76"/>
  <c r="X25" i="76"/>
  <c r="N25" i="76"/>
  <c r="L25" i="76"/>
  <c r="B25" i="76"/>
  <c r="Z24" i="76"/>
  <c r="X24" i="76"/>
  <c r="L24" i="76"/>
  <c r="N24" i="76" s="1"/>
  <c r="B24" i="76"/>
  <c r="X23" i="76"/>
  <c r="Z23" i="76" s="1"/>
  <c r="T23" i="76"/>
  <c r="P23" i="76"/>
  <c r="N23" i="76"/>
  <c r="H23" i="76"/>
  <c r="L23" i="76" s="1"/>
  <c r="D23" i="76"/>
  <c r="B23" i="76"/>
  <c r="T22" i="76"/>
  <c r="P22" i="76"/>
  <c r="H22" i="76"/>
  <c r="D22" i="76"/>
  <c r="L22" i="76" s="1"/>
  <c r="P20" i="76"/>
  <c r="Z18" i="76"/>
  <c r="X18" i="76"/>
  <c r="N18" i="76"/>
  <c r="L18" i="76"/>
  <c r="F18" i="76"/>
  <c r="B18" i="76"/>
  <c r="Z17" i="76"/>
  <c r="X17" i="76"/>
  <c r="L17" i="76"/>
  <c r="N17" i="76" s="1"/>
  <c r="B17" i="76"/>
  <c r="X16" i="76"/>
  <c r="T16" i="76"/>
  <c r="Z16" i="76" s="1"/>
  <c r="P16" i="76"/>
  <c r="H16" i="76"/>
  <c r="D16" i="76"/>
  <c r="L16" i="76" s="1"/>
  <c r="N16" i="76" s="1"/>
  <c r="X14" i="76"/>
  <c r="T14" i="76"/>
  <c r="P14" i="76"/>
  <c r="P12" i="76" s="1"/>
  <c r="R67" i="76" s="1"/>
  <c r="H14" i="76"/>
  <c r="D14" i="76"/>
  <c r="B14" i="76"/>
  <c r="T13" i="76"/>
  <c r="P13" i="76"/>
  <c r="X13" i="76" s="1"/>
  <c r="N13" i="76"/>
  <c r="L13" i="76"/>
  <c r="H13" i="76"/>
  <c r="D13" i="76"/>
  <c r="B13" i="76"/>
  <c r="D12" i="76"/>
  <c r="F77" i="76" s="1"/>
  <c r="D6" i="76"/>
  <c r="D4" i="76"/>
  <c r="X29" i="75"/>
  <c r="Z29" i="75" s="1"/>
  <c r="V29" i="75"/>
  <c r="L29" i="75"/>
  <c r="N29" i="75" s="1"/>
  <c r="X25" i="75"/>
  <c r="T25" i="75"/>
  <c r="Z25" i="75" s="1"/>
  <c r="P25" i="75"/>
  <c r="N25" i="75"/>
  <c r="H25" i="75"/>
  <c r="D25" i="75"/>
  <c r="L25" i="75" s="1"/>
  <c r="X23" i="75"/>
  <c r="T23" i="75"/>
  <c r="Z23" i="75" s="1"/>
  <c r="P23" i="75"/>
  <c r="N23" i="75"/>
  <c r="H23" i="75"/>
  <c r="D23" i="75"/>
  <c r="L23" i="75" s="1"/>
  <c r="X19" i="75"/>
  <c r="Z19" i="75" s="1"/>
  <c r="L19" i="75"/>
  <c r="N19" i="75" s="1"/>
  <c r="B19" i="75"/>
  <c r="Z18" i="75"/>
  <c r="X18" i="75"/>
  <c r="V18" i="75"/>
  <c r="N18" i="75"/>
  <c r="L18" i="75"/>
  <c r="B18" i="75"/>
  <c r="Z17" i="75"/>
  <c r="T17" i="75"/>
  <c r="P17" i="75"/>
  <c r="X17" i="75" s="1"/>
  <c r="L17" i="75"/>
  <c r="H17" i="75"/>
  <c r="N17" i="75" s="1"/>
  <c r="D17" i="75"/>
  <c r="T15" i="75"/>
  <c r="P15" i="75"/>
  <c r="X15" i="75" s="1"/>
  <c r="Z15" i="75" s="1"/>
  <c r="L15" i="75"/>
  <c r="H15" i="75"/>
  <c r="D15" i="75"/>
  <c r="D12" i="75" s="1"/>
  <c r="B15" i="75"/>
  <c r="T14" i="75"/>
  <c r="Z14" i="75" s="1"/>
  <c r="P14" i="75"/>
  <c r="X14" i="75" s="1"/>
  <c r="L14" i="75"/>
  <c r="H14" i="75"/>
  <c r="N14" i="75" s="1"/>
  <c r="D14" i="75"/>
  <c r="B14" i="75"/>
  <c r="X13" i="75"/>
  <c r="T13" i="75"/>
  <c r="Z13" i="75" s="1"/>
  <c r="P13" i="75"/>
  <c r="P12" i="75" s="1"/>
  <c r="H13" i="75"/>
  <c r="D13" i="75"/>
  <c r="B13" i="75"/>
  <c r="T12" i="75"/>
  <c r="D6" i="75"/>
  <c r="D4" i="75"/>
  <c r="X76" i="74"/>
  <c r="Z76" i="74" s="1"/>
  <c r="N76" i="74"/>
  <c r="L76" i="74"/>
  <c r="T72" i="74"/>
  <c r="Z72" i="74" s="1"/>
  <c r="P72" i="74"/>
  <c r="N72" i="74"/>
  <c r="H72" i="74"/>
  <c r="F72" i="74"/>
  <c r="D72" i="74"/>
  <c r="L72" i="74" s="1"/>
  <c r="Z70" i="74"/>
  <c r="X70" i="74"/>
  <c r="L70" i="74"/>
  <c r="N70" i="74" s="1"/>
  <c r="B70" i="74"/>
  <c r="X69" i="74"/>
  <c r="T69" i="74"/>
  <c r="P69" i="74"/>
  <c r="N69" i="74"/>
  <c r="H69" i="74"/>
  <c r="D69" i="74"/>
  <c r="L69" i="74" s="1"/>
  <c r="B69" i="74"/>
  <c r="Z68" i="74"/>
  <c r="X68" i="74"/>
  <c r="N68" i="74"/>
  <c r="L68" i="74"/>
  <c r="B68" i="74"/>
  <c r="X67" i="74"/>
  <c r="T67" i="74"/>
  <c r="P67" i="74"/>
  <c r="L67" i="74"/>
  <c r="H67" i="74"/>
  <c r="N67" i="74" s="1"/>
  <c r="D67" i="74"/>
  <c r="B67" i="74"/>
  <c r="Z66" i="74"/>
  <c r="X66" i="74"/>
  <c r="V66" i="74"/>
  <c r="N66" i="74"/>
  <c r="L66" i="74"/>
  <c r="B66" i="74"/>
  <c r="T65" i="74"/>
  <c r="P65" i="74"/>
  <c r="H65" i="74"/>
  <c r="D65" i="74"/>
  <c r="B65" i="74"/>
  <c r="Z64" i="74"/>
  <c r="X64" i="74"/>
  <c r="N64" i="74"/>
  <c r="L64" i="74"/>
  <c r="B64" i="74"/>
  <c r="Z63" i="74"/>
  <c r="X63" i="74"/>
  <c r="N63" i="74"/>
  <c r="L63" i="74"/>
  <c r="B63" i="74"/>
  <c r="Z62" i="74"/>
  <c r="X62" i="74"/>
  <c r="N62" i="74"/>
  <c r="L62" i="74"/>
  <c r="B62" i="74"/>
  <c r="X61" i="74"/>
  <c r="Z61" i="74" s="1"/>
  <c r="N61" i="74"/>
  <c r="L61" i="74"/>
  <c r="B61" i="74"/>
  <c r="Z60" i="74"/>
  <c r="X60" i="74"/>
  <c r="V60" i="74"/>
  <c r="N60" i="74"/>
  <c r="L60" i="74"/>
  <c r="B60" i="74"/>
  <c r="Z59" i="74"/>
  <c r="X59" i="74"/>
  <c r="N59" i="74"/>
  <c r="L59" i="74"/>
  <c r="B59" i="74"/>
  <c r="Z58" i="74"/>
  <c r="X58" i="74"/>
  <c r="V58" i="74"/>
  <c r="N58" i="74"/>
  <c r="L58" i="74"/>
  <c r="B58" i="74"/>
  <c r="T57" i="74"/>
  <c r="P57" i="74"/>
  <c r="X57" i="74" s="1"/>
  <c r="N57" i="74"/>
  <c r="H57" i="74"/>
  <c r="D57" i="74"/>
  <c r="L57" i="74" s="1"/>
  <c r="B57" i="74"/>
  <c r="Z56" i="74"/>
  <c r="X56" i="74"/>
  <c r="N56" i="74"/>
  <c r="L56" i="74"/>
  <c r="B56" i="74"/>
  <c r="X55" i="74"/>
  <c r="Z55" i="74" s="1"/>
  <c r="N55" i="74"/>
  <c r="L55" i="74"/>
  <c r="B55" i="74"/>
  <c r="X54" i="74"/>
  <c r="Z54" i="74" s="1"/>
  <c r="N54" i="74"/>
  <c r="L54" i="74"/>
  <c r="B54" i="74"/>
  <c r="X53" i="74"/>
  <c r="V53" i="74"/>
  <c r="T53" i="74"/>
  <c r="P53" i="74"/>
  <c r="H53" i="74"/>
  <c r="D53" i="74"/>
  <c r="B53" i="74"/>
  <c r="Z52" i="74"/>
  <c r="X52" i="74"/>
  <c r="N52" i="74"/>
  <c r="L52" i="74"/>
  <c r="J52" i="74"/>
  <c r="B52" i="74"/>
  <c r="Z51" i="74"/>
  <c r="X51" i="74"/>
  <c r="N51" i="74"/>
  <c r="L51" i="74"/>
  <c r="B51" i="74"/>
  <c r="Z50" i="74"/>
  <c r="T50" i="74"/>
  <c r="X50" i="74" s="1"/>
  <c r="P50" i="74"/>
  <c r="L50" i="74"/>
  <c r="N50" i="74" s="1"/>
  <c r="H50" i="74"/>
  <c r="D50" i="74"/>
  <c r="B50" i="74"/>
  <c r="X49" i="74"/>
  <c r="Z49" i="74" s="1"/>
  <c r="L49" i="74"/>
  <c r="N49" i="74" s="1"/>
  <c r="B49" i="74"/>
  <c r="T48" i="74"/>
  <c r="P48" i="74"/>
  <c r="X48" i="74" s="1"/>
  <c r="Z48" i="74" s="1"/>
  <c r="H48" i="74"/>
  <c r="D48" i="74"/>
  <c r="L48" i="74" s="1"/>
  <c r="B48" i="74"/>
  <c r="X47" i="74"/>
  <c r="Z47" i="74" s="1"/>
  <c r="N47" i="74"/>
  <c r="L47" i="74"/>
  <c r="B47" i="74"/>
  <c r="X46" i="74"/>
  <c r="T46" i="74"/>
  <c r="Z46" i="74" s="1"/>
  <c r="P46" i="74"/>
  <c r="N46" i="74"/>
  <c r="H46" i="74"/>
  <c r="D46" i="74"/>
  <c r="L46" i="74" s="1"/>
  <c r="B46" i="74"/>
  <c r="Z45" i="74"/>
  <c r="X45" i="74"/>
  <c r="L45" i="74"/>
  <c r="N45" i="74" s="1"/>
  <c r="B45" i="74"/>
  <c r="X44" i="74"/>
  <c r="Z44" i="74" s="1"/>
  <c r="T44" i="74"/>
  <c r="P44" i="74"/>
  <c r="H44" i="74"/>
  <c r="D44" i="74"/>
  <c r="B44" i="74"/>
  <c r="Z43" i="74"/>
  <c r="X43" i="74"/>
  <c r="N43" i="74"/>
  <c r="L43" i="74"/>
  <c r="B43" i="74"/>
  <c r="T42" i="74"/>
  <c r="P42" i="74"/>
  <c r="X42" i="74" s="1"/>
  <c r="N42" i="74"/>
  <c r="H42" i="74"/>
  <c r="D42" i="74"/>
  <c r="L42" i="74" s="1"/>
  <c r="B42" i="74"/>
  <c r="X41" i="74"/>
  <c r="Z41" i="74" s="1"/>
  <c r="V41" i="74"/>
  <c r="N41" i="74"/>
  <c r="L41" i="74"/>
  <c r="B41" i="74"/>
  <c r="T40" i="74"/>
  <c r="P40" i="74"/>
  <c r="X40" i="74" s="1"/>
  <c r="Z40" i="74" s="1"/>
  <c r="L40" i="74"/>
  <c r="H40" i="74"/>
  <c r="N40" i="74" s="1"/>
  <c r="F40" i="74"/>
  <c r="D40" i="74"/>
  <c r="B40" i="74"/>
  <c r="Z39" i="74"/>
  <c r="X39" i="74"/>
  <c r="N39" i="74"/>
  <c r="L39" i="74"/>
  <c r="B39" i="74"/>
  <c r="Z38" i="74"/>
  <c r="V38" i="74"/>
  <c r="T38" i="74"/>
  <c r="P38" i="74"/>
  <c r="X38" i="74" s="1"/>
  <c r="N38" i="74"/>
  <c r="L38" i="74"/>
  <c r="H38" i="74"/>
  <c r="D38" i="74"/>
  <c r="B38" i="74"/>
  <c r="X37" i="74"/>
  <c r="Z37" i="74" s="1"/>
  <c r="N37" i="74"/>
  <c r="L37" i="74"/>
  <c r="B37" i="74"/>
  <c r="Z36" i="74"/>
  <c r="X36" i="74"/>
  <c r="N36" i="74"/>
  <c r="L36" i="74"/>
  <c r="B36" i="74"/>
  <c r="Z35" i="74"/>
  <c r="X35" i="74"/>
  <c r="N35" i="74"/>
  <c r="L35" i="74"/>
  <c r="B35" i="74"/>
  <c r="Z34" i="74"/>
  <c r="X34" i="74"/>
  <c r="N34" i="74"/>
  <c r="L34" i="74"/>
  <c r="B34" i="74"/>
  <c r="X33" i="74"/>
  <c r="Z33" i="74" s="1"/>
  <c r="L33" i="74"/>
  <c r="N33" i="74" s="1"/>
  <c r="J33" i="74"/>
  <c r="B33" i="74"/>
  <c r="V32" i="74"/>
  <c r="T32" i="74"/>
  <c r="P32" i="74"/>
  <c r="X32" i="74" s="1"/>
  <c r="Z32" i="74" s="1"/>
  <c r="H32" i="74"/>
  <c r="D32" i="74"/>
  <c r="B32" i="74"/>
  <c r="X31" i="74"/>
  <c r="Z31" i="74" s="1"/>
  <c r="N31" i="74"/>
  <c r="L31" i="74"/>
  <c r="F31" i="74"/>
  <c r="B31" i="74"/>
  <c r="X30" i="74"/>
  <c r="Z30" i="74" s="1"/>
  <c r="N30" i="74"/>
  <c r="L30" i="74"/>
  <c r="B30" i="74"/>
  <c r="X29" i="74"/>
  <c r="Z29" i="74" s="1"/>
  <c r="V29" i="74"/>
  <c r="N29" i="74"/>
  <c r="L29" i="74"/>
  <c r="F29" i="74"/>
  <c r="B29" i="74"/>
  <c r="Z28" i="74"/>
  <c r="X28" i="74"/>
  <c r="L28" i="74"/>
  <c r="N28" i="74" s="1"/>
  <c r="B28" i="74"/>
  <c r="X27" i="74"/>
  <c r="Z27" i="74" s="1"/>
  <c r="N27" i="74"/>
  <c r="L27" i="74"/>
  <c r="B27" i="74"/>
  <c r="X26" i="74"/>
  <c r="Z26" i="74" s="1"/>
  <c r="N26" i="74"/>
  <c r="L26" i="74"/>
  <c r="B26" i="74"/>
  <c r="X25" i="74"/>
  <c r="Z25" i="74" s="1"/>
  <c r="N25" i="74"/>
  <c r="L25" i="74"/>
  <c r="B25" i="74"/>
  <c r="X24" i="74"/>
  <c r="Z24" i="74" s="1"/>
  <c r="L24" i="74"/>
  <c r="N24" i="74" s="1"/>
  <c r="B24" i="74"/>
  <c r="T23" i="74"/>
  <c r="P23" i="74"/>
  <c r="L23" i="74"/>
  <c r="H23" i="74"/>
  <c r="N23" i="74" s="1"/>
  <c r="D23" i="74"/>
  <c r="B23" i="74"/>
  <c r="T22" i="74"/>
  <c r="P22" i="74"/>
  <c r="N22" i="74"/>
  <c r="L22" i="74"/>
  <c r="H22" i="74"/>
  <c r="D22" i="74"/>
  <c r="Z18" i="74"/>
  <c r="X18" i="74"/>
  <c r="N18" i="74"/>
  <c r="L18" i="74"/>
  <c r="J18" i="74"/>
  <c r="B18" i="74"/>
  <c r="Z17" i="74"/>
  <c r="X17" i="74"/>
  <c r="L17" i="74"/>
  <c r="N17" i="74" s="1"/>
  <c r="B17" i="74"/>
  <c r="Z16" i="74"/>
  <c r="X16" i="74"/>
  <c r="T16" i="74"/>
  <c r="P16" i="74"/>
  <c r="J16" i="74"/>
  <c r="H16" i="74"/>
  <c r="N16" i="74" s="1"/>
  <c r="D16" i="74"/>
  <c r="L16" i="74" s="1"/>
  <c r="X14" i="74"/>
  <c r="Z14" i="74" s="1"/>
  <c r="T14" i="74"/>
  <c r="P14" i="74"/>
  <c r="H14" i="74"/>
  <c r="H12" i="74" s="1"/>
  <c r="J48" i="74" s="1"/>
  <c r="D14" i="74"/>
  <c r="B14" i="74"/>
  <c r="T13" i="74"/>
  <c r="P13" i="74"/>
  <c r="N13" i="74"/>
  <c r="H13" i="74"/>
  <c r="D13" i="74"/>
  <c r="L13" i="74" s="1"/>
  <c r="B13" i="74"/>
  <c r="T12" i="74"/>
  <c r="V37" i="74" s="1"/>
  <c r="D12" i="74"/>
  <c r="D6" i="74"/>
  <c r="D4" i="74"/>
  <c r="Z73" i="73"/>
  <c r="X73" i="73"/>
  <c r="L73" i="73"/>
  <c r="N73" i="73" s="1"/>
  <c r="J71" i="73"/>
  <c r="Z69" i="73"/>
  <c r="X69" i="73"/>
  <c r="T69" i="73"/>
  <c r="P69" i="73"/>
  <c r="H69" i="73"/>
  <c r="N69" i="73" s="1"/>
  <c r="D69" i="73"/>
  <c r="Z67" i="73"/>
  <c r="X67" i="73"/>
  <c r="R67" i="73"/>
  <c r="N67" i="73"/>
  <c r="L67" i="73"/>
  <c r="B67" i="73"/>
  <c r="T66" i="73"/>
  <c r="P66" i="73"/>
  <c r="H66" i="73"/>
  <c r="D66" i="73"/>
  <c r="L66" i="73" s="1"/>
  <c r="N66" i="73" s="1"/>
  <c r="B66" i="73"/>
  <c r="Z65" i="73"/>
  <c r="X65" i="73"/>
  <c r="L65" i="73"/>
  <c r="N65" i="73" s="1"/>
  <c r="B65" i="73"/>
  <c r="X64" i="73"/>
  <c r="T64" i="73"/>
  <c r="P64" i="73"/>
  <c r="H64" i="73"/>
  <c r="D64" i="73"/>
  <c r="L64" i="73" s="1"/>
  <c r="N64" i="73" s="1"/>
  <c r="B64" i="73"/>
  <c r="Z63" i="73"/>
  <c r="X63" i="73"/>
  <c r="N63" i="73"/>
  <c r="L63" i="73"/>
  <c r="B63" i="73"/>
  <c r="X62" i="73"/>
  <c r="Z62" i="73" s="1"/>
  <c r="N62" i="73"/>
  <c r="L62" i="73"/>
  <c r="B62" i="73"/>
  <c r="X61" i="73"/>
  <c r="Z61" i="73" s="1"/>
  <c r="N61" i="73"/>
  <c r="L61" i="73"/>
  <c r="B61" i="73"/>
  <c r="Z60" i="73"/>
  <c r="X60" i="73"/>
  <c r="N60" i="73"/>
  <c r="L60" i="73"/>
  <c r="B60" i="73"/>
  <c r="X59" i="73"/>
  <c r="Z59" i="73" s="1"/>
  <c r="N59" i="73"/>
  <c r="L59" i="73"/>
  <c r="B59" i="73"/>
  <c r="T58" i="73"/>
  <c r="P58" i="73"/>
  <c r="H58" i="73"/>
  <c r="D58" i="73"/>
  <c r="L58" i="73" s="1"/>
  <c r="N58" i="73" s="1"/>
  <c r="B58" i="73"/>
  <c r="Z57" i="73"/>
  <c r="X57" i="73"/>
  <c r="N57" i="73"/>
  <c r="L57" i="73"/>
  <c r="B57" i="73"/>
  <c r="X56" i="73"/>
  <c r="Z56" i="73" s="1"/>
  <c r="L56" i="73"/>
  <c r="N56" i="73" s="1"/>
  <c r="B56" i="73"/>
  <c r="X55" i="73"/>
  <c r="Z55" i="73" s="1"/>
  <c r="N55" i="73"/>
  <c r="L55" i="73"/>
  <c r="B55" i="73"/>
  <c r="T54" i="73"/>
  <c r="P54" i="73"/>
  <c r="H54" i="73"/>
  <c r="D54" i="73"/>
  <c r="L54" i="73" s="1"/>
  <c r="N54" i="73" s="1"/>
  <c r="B54" i="73"/>
  <c r="Z53" i="73"/>
  <c r="X53" i="73"/>
  <c r="R53" i="73"/>
  <c r="N53" i="73"/>
  <c r="L53" i="73"/>
  <c r="B53" i="73"/>
  <c r="T52" i="73"/>
  <c r="P52" i="73"/>
  <c r="X52" i="73" s="1"/>
  <c r="N52" i="73"/>
  <c r="H52" i="73"/>
  <c r="D52" i="73"/>
  <c r="L52" i="73" s="1"/>
  <c r="B52" i="73"/>
  <c r="X51" i="73"/>
  <c r="Z51" i="73" s="1"/>
  <c r="N51" i="73"/>
  <c r="L51" i="73"/>
  <c r="B51" i="73"/>
  <c r="X50" i="73"/>
  <c r="Z50" i="73" s="1"/>
  <c r="N50" i="73"/>
  <c r="L50" i="73"/>
  <c r="B50" i="73"/>
  <c r="X49" i="73"/>
  <c r="Z49" i="73" s="1"/>
  <c r="N49" i="73"/>
  <c r="L49" i="73"/>
  <c r="B49" i="73"/>
  <c r="X48" i="73"/>
  <c r="Z48" i="73" s="1"/>
  <c r="T48" i="73"/>
  <c r="P48" i="73"/>
  <c r="H48" i="73"/>
  <c r="N48" i="73" s="1"/>
  <c r="D48" i="73"/>
  <c r="B48" i="73"/>
  <c r="Z47" i="73"/>
  <c r="X47" i="73"/>
  <c r="N47" i="73"/>
  <c r="L47" i="73"/>
  <c r="B47" i="73"/>
  <c r="X46" i="73"/>
  <c r="Z46" i="73" s="1"/>
  <c r="T46" i="73"/>
  <c r="P46" i="73"/>
  <c r="N46" i="73"/>
  <c r="H46" i="73"/>
  <c r="D46" i="73"/>
  <c r="L46" i="73" s="1"/>
  <c r="B46" i="73"/>
  <c r="X45" i="73"/>
  <c r="Z45" i="73" s="1"/>
  <c r="L45" i="73"/>
  <c r="N45" i="73" s="1"/>
  <c r="F45" i="73"/>
  <c r="B45" i="73"/>
  <c r="X44" i="73"/>
  <c r="T44" i="73"/>
  <c r="P44" i="73"/>
  <c r="H44" i="73"/>
  <c r="D44" i="73"/>
  <c r="L44" i="73" s="1"/>
  <c r="N44" i="73" s="1"/>
  <c r="B44" i="73"/>
  <c r="Z43" i="73"/>
  <c r="X43" i="73"/>
  <c r="N43" i="73"/>
  <c r="L43" i="73"/>
  <c r="B43" i="73"/>
  <c r="T42" i="73"/>
  <c r="X42" i="73" s="1"/>
  <c r="Z42" i="73" s="1"/>
  <c r="P42" i="73"/>
  <c r="L42" i="73"/>
  <c r="H42" i="73"/>
  <c r="N42" i="73" s="1"/>
  <c r="D42" i="73"/>
  <c r="B42" i="73"/>
  <c r="Z41" i="73"/>
  <c r="X41" i="73"/>
  <c r="N41" i="73"/>
  <c r="L41" i="73"/>
  <c r="B41" i="73"/>
  <c r="T40" i="73"/>
  <c r="P40" i="73"/>
  <c r="X40" i="73" s="1"/>
  <c r="H40" i="73"/>
  <c r="N40" i="73" s="1"/>
  <c r="D40" i="73"/>
  <c r="B40" i="73"/>
  <c r="X39" i="73"/>
  <c r="Z39" i="73" s="1"/>
  <c r="N39" i="73"/>
  <c r="L39" i="73"/>
  <c r="B39" i="73"/>
  <c r="T38" i="73"/>
  <c r="P38" i="73"/>
  <c r="X38" i="73" s="1"/>
  <c r="Z38" i="73" s="1"/>
  <c r="L38" i="73"/>
  <c r="H38" i="73"/>
  <c r="N38" i="73" s="1"/>
  <c r="D38" i="73"/>
  <c r="B38" i="73"/>
  <c r="X37" i="73"/>
  <c r="Z37" i="73" s="1"/>
  <c r="N37" i="73"/>
  <c r="L37" i="73"/>
  <c r="J37" i="73"/>
  <c r="B37" i="73"/>
  <c r="X36" i="73"/>
  <c r="Z36" i="73" s="1"/>
  <c r="N36" i="73"/>
  <c r="L36" i="73"/>
  <c r="B36" i="73"/>
  <c r="Z35" i="73"/>
  <c r="X35" i="73"/>
  <c r="N35" i="73"/>
  <c r="L35" i="73"/>
  <c r="B35" i="73"/>
  <c r="X34" i="73"/>
  <c r="Z34" i="73" s="1"/>
  <c r="N34" i="73"/>
  <c r="L34" i="73"/>
  <c r="B34" i="73"/>
  <c r="X33" i="73"/>
  <c r="Z33" i="73" s="1"/>
  <c r="N33" i="73"/>
  <c r="L33" i="73"/>
  <c r="J33" i="73"/>
  <c r="B33" i="73"/>
  <c r="X32" i="73"/>
  <c r="T32" i="73"/>
  <c r="Z32" i="73" s="1"/>
  <c r="P32" i="73"/>
  <c r="H32" i="73"/>
  <c r="N32" i="73" s="1"/>
  <c r="D32" i="73"/>
  <c r="B32" i="73"/>
  <c r="Z31" i="73"/>
  <c r="X31" i="73"/>
  <c r="N31" i="73"/>
  <c r="L31" i="73"/>
  <c r="B31" i="73"/>
  <c r="X30" i="73"/>
  <c r="Z30" i="73" s="1"/>
  <c r="N30" i="73"/>
  <c r="L30" i="73"/>
  <c r="B30" i="73"/>
  <c r="Z29" i="73"/>
  <c r="X29" i="73"/>
  <c r="N29" i="73"/>
  <c r="L29" i="73"/>
  <c r="B29" i="73"/>
  <c r="Z28" i="73"/>
  <c r="X28" i="73"/>
  <c r="N28" i="73"/>
  <c r="L28" i="73"/>
  <c r="B28" i="73"/>
  <c r="X27" i="73"/>
  <c r="Z27" i="73" s="1"/>
  <c r="N27" i="73"/>
  <c r="L27" i="73"/>
  <c r="J27" i="73"/>
  <c r="B27" i="73"/>
  <c r="X26" i="73"/>
  <c r="Z26" i="73" s="1"/>
  <c r="N26" i="73"/>
  <c r="L26" i="73"/>
  <c r="B26" i="73"/>
  <c r="Z25" i="73"/>
  <c r="X25" i="73"/>
  <c r="N25" i="73"/>
  <c r="L25" i="73"/>
  <c r="B25" i="73"/>
  <c r="Z24" i="73"/>
  <c r="X24" i="73"/>
  <c r="N24" i="73"/>
  <c r="L24" i="73"/>
  <c r="B24" i="73"/>
  <c r="T23" i="73"/>
  <c r="P23" i="73"/>
  <c r="X23" i="73" s="1"/>
  <c r="Z23" i="73" s="1"/>
  <c r="N23" i="73"/>
  <c r="L23" i="73"/>
  <c r="J23" i="73"/>
  <c r="H23" i="73"/>
  <c r="D23" i="73"/>
  <c r="B23" i="73"/>
  <c r="T22" i="73"/>
  <c r="P22" i="73"/>
  <c r="X22" i="73" s="1"/>
  <c r="Z22" i="73" s="1"/>
  <c r="H22" i="73"/>
  <c r="D22" i="73"/>
  <c r="L22" i="73" s="1"/>
  <c r="Z18" i="73"/>
  <c r="X18" i="73"/>
  <c r="N18" i="73"/>
  <c r="L18" i="73"/>
  <c r="B18" i="73"/>
  <c r="Z17" i="73"/>
  <c r="X17" i="73"/>
  <c r="L17" i="73"/>
  <c r="N17" i="73" s="1"/>
  <c r="B17" i="73"/>
  <c r="X16" i="73"/>
  <c r="T16" i="73"/>
  <c r="P16" i="73"/>
  <c r="H16" i="73"/>
  <c r="F16" i="73"/>
  <c r="D16" i="73"/>
  <c r="L16" i="73" s="1"/>
  <c r="N16" i="73" s="1"/>
  <c r="X14" i="73"/>
  <c r="Z14" i="73" s="1"/>
  <c r="T14" i="73"/>
  <c r="P14" i="73"/>
  <c r="P12" i="73" s="1"/>
  <c r="R33" i="73" s="1"/>
  <c r="H14" i="73"/>
  <c r="N14" i="73" s="1"/>
  <c r="D14" i="73"/>
  <c r="B14" i="73"/>
  <c r="X13" i="73"/>
  <c r="T13" i="73"/>
  <c r="P13" i="73"/>
  <c r="N13" i="73"/>
  <c r="H13" i="73"/>
  <c r="H12" i="73" s="1"/>
  <c r="J46" i="73" s="1"/>
  <c r="D13" i="73"/>
  <c r="L13" i="73" s="1"/>
  <c r="B13" i="73"/>
  <c r="D12" i="73"/>
  <c r="F17" i="73" s="1"/>
  <c r="D6" i="73"/>
  <c r="D4" i="73"/>
  <c r="X68" i="72"/>
  <c r="Z68" i="72" s="1"/>
  <c r="L68" i="72"/>
  <c r="N68" i="72" s="1"/>
  <c r="J68" i="72"/>
  <c r="X64" i="72"/>
  <c r="T64" i="72"/>
  <c r="P64" i="72"/>
  <c r="H64" i="72"/>
  <c r="D64" i="72"/>
  <c r="L64" i="72" s="1"/>
  <c r="N64" i="72" s="1"/>
  <c r="B64" i="72"/>
  <c r="Z63" i="72"/>
  <c r="T63" i="72"/>
  <c r="P63" i="72"/>
  <c r="X63" i="72" s="1"/>
  <c r="H63" i="72"/>
  <c r="F63" i="72"/>
  <c r="D63" i="72"/>
  <c r="B63" i="72"/>
  <c r="T62" i="72"/>
  <c r="P62" i="72"/>
  <c r="H62" i="72"/>
  <c r="D62" i="72"/>
  <c r="B62" i="72"/>
  <c r="T61" i="72"/>
  <c r="Z61" i="72" s="1"/>
  <c r="P61" i="72"/>
  <c r="X61" i="72" s="1"/>
  <c r="N61" i="72"/>
  <c r="L61" i="72"/>
  <c r="J61" i="72"/>
  <c r="H61" i="72"/>
  <c r="D61" i="72"/>
  <c r="B61" i="72"/>
  <c r="X60" i="72"/>
  <c r="T60" i="72"/>
  <c r="Z60" i="72" s="1"/>
  <c r="P60" i="72"/>
  <c r="N60" i="72"/>
  <c r="L60" i="72"/>
  <c r="H60" i="72"/>
  <c r="D60" i="72"/>
  <c r="D59" i="72" s="1"/>
  <c r="B60" i="72"/>
  <c r="P59" i="72"/>
  <c r="X57" i="72"/>
  <c r="Z57" i="72" s="1"/>
  <c r="L57" i="72"/>
  <c r="N57" i="72" s="1"/>
  <c r="B57" i="72"/>
  <c r="T56" i="72"/>
  <c r="P56" i="72"/>
  <c r="H56" i="72"/>
  <c r="D56" i="72"/>
  <c r="B56" i="72"/>
  <c r="Z55" i="72"/>
  <c r="X55" i="72"/>
  <c r="L55" i="72"/>
  <c r="N55" i="72" s="1"/>
  <c r="F55" i="72"/>
  <c r="B55" i="72"/>
  <c r="X54" i="72"/>
  <c r="Z54" i="72" s="1"/>
  <c r="N54" i="72"/>
  <c r="L54" i="72"/>
  <c r="B54" i="72"/>
  <c r="X53" i="72"/>
  <c r="Z53" i="72" s="1"/>
  <c r="T53" i="72"/>
  <c r="P53" i="72"/>
  <c r="H53" i="72"/>
  <c r="D53" i="72"/>
  <c r="L53" i="72" s="1"/>
  <c r="B53" i="72"/>
  <c r="Z52" i="72"/>
  <c r="X52" i="72"/>
  <c r="L52" i="72"/>
  <c r="N52" i="72" s="1"/>
  <c r="B52" i="72"/>
  <c r="T51" i="72"/>
  <c r="P51" i="72"/>
  <c r="H51" i="72"/>
  <c r="D51" i="72"/>
  <c r="L51" i="72" s="1"/>
  <c r="N51" i="72" s="1"/>
  <c r="B51" i="72"/>
  <c r="X50" i="72"/>
  <c r="Z50" i="72" s="1"/>
  <c r="N50" i="72"/>
  <c r="L50" i="72"/>
  <c r="B50" i="72"/>
  <c r="T49" i="72"/>
  <c r="P49" i="72"/>
  <c r="X49" i="72" s="1"/>
  <c r="Z49" i="72" s="1"/>
  <c r="N49" i="72"/>
  <c r="H49" i="72"/>
  <c r="D49" i="72"/>
  <c r="L49" i="72" s="1"/>
  <c r="B49" i="72"/>
  <c r="Z48" i="72"/>
  <c r="X48" i="72"/>
  <c r="L48" i="72"/>
  <c r="N48" i="72" s="1"/>
  <c r="F48" i="72"/>
  <c r="B48" i="72"/>
  <c r="Z47" i="72"/>
  <c r="X47" i="72"/>
  <c r="L47" i="72"/>
  <c r="N47" i="72" s="1"/>
  <c r="F47" i="72"/>
  <c r="B47" i="72"/>
  <c r="X46" i="72"/>
  <c r="T46" i="72"/>
  <c r="P46" i="72"/>
  <c r="H46" i="72"/>
  <c r="F46" i="72"/>
  <c r="D46" i="72"/>
  <c r="L46" i="72" s="1"/>
  <c r="N46" i="72" s="1"/>
  <c r="B46" i="72"/>
  <c r="Z45" i="72"/>
  <c r="X45" i="72"/>
  <c r="N45" i="72"/>
  <c r="L45" i="72"/>
  <c r="B45" i="72"/>
  <c r="Z44" i="72"/>
  <c r="X44" i="72"/>
  <c r="T44" i="72"/>
  <c r="P44" i="72"/>
  <c r="L44" i="72"/>
  <c r="H44" i="72"/>
  <c r="N44" i="72" s="1"/>
  <c r="D44" i="72"/>
  <c r="B44" i="72"/>
  <c r="Z43" i="72"/>
  <c r="X43" i="72"/>
  <c r="N43" i="72"/>
  <c r="L43" i="72"/>
  <c r="B43" i="72"/>
  <c r="T42" i="72"/>
  <c r="P42" i="72"/>
  <c r="X42" i="72" s="1"/>
  <c r="H42" i="72"/>
  <c r="N42" i="72" s="1"/>
  <c r="D42" i="72"/>
  <c r="B42" i="72"/>
  <c r="X41" i="72"/>
  <c r="Z41" i="72" s="1"/>
  <c r="N41" i="72"/>
  <c r="L41" i="72"/>
  <c r="B41" i="72"/>
  <c r="Z40" i="72"/>
  <c r="X40" i="72"/>
  <c r="N40" i="72"/>
  <c r="L40" i="72"/>
  <c r="F40" i="72"/>
  <c r="B40" i="72"/>
  <c r="Z39" i="72"/>
  <c r="X39" i="72"/>
  <c r="N39" i="72"/>
  <c r="L39" i="72"/>
  <c r="B39" i="72"/>
  <c r="X38" i="72"/>
  <c r="Z38" i="72" s="1"/>
  <c r="N38" i="72"/>
  <c r="L38" i="72"/>
  <c r="B38" i="72"/>
  <c r="X37" i="72"/>
  <c r="Z37" i="72" s="1"/>
  <c r="V37" i="72"/>
  <c r="N37" i="72"/>
  <c r="L37" i="72"/>
  <c r="B37" i="72"/>
  <c r="T36" i="72"/>
  <c r="P36" i="72"/>
  <c r="X36" i="72" s="1"/>
  <c r="Z36" i="72" s="1"/>
  <c r="L36" i="72"/>
  <c r="H36" i="72"/>
  <c r="N36" i="72" s="1"/>
  <c r="D36" i="72"/>
  <c r="B36" i="72"/>
  <c r="X35" i="72"/>
  <c r="Z35" i="72" s="1"/>
  <c r="N35" i="72"/>
  <c r="L35" i="72"/>
  <c r="B35" i="72"/>
  <c r="X34" i="72"/>
  <c r="Z34" i="72" s="1"/>
  <c r="N34" i="72"/>
  <c r="L34" i="72"/>
  <c r="B34" i="72"/>
  <c r="Z33" i="72"/>
  <c r="X33" i="72"/>
  <c r="N33" i="72"/>
  <c r="L33" i="72"/>
  <c r="B33" i="72"/>
  <c r="Z32" i="72"/>
  <c r="X32" i="72"/>
  <c r="N32" i="72"/>
  <c r="L32" i="72"/>
  <c r="B32" i="72"/>
  <c r="X31" i="72"/>
  <c r="Z31" i="72" s="1"/>
  <c r="N31" i="72"/>
  <c r="L31" i="72"/>
  <c r="J31" i="72"/>
  <c r="B31" i="72"/>
  <c r="X30" i="72"/>
  <c r="Z30" i="72" s="1"/>
  <c r="N30" i="72"/>
  <c r="L30" i="72"/>
  <c r="J30" i="72"/>
  <c r="B30" i="72"/>
  <c r="Z29" i="72"/>
  <c r="X29" i="72"/>
  <c r="N29" i="72"/>
  <c r="L29" i="72"/>
  <c r="B29" i="72"/>
  <c r="X28" i="72"/>
  <c r="T28" i="72"/>
  <c r="Z28" i="72" s="1"/>
  <c r="P28" i="72"/>
  <c r="L28" i="72"/>
  <c r="H28" i="72"/>
  <c r="N28" i="72" s="1"/>
  <c r="D28" i="72"/>
  <c r="B28" i="72"/>
  <c r="T27" i="72"/>
  <c r="Z27" i="72" s="1"/>
  <c r="P27" i="72"/>
  <c r="X27" i="72" s="1"/>
  <c r="H27" i="72"/>
  <c r="D27" i="72"/>
  <c r="D25" i="72"/>
  <c r="Z23" i="72"/>
  <c r="X23" i="72"/>
  <c r="V23" i="72"/>
  <c r="N23" i="72"/>
  <c r="L23" i="72"/>
  <c r="B23" i="72"/>
  <c r="Z22" i="72"/>
  <c r="X22" i="72"/>
  <c r="L22" i="72"/>
  <c r="N22" i="72" s="1"/>
  <c r="B22" i="72"/>
  <c r="X21" i="72"/>
  <c r="Z21" i="72" s="1"/>
  <c r="L21" i="72"/>
  <c r="N21" i="72" s="1"/>
  <c r="J21" i="72"/>
  <c r="B21" i="72"/>
  <c r="X20" i="72"/>
  <c r="Z20" i="72" s="1"/>
  <c r="N20" i="72"/>
  <c r="L20" i="72"/>
  <c r="B20" i="72"/>
  <c r="Z19" i="72"/>
  <c r="X19" i="72"/>
  <c r="N19" i="72"/>
  <c r="L19" i="72"/>
  <c r="B19" i="72"/>
  <c r="T18" i="72"/>
  <c r="P18" i="72"/>
  <c r="X18" i="72" s="1"/>
  <c r="H18" i="72"/>
  <c r="D18" i="72"/>
  <c r="T16" i="72"/>
  <c r="P16" i="72"/>
  <c r="X16" i="72" s="1"/>
  <c r="L16" i="72"/>
  <c r="H16" i="72"/>
  <c r="N16" i="72" s="1"/>
  <c r="D16" i="72"/>
  <c r="B16" i="72"/>
  <c r="X15" i="72"/>
  <c r="Z15" i="72" s="1"/>
  <c r="T15" i="72"/>
  <c r="P15" i="72"/>
  <c r="L15" i="72"/>
  <c r="H15" i="72"/>
  <c r="D15" i="72"/>
  <c r="B15" i="72"/>
  <c r="T14" i="72"/>
  <c r="Z14" i="72" s="1"/>
  <c r="P14" i="72"/>
  <c r="X14" i="72" s="1"/>
  <c r="N14" i="72"/>
  <c r="H14" i="72"/>
  <c r="D14" i="72"/>
  <c r="L14" i="72" s="1"/>
  <c r="B14" i="72"/>
  <c r="T13" i="72"/>
  <c r="T12" i="72" s="1"/>
  <c r="P13" i="72"/>
  <c r="X13" i="72" s="1"/>
  <c r="H13" i="72"/>
  <c r="H12" i="72" s="1"/>
  <c r="J62" i="72" s="1"/>
  <c r="D13" i="72"/>
  <c r="D12" i="72" s="1"/>
  <c r="F64" i="72" s="1"/>
  <c r="B13" i="72"/>
  <c r="L12" i="72"/>
  <c r="D6" i="72"/>
  <c r="D4" i="72"/>
  <c r="Z116" i="71"/>
  <c r="X116" i="71"/>
  <c r="L116" i="71"/>
  <c r="N116" i="71" s="1"/>
  <c r="T112" i="71"/>
  <c r="P112" i="71"/>
  <c r="H112" i="71"/>
  <c r="D112" i="71"/>
  <c r="B112" i="71"/>
  <c r="T111" i="71"/>
  <c r="P111" i="71"/>
  <c r="L111" i="71"/>
  <c r="N111" i="71" s="1"/>
  <c r="H111" i="71"/>
  <c r="D111" i="71"/>
  <c r="B111" i="71"/>
  <c r="X110" i="71"/>
  <c r="Z110" i="71" s="1"/>
  <c r="T110" i="71"/>
  <c r="P110" i="71"/>
  <c r="N110" i="71"/>
  <c r="H110" i="71"/>
  <c r="H108" i="71" s="1"/>
  <c r="D110" i="71"/>
  <c r="B110" i="71"/>
  <c r="T109" i="71"/>
  <c r="P109" i="71"/>
  <c r="N109" i="71"/>
  <c r="H109" i="71"/>
  <c r="D109" i="71"/>
  <c r="L109" i="71" s="1"/>
  <c r="B109" i="71"/>
  <c r="Z106" i="71"/>
  <c r="X106" i="71"/>
  <c r="N106" i="71"/>
  <c r="L106" i="71"/>
  <c r="B106" i="71"/>
  <c r="T105" i="71"/>
  <c r="P105" i="71"/>
  <c r="N105" i="71"/>
  <c r="L105" i="71"/>
  <c r="H105" i="71"/>
  <c r="D105" i="71"/>
  <c r="B105" i="71"/>
  <c r="X104" i="71"/>
  <c r="Z104" i="71" s="1"/>
  <c r="N104" i="71"/>
  <c r="L104" i="71"/>
  <c r="B104" i="71"/>
  <c r="Z103" i="71"/>
  <c r="T103" i="71"/>
  <c r="P103" i="71"/>
  <c r="X103" i="71" s="1"/>
  <c r="H103" i="71"/>
  <c r="D103" i="71"/>
  <c r="B103" i="71"/>
  <c r="X102" i="71"/>
  <c r="Z102" i="71" s="1"/>
  <c r="N102" i="71"/>
  <c r="L102" i="71"/>
  <c r="B102" i="71"/>
  <c r="T101" i="71"/>
  <c r="P101" i="71"/>
  <c r="X101" i="71" s="1"/>
  <c r="Z101" i="71" s="1"/>
  <c r="H101" i="71"/>
  <c r="D101" i="71"/>
  <c r="L101" i="71" s="1"/>
  <c r="N101" i="71" s="1"/>
  <c r="B101" i="71"/>
  <c r="X100" i="71"/>
  <c r="Z100" i="71" s="1"/>
  <c r="N100" i="71"/>
  <c r="L100" i="71"/>
  <c r="B100" i="71"/>
  <c r="Z99" i="71"/>
  <c r="X99" i="71"/>
  <c r="N99" i="71"/>
  <c r="L99" i="71"/>
  <c r="B99" i="71"/>
  <c r="Z98" i="71"/>
  <c r="X98" i="71"/>
  <c r="L98" i="71"/>
  <c r="N98" i="71" s="1"/>
  <c r="B98" i="71"/>
  <c r="Z97" i="71"/>
  <c r="X97" i="71"/>
  <c r="N97" i="71"/>
  <c r="L97" i="71"/>
  <c r="B97" i="71"/>
  <c r="Z96" i="71"/>
  <c r="X96" i="71"/>
  <c r="N96" i="71"/>
  <c r="L96" i="71"/>
  <c r="B96" i="71"/>
  <c r="X95" i="71"/>
  <c r="Z95" i="71" s="1"/>
  <c r="T95" i="71"/>
  <c r="P95" i="71"/>
  <c r="H95" i="71"/>
  <c r="D95" i="71"/>
  <c r="L95" i="71" s="1"/>
  <c r="B95" i="71"/>
  <c r="Z94" i="71"/>
  <c r="X94" i="71"/>
  <c r="R94" i="71"/>
  <c r="N94" i="71"/>
  <c r="L94" i="71"/>
  <c r="B94" i="71"/>
  <c r="X93" i="71"/>
  <c r="Z93" i="71" s="1"/>
  <c r="N93" i="71"/>
  <c r="L93" i="71"/>
  <c r="B93" i="71"/>
  <c r="X92" i="71"/>
  <c r="Z92" i="71" s="1"/>
  <c r="T92" i="71"/>
  <c r="P92" i="71"/>
  <c r="N92" i="71"/>
  <c r="H92" i="71"/>
  <c r="L92" i="71" s="1"/>
  <c r="D92" i="71"/>
  <c r="B92" i="71"/>
  <c r="X91" i="71"/>
  <c r="Z91" i="71" s="1"/>
  <c r="N91" i="71"/>
  <c r="L91" i="71"/>
  <c r="B91" i="71"/>
  <c r="Z90" i="71"/>
  <c r="X90" i="71"/>
  <c r="N90" i="71"/>
  <c r="L90" i="71"/>
  <c r="B90" i="71"/>
  <c r="T89" i="71"/>
  <c r="P89" i="71"/>
  <c r="X89" i="71" s="1"/>
  <c r="Z89" i="71" s="1"/>
  <c r="N89" i="71"/>
  <c r="H89" i="71"/>
  <c r="D89" i="71"/>
  <c r="L89" i="71" s="1"/>
  <c r="B89" i="71"/>
  <c r="Z88" i="71"/>
  <c r="X88" i="71"/>
  <c r="N88" i="71"/>
  <c r="L88" i="71"/>
  <c r="B88" i="71"/>
  <c r="Z87" i="71"/>
  <c r="X87" i="71"/>
  <c r="T87" i="71"/>
  <c r="P87" i="71"/>
  <c r="H87" i="71"/>
  <c r="N87" i="71" s="1"/>
  <c r="D87" i="71"/>
  <c r="L87" i="71" s="1"/>
  <c r="B87" i="71"/>
  <c r="X86" i="71"/>
  <c r="Z86" i="71" s="1"/>
  <c r="L86" i="71"/>
  <c r="N86" i="71" s="1"/>
  <c r="B86" i="71"/>
  <c r="T85" i="71"/>
  <c r="P85" i="71"/>
  <c r="H85" i="71"/>
  <c r="D85" i="71"/>
  <c r="L85" i="71" s="1"/>
  <c r="N85" i="71" s="1"/>
  <c r="B85" i="71"/>
  <c r="Z84" i="71"/>
  <c r="X84" i="71"/>
  <c r="N84" i="71"/>
  <c r="L84" i="71"/>
  <c r="B84" i="71"/>
  <c r="X83" i="71"/>
  <c r="Z83" i="71" s="1"/>
  <c r="N83" i="71"/>
  <c r="L83" i="71"/>
  <c r="B83" i="71"/>
  <c r="T82" i="71"/>
  <c r="P82" i="71"/>
  <c r="H82" i="71"/>
  <c r="N82" i="71" s="1"/>
  <c r="D82" i="71"/>
  <c r="B82" i="71"/>
  <c r="Z81" i="71"/>
  <c r="X81" i="71"/>
  <c r="L81" i="71"/>
  <c r="N81" i="71" s="1"/>
  <c r="B81" i="71"/>
  <c r="X80" i="71"/>
  <c r="T80" i="71"/>
  <c r="P80" i="71"/>
  <c r="H80" i="71"/>
  <c r="D80" i="71"/>
  <c r="L80" i="71" s="1"/>
  <c r="N80" i="71" s="1"/>
  <c r="B80" i="71"/>
  <c r="Z79" i="71"/>
  <c r="X79" i="71"/>
  <c r="L79" i="71"/>
  <c r="N79" i="71" s="1"/>
  <c r="B79" i="71"/>
  <c r="Z78" i="71"/>
  <c r="X78" i="71"/>
  <c r="T78" i="71"/>
  <c r="P78" i="71"/>
  <c r="L78" i="71"/>
  <c r="N78" i="71" s="1"/>
  <c r="H78" i="71"/>
  <c r="D78" i="71"/>
  <c r="B78" i="71"/>
  <c r="Z77" i="71"/>
  <c r="X77" i="71"/>
  <c r="N77" i="71"/>
  <c r="L77" i="71"/>
  <c r="B77" i="71"/>
  <c r="T76" i="71"/>
  <c r="P76" i="71"/>
  <c r="H76" i="71"/>
  <c r="N76" i="71" s="1"/>
  <c r="D76" i="71"/>
  <c r="B76" i="71"/>
  <c r="X75" i="71"/>
  <c r="Z75" i="71" s="1"/>
  <c r="N75" i="71"/>
  <c r="L75" i="71"/>
  <c r="B75" i="71"/>
  <c r="Z74" i="71"/>
  <c r="X74" i="71"/>
  <c r="N74" i="71"/>
  <c r="L74" i="71"/>
  <c r="B74" i="71"/>
  <c r="Z73" i="71"/>
  <c r="X73" i="71"/>
  <c r="N73" i="71"/>
  <c r="L73" i="71"/>
  <c r="B73" i="71"/>
  <c r="X72" i="71"/>
  <c r="Z72" i="71" s="1"/>
  <c r="L72" i="71"/>
  <c r="N72" i="71" s="1"/>
  <c r="B72" i="71"/>
  <c r="X71" i="71"/>
  <c r="Z71" i="71" s="1"/>
  <c r="N71" i="71"/>
  <c r="L71" i="71"/>
  <c r="B71" i="71"/>
  <c r="T70" i="71"/>
  <c r="P70" i="71"/>
  <c r="X70" i="71" s="1"/>
  <c r="Z70" i="71" s="1"/>
  <c r="L70" i="71"/>
  <c r="H70" i="71"/>
  <c r="N70" i="71" s="1"/>
  <c r="D70" i="71"/>
  <c r="B70" i="71"/>
  <c r="X69" i="71"/>
  <c r="Z69" i="71" s="1"/>
  <c r="N69" i="71"/>
  <c r="L69" i="71"/>
  <c r="B69" i="71"/>
  <c r="X68" i="71"/>
  <c r="Z68" i="71" s="1"/>
  <c r="N68" i="71"/>
  <c r="L68" i="71"/>
  <c r="B68" i="71"/>
  <c r="Z67" i="71"/>
  <c r="X67" i="71"/>
  <c r="N67" i="71"/>
  <c r="L67" i="71"/>
  <c r="B67" i="71"/>
  <c r="Z66" i="71"/>
  <c r="X66" i="71"/>
  <c r="L66" i="71"/>
  <c r="N66" i="71" s="1"/>
  <c r="B66" i="71"/>
  <c r="X65" i="71"/>
  <c r="Z65" i="71" s="1"/>
  <c r="N65" i="71"/>
  <c r="L65" i="71"/>
  <c r="B65" i="71"/>
  <c r="X64" i="71"/>
  <c r="Z64" i="71" s="1"/>
  <c r="N64" i="71"/>
  <c r="L64" i="71"/>
  <c r="B64" i="71"/>
  <c r="Z63" i="71"/>
  <c r="X63" i="71"/>
  <c r="L63" i="71"/>
  <c r="N63" i="71" s="1"/>
  <c r="B63" i="71"/>
  <c r="X62" i="71"/>
  <c r="Z62" i="71" s="1"/>
  <c r="L62" i="71"/>
  <c r="N62" i="71" s="1"/>
  <c r="B62" i="71"/>
  <c r="X61" i="71"/>
  <c r="Z61" i="71" s="1"/>
  <c r="R61" i="71"/>
  <c r="N61" i="71"/>
  <c r="L61" i="71"/>
  <c r="B61" i="71"/>
  <c r="X60" i="71"/>
  <c r="Z60" i="71" s="1"/>
  <c r="T60" i="71"/>
  <c r="P60" i="71"/>
  <c r="H60" i="71"/>
  <c r="D60" i="71"/>
  <c r="B60" i="71"/>
  <c r="T59" i="71"/>
  <c r="P59" i="71"/>
  <c r="X59" i="71" s="1"/>
  <c r="Z59" i="71" s="1"/>
  <c r="H59" i="71"/>
  <c r="D59" i="71"/>
  <c r="Z55" i="71"/>
  <c r="X55" i="71"/>
  <c r="N55" i="71"/>
  <c r="L55" i="71"/>
  <c r="B55" i="71"/>
  <c r="X54" i="71"/>
  <c r="Z54" i="71" s="1"/>
  <c r="N54" i="71"/>
  <c r="L54" i="71"/>
  <c r="B54" i="71"/>
  <c r="Z53" i="71"/>
  <c r="X53" i="71"/>
  <c r="N53" i="71"/>
  <c r="L53" i="71"/>
  <c r="B53" i="71"/>
  <c r="Z52" i="71"/>
  <c r="X52" i="71"/>
  <c r="R52" i="71"/>
  <c r="N52" i="71"/>
  <c r="L52" i="71"/>
  <c r="B52" i="71"/>
  <c r="Z51" i="71"/>
  <c r="X51" i="71"/>
  <c r="L51" i="71"/>
  <c r="N51" i="71" s="1"/>
  <c r="B51" i="71"/>
  <c r="Z50" i="71"/>
  <c r="X50" i="71"/>
  <c r="R50" i="71"/>
  <c r="N50" i="71"/>
  <c r="L50" i="71"/>
  <c r="B50" i="71"/>
  <c r="Z49" i="71"/>
  <c r="X49" i="71"/>
  <c r="N49" i="71"/>
  <c r="L49" i="71"/>
  <c r="B49" i="71"/>
  <c r="Z48" i="71"/>
  <c r="X48" i="71"/>
  <c r="L48" i="71"/>
  <c r="N48" i="71" s="1"/>
  <c r="B48" i="71"/>
  <c r="X47" i="71"/>
  <c r="Z47" i="71" s="1"/>
  <c r="N47" i="71"/>
  <c r="L47" i="71"/>
  <c r="B47" i="71"/>
  <c r="X46" i="71"/>
  <c r="Z46" i="71" s="1"/>
  <c r="N46" i="71"/>
  <c r="L46" i="71"/>
  <c r="B46" i="71"/>
  <c r="Z45" i="71"/>
  <c r="X45" i="71"/>
  <c r="N45" i="71"/>
  <c r="L45" i="71"/>
  <c r="B45" i="71"/>
  <c r="Z44" i="71"/>
  <c r="X44" i="71"/>
  <c r="N44" i="71"/>
  <c r="L44" i="71"/>
  <c r="B44" i="71"/>
  <c r="Z43" i="71"/>
  <c r="X43" i="71"/>
  <c r="L43" i="71"/>
  <c r="N43" i="71" s="1"/>
  <c r="B43" i="71"/>
  <c r="X42" i="71"/>
  <c r="Z42" i="71" s="1"/>
  <c r="N42" i="71"/>
  <c r="L42" i="71"/>
  <c r="B42" i="71"/>
  <c r="Z41" i="71"/>
  <c r="X41" i="71"/>
  <c r="L41" i="71"/>
  <c r="N41" i="71" s="1"/>
  <c r="B41" i="71"/>
  <c r="Z40" i="71"/>
  <c r="X40" i="71"/>
  <c r="N40" i="71"/>
  <c r="L40" i="71"/>
  <c r="B40" i="71"/>
  <c r="T39" i="71"/>
  <c r="P39" i="71"/>
  <c r="X39" i="71" s="1"/>
  <c r="Z39" i="71" s="1"/>
  <c r="N39" i="71"/>
  <c r="H39" i="71"/>
  <c r="D39" i="71"/>
  <c r="L39" i="71" s="1"/>
  <c r="X37" i="71"/>
  <c r="Z37" i="71" s="1"/>
  <c r="T37" i="71"/>
  <c r="P37" i="71"/>
  <c r="L37" i="71"/>
  <c r="H37" i="71"/>
  <c r="N37" i="71" s="1"/>
  <c r="D37" i="71"/>
  <c r="B37" i="71"/>
  <c r="T36" i="71"/>
  <c r="P36" i="71"/>
  <c r="X36" i="71" s="1"/>
  <c r="N36" i="71"/>
  <c r="H36" i="71"/>
  <c r="D36" i="71"/>
  <c r="L36" i="71" s="1"/>
  <c r="B36" i="71"/>
  <c r="T35" i="71"/>
  <c r="P35" i="71"/>
  <c r="X35" i="71" s="1"/>
  <c r="Z35" i="71" s="1"/>
  <c r="H35" i="71"/>
  <c r="N35" i="71" s="1"/>
  <c r="D35" i="71"/>
  <c r="B35" i="71"/>
  <c r="T34" i="71"/>
  <c r="P34" i="71"/>
  <c r="L34" i="71"/>
  <c r="H34" i="71"/>
  <c r="N34" i="71" s="1"/>
  <c r="D34" i="71"/>
  <c r="B34" i="71"/>
  <c r="Z33" i="71"/>
  <c r="X33" i="71"/>
  <c r="T33" i="71"/>
  <c r="P33" i="71"/>
  <c r="H33" i="71"/>
  <c r="D33" i="71"/>
  <c r="B33" i="71"/>
  <c r="T32" i="71"/>
  <c r="P32" i="71"/>
  <c r="X32" i="71" s="1"/>
  <c r="N32" i="71"/>
  <c r="H32" i="71"/>
  <c r="D32" i="71"/>
  <c r="L32" i="71" s="1"/>
  <c r="B32" i="71"/>
  <c r="T31" i="71"/>
  <c r="P31" i="71"/>
  <c r="H31" i="71"/>
  <c r="N31" i="71" s="1"/>
  <c r="D31" i="71"/>
  <c r="L31" i="71" s="1"/>
  <c r="B31" i="71"/>
  <c r="T30" i="71"/>
  <c r="P30" i="71"/>
  <c r="X30" i="71" s="1"/>
  <c r="L30" i="71"/>
  <c r="H30" i="71"/>
  <c r="N30" i="71" s="1"/>
  <c r="D30" i="71"/>
  <c r="B30" i="71"/>
  <c r="Z29" i="71"/>
  <c r="X29" i="71"/>
  <c r="T29" i="71"/>
  <c r="P29" i="71"/>
  <c r="L29" i="71"/>
  <c r="H29" i="71"/>
  <c r="D29" i="71"/>
  <c r="B29" i="71"/>
  <c r="T28" i="71"/>
  <c r="P28" i="71"/>
  <c r="X28" i="71" s="1"/>
  <c r="N28" i="71"/>
  <c r="H28" i="71"/>
  <c r="D28" i="71"/>
  <c r="L28" i="71" s="1"/>
  <c r="B28" i="71"/>
  <c r="T27" i="71"/>
  <c r="P27" i="71"/>
  <c r="H27" i="71"/>
  <c r="D27" i="71"/>
  <c r="B27" i="71"/>
  <c r="T26" i="71"/>
  <c r="P26" i="71"/>
  <c r="X26" i="71" s="1"/>
  <c r="L26" i="71"/>
  <c r="H26" i="71"/>
  <c r="D26" i="71"/>
  <c r="B26" i="71"/>
  <c r="X25" i="71"/>
  <c r="Z25" i="71" s="1"/>
  <c r="T25" i="71"/>
  <c r="P25" i="71"/>
  <c r="H25" i="71"/>
  <c r="D25" i="71"/>
  <c r="B25" i="71"/>
  <c r="T24" i="71"/>
  <c r="Z24" i="71" s="1"/>
  <c r="P24" i="71"/>
  <c r="X24" i="71" s="1"/>
  <c r="N24" i="71"/>
  <c r="H24" i="71"/>
  <c r="L24" i="71" s="1"/>
  <c r="D24" i="71"/>
  <c r="B24" i="71"/>
  <c r="T23" i="71"/>
  <c r="P23" i="71"/>
  <c r="H23" i="71"/>
  <c r="D23" i="71"/>
  <c r="B23" i="71"/>
  <c r="T22" i="71"/>
  <c r="P22" i="71"/>
  <c r="L22" i="71"/>
  <c r="H22" i="71"/>
  <c r="D22" i="71"/>
  <c r="B22" i="71"/>
  <c r="X21" i="71"/>
  <c r="Z21" i="71" s="1"/>
  <c r="T21" i="71"/>
  <c r="P21" i="71"/>
  <c r="H21" i="71"/>
  <c r="D21" i="71"/>
  <c r="B21" i="71"/>
  <c r="T20" i="71"/>
  <c r="Z20" i="71" s="1"/>
  <c r="P20" i="71"/>
  <c r="X20" i="71" s="1"/>
  <c r="H20" i="71"/>
  <c r="L20" i="71" s="1"/>
  <c r="N20" i="71" s="1"/>
  <c r="D20" i="71"/>
  <c r="B20" i="71"/>
  <c r="T19" i="71"/>
  <c r="P19" i="71"/>
  <c r="H19" i="71"/>
  <c r="D19" i="71"/>
  <c r="B19" i="71"/>
  <c r="T18" i="71"/>
  <c r="P18" i="71"/>
  <c r="L18" i="71"/>
  <c r="H18" i="71"/>
  <c r="N18" i="71" s="1"/>
  <c r="D18" i="71"/>
  <c r="B18" i="71"/>
  <c r="X17" i="71"/>
  <c r="Z17" i="71" s="1"/>
  <c r="T17" i="71"/>
  <c r="P17" i="71"/>
  <c r="L17" i="71"/>
  <c r="H17" i="71"/>
  <c r="N17" i="71" s="1"/>
  <c r="D17" i="71"/>
  <c r="B17" i="71"/>
  <c r="T16" i="71"/>
  <c r="P16" i="71"/>
  <c r="X16" i="71" s="1"/>
  <c r="H16" i="71"/>
  <c r="L16" i="71" s="1"/>
  <c r="N16" i="71" s="1"/>
  <c r="D16" i="71"/>
  <c r="B16" i="71"/>
  <c r="T15" i="71"/>
  <c r="P15" i="71"/>
  <c r="H15" i="71"/>
  <c r="D15" i="71"/>
  <c r="L15" i="71" s="1"/>
  <c r="B15" i="71"/>
  <c r="T14" i="71"/>
  <c r="P14" i="71"/>
  <c r="X14" i="71" s="1"/>
  <c r="L14" i="71"/>
  <c r="H14" i="71"/>
  <c r="N14" i="71" s="1"/>
  <c r="D14" i="71"/>
  <c r="B14" i="71"/>
  <c r="Z13" i="71"/>
  <c r="X13" i="71"/>
  <c r="T13" i="71"/>
  <c r="P13" i="71"/>
  <c r="L13" i="71"/>
  <c r="H13" i="71"/>
  <c r="D13" i="71"/>
  <c r="B13" i="71"/>
  <c r="P12" i="71"/>
  <c r="P57" i="71" s="1"/>
  <c r="D6" i="71"/>
  <c r="D4" i="71"/>
  <c r="X90" i="70"/>
  <c r="Z90" i="70" s="1"/>
  <c r="L90" i="70"/>
  <c r="N90" i="70" s="1"/>
  <c r="T86" i="70"/>
  <c r="P86" i="70"/>
  <c r="H86" i="70"/>
  <c r="D86" i="70"/>
  <c r="B86" i="70"/>
  <c r="D85" i="70"/>
  <c r="Z83" i="70"/>
  <c r="X83" i="70"/>
  <c r="N83" i="70"/>
  <c r="L83" i="70"/>
  <c r="B83" i="70"/>
  <c r="Z82" i="70"/>
  <c r="T82" i="70"/>
  <c r="P82" i="70"/>
  <c r="X82" i="70" s="1"/>
  <c r="H82" i="70"/>
  <c r="N82" i="70" s="1"/>
  <c r="D82" i="70"/>
  <c r="L82" i="70" s="1"/>
  <c r="B82" i="70"/>
  <c r="X81" i="70"/>
  <c r="Z81" i="70" s="1"/>
  <c r="N81" i="70"/>
  <c r="L81" i="70"/>
  <c r="B81" i="70"/>
  <c r="X80" i="70"/>
  <c r="Z80" i="70" s="1"/>
  <c r="T80" i="70"/>
  <c r="P80" i="70"/>
  <c r="N80" i="70"/>
  <c r="H80" i="70"/>
  <c r="L80" i="70" s="1"/>
  <c r="D80" i="70"/>
  <c r="B80" i="70"/>
  <c r="X79" i="70"/>
  <c r="Z79" i="70" s="1"/>
  <c r="L79" i="70"/>
  <c r="N79" i="70" s="1"/>
  <c r="B79" i="70"/>
  <c r="T78" i="70"/>
  <c r="P78" i="70"/>
  <c r="H78" i="70"/>
  <c r="D78" i="70"/>
  <c r="B78" i="70"/>
  <c r="X77" i="70"/>
  <c r="Z77" i="70" s="1"/>
  <c r="N77" i="70"/>
  <c r="L77" i="70"/>
  <c r="B77" i="70"/>
  <c r="X76" i="70"/>
  <c r="Z76" i="70" s="1"/>
  <c r="L76" i="70"/>
  <c r="N76" i="70" s="1"/>
  <c r="B76" i="70"/>
  <c r="X75" i="70"/>
  <c r="Z75" i="70" s="1"/>
  <c r="N75" i="70"/>
  <c r="L75" i="70"/>
  <c r="B75" i="70"/>
  <c r="Z74" i="70"/>
  <c r="X74" i="70"/>
  <c r="N74" i="70"/>
  <c r="L74" i="70"/>
  <c r="B74" i="70"/>
  <c r="Z73" i="70"/>
  <c r="X73" i="70"/>
  <c r="N73" i="70"/>
  <c r="L73" i="70"/>
  <c r="B73" i="70"/>
  <c r="X72" i="70"/>
  <c r="Z72" i="70" s="1"/>
  <c r="N72" i="70"/>
  <c r="L72" i="70"/>
  <c r="B72" i="70"/>
  <c r="X71" i="70"/>
  <c r="Z71" i="70" s="1"/>
  <c r="T71" i="70"/>
  <c r="P71" i="70"/>
  <c r="H71" i="70"/>
  <c r="D71" i="70"/>
  <c r="B71" i="70"/>
  <c r="Z70" i="70"/>
  <c r="X70" i="70"/>
  <c r="N70" i="70"/>
  <c r="L70" i="70"/>
  <c r="B70" i="70"/>
  <c r="T69" i="70"/>
  <c r="P69" i="70"/>
  <c r="N69" i="70"/>
  <c r="H69" i="70"/>
  <c r="D69" i="70"/>
  <c r="L69" i="70" s="1"/>
  <c r="B69" i="70"/>
  <c r="Z68" i="70"/>
  <c r="X68" i="70"/>
  <c r="N68" i="70"/>
  <c r="L68" i="70"/>
  <c r="B68" i="70"/>
  <c r="T67" i="70"/>
  <c r="P67" i="70"/>
  <c r="X67" i="70" s="1"/>
  <c r="Z67" i="70" s="1"/>
  <c r="N67" i="70"/>
  <c r="H67" i="70"/>
  <c r="D67" i="70"/>
  <c r="L67" i="70" s="1"/>
  <c r="B67" i="70"/>
  <c r="Z66" i="70"/>
  <c r="X66" i="70"/>
  <c r="N66" i="70"/>
  <c r="L66" i="70"/>
  <c r="B66" i="70"/>
  <c r="X65" i="70"/>
  <c r="Z65" i="70" s="1"/>
  <c r="L65" i="70"/>
  <c r="N65" i="70" s="1"/>
  <c r="B65" i="70"/>
  <c r="Z64" i="70"/>
  <c r="X64" i="70"/>
  <c r="N64" i="70"/>
  <c r="L64" i="70"/>
  <c r="B64" i="70"/>
  <c r="X63" i="70"/>
  <c r="Z63" i="70" s="1"/>
  <c r="T63" i="70"/>
  <c r="P63" i="70"/>
  <c r="H63" i="70"/>
  <c r="D63" i="70"/>
  <c r="B63" i="70"/>
  <c r="X62" i="70"/>
  <c r="Z62" i="70" s="1"/>
  <c r="N62" i="70"/>
  <c r="L62" i="70"/>
  <c r="B62" i="70"/>
  <c r="T61" i="70"/>
  <c r="P61" i="70"/>
  <c r="N61" i="70"/>
  <c r="H61" i="70"/>
  <c r="D61" i="70"/>
  <c r="L61" i="70" s="1"/>
  <c r="B61" i="70"/>
  <c r="Z60" i="70"/>
  <c r="X60" i="70"/>
  <c r="N60" i="70"/>
  <c r="L60" i="70"/>
  <c r="B60" i="70"/>
  <c r="Z59" i="70"/>
  <c r="X59" i="70"/>
  <c r="N59" i="70"/>
  <c r="L59" i="70"/>
  <c r="B59" i="70"/>
  <c r="T58" i="70"/>
  <c r="P58" i="70"/>
  <c r="H58" i="70"/>
  <c r="N58" i="70" s="1"/>
  <c r="D58" i="70"/>
  <c r="B58" i="70"/>
  <c r="X57" i="70"/>
  <c r="Z57" i="70" s="1"/>
  <c r="L57" i="70"/>
  <c r="N57" i="70" s="1"/>
  <c r="B57" i="70"/>
  <c r="T56" i="70"/>
  <c r="P56" i="70"/>
  <c r="X56" i="70" s="1"/>
  <c r="N56" i="70"/>
  <c r="H56" i="70"/>
  <c r="D56" i="70"/>
  <c r="L56" i="70" s="1"/>
  <c r="B56" i="70"/>
  <c r="Z55" i="70"/>
  <c r="X55" i="70"/>
  <c r="N55" i="70"/>
  <c r="L55" i="70"/>
  <c r="B55" i="70"/>
  <c r="X54" i="70"/>
  <c r="T54" i="70"/>
  <c r="Z54" i="70" s="1"/>
  <c r="P54" i="70"/>
  <c r="N54" i="70"/>
  <c r="L54" i="70"/>
  <c r="H54" i="70"/>
  <c r="D54" i="70"/>
  <c r="B54" i="70"/>
  <c r="Z53" i="70"/>
  <c r="X53" i="70"/>
  <c r="L53" i="70"/>
  <c r="N53" i="70" s="1"/>
  <c r="B53" i="70"/>
  <c r="T52" i="70"/>
  <c r="P52" i="70"/>
  <c r="X52" i="70" s="1"/>
  <c r="H52" i="70"/>
  <c r="D52" i="70"/>
  <c r="B52" i="70"/>
  <c r="X51" i="70"/>
  <c r="Z51" i="70" s="1"/>
  <c r="N51" i="70"/>
  <c r="L51" i="70"/>
  <c r="B51" i="70"/>
  <c r="T50" i="70"/>
  <c r="P50" i="70"/>
  <c r="X50" i="70" s="1"/>
  <c r="Z50" i="70" s="1"/>
  <c r="L50" i="70"/>
  <c r="H50" i="70"/>
  <c r="N50" i="70" s="1"/>
  <c r="D50" i="70"/>
  <c r="B50" i="70"/>
  <c r="X49" i="70"/>
  <c r="Z49" i="70" s="1"/>
  <c r="N49" i="70"/>
  <c r="L49" i="70"/>
  <c r="B49" i="70"/>
  <c r="X48" i="70"/>
  <c r="Z48" i="70" s="1"/>
  <c r="N48" i="70"/>
  <c r="L48" i="70"/>
  <c r="B48" i="70"/>
  <c r="Z47" i="70"/>
  <c r="X47" i="70"/>
  <c r="N47" i="70"/>
  <c r="L47" i="70"/>
  <c r="B47" i="70"/>
  <c r="X46" i="70"/>
  <c r="Z46" i="70" s="1"/>
  <c r="L46" i="70"/>
  <c r="N46" i="70" s="1"/>
  <c r="B46" i="70"/>
  <c r="T45" i="70"/>
  <c r="P45" i="70"/>
  <c r="H45" i="70"/>
  <c r="D45" i="70"/>
  <c r="L45" i="70" s="1"/>
  <c r="N45" i="70" s="1"/>
  <c r="B45" i="70"/>
  <c r="Z44" i="70"/>
  <c r="X44" i="70"/>
  <c r="L44" i="70"/>
  <c r="N44" i="70" s="1"/>
  <c r="B44" i="70"/>
  <c r="X43" i="70"/>
  <c r="Z43" i="70" s="1"/>
  <c r="L43" i="70"/>
  <c r="N43" i="70" s="1"/>
  <c r="B43" i="70"/>
  <c r="X42" i="70"/>
  <c r="Z42" i="70" s="1"/>
  <c r="N42" i="70"/>
  <c r="L42" i="70"/>
  <c r="B42" i="70"/>
  <c r="Z41" i="70"/>
  <c r="X41" i="70"/>
  <c r="L41" i="70"/>
  <c r="N41" i="70" s="1"/>
  <c r="B41" i="70"/>
  <c r="Z40" i="70"/>
  <c r="X40" i="70"/>
  <c r="L40" i="70"/>
  <c r="N40" i="70" s="1"/>
  <c r="B40" i="70"/>
  <c r="X39" i="70"/>
  <c r="Z39" i="70" s="1"/>
  <c r="L39" i="70"/>
  <c r="N39" i="70" s="1"/>
  <c r="B39" i="70"/>
  <c r="X38" i="70"/>
  <c r="Z38" i="70" s="1"/>
  <c r="N38" i="70"/>
  <c r="L38" i="70"/>
  <c r="B38" i="70"/>
  <c r="Z37" i="70"/>
  <c r="X37" i="70"/>
  <c r="L37" i="70"/>
  <c r="N37" i="70" s="1"/>
  <c r="B37" i="70"/>
  <c r="T36" i="70"/>
  <c r="P36" i="70"/>
  <c r="X36" i="70" s="1"/>
  <c r="H36" i="70"/>
  <c r="D36" i="70"/>
  <c r="B36" i="70"/>
  <c r="T35" i="70"/>
  <c r="P35" i="70"/>
  <c r="X35" i="70" s="1"/>
  <c r="H35" i="70"/>
  <c r="D35" i="70"/>
  <c r="L35" i="70" s="1"/>
  <c r="T31" i="70"/>
  <c r="Z31" i="70" s="1"/>
  <c r="P31" i="70"/>
  <c r="X31" i="70" s="1"/>
  <c r="L31" i="70"/>
  <c r="H31" i="70"/>
  <c r="N31" i="70" s="1"/>
  <c r="D31" i="70"/>
  <c r="X29" i="70"/>
  <c r="T29" i="70"/>
  <c r="P29" i="70"/>
  <c r="N29" i="70"/>
  <c r="H29" i="70"/>
  <c r="D29" i="70"/>
  <c r="L29" i="70" s="1"/>
  <c r="B29" i="70"/>
  <c r="T28" i="70"/>
  <c r="X28" i="70" s="1"/>
  <c r="P28" i="70"/>
  <c r="N28" i="70"/>
  <c r="H28" i="70"/>
  <c r="D28" i="70"/>
  <c r="L28" i="70" s="1"/>
  <c r="B28" i="70"/>
  <c r="T27" i="70"/>
  <c r="P27" i="70"/>
  <c r="X27" i="70" s="1"/>
  <c r="N27" i="70"/>
  <c r="L27" i="70"/>
  <c r="H27" i="70"/>
  <c r="D27" i="70"/>
  <c r="B27" i="70"/>
  <c r="T26" i="70"/>
  <c r="Z26" i="70" s="1"/>
  <c r="P26" i="70"/>
  <c r="N26" i="70"/>
  <c r="L26" i="70"/>
  <c r="H26" i="70"/>
  <c r="D26" i="70"/>
  <c r="B26" i="70"/>
  <c r="T25" i="70"/>
  <c r="P25" i="70"/>
  <c r="N25" i="70"/>
  <c r="L25" i="70"/>
  <c r="H25" i="70"/>
  <c r="D25" i="70"/>
  <c r="B25" i="70"/>
  <c r="Z24" i="70"/>
  <c r="T24" i="70"/>
  <c r="X24" i="70" s="1"/>
  <c r="P24" i="70"/>
  <c r="N24" i="70"/>
  <c r="L24" i="70"/>
  <c r="H24" i="70"/>
  <c r="D24" i="70"/>
  <c r="B24" i="70"/>
  <c r="X23" i="70"/>
  <c r="T23" i="70"/>
  <c r="P23" i="70"/>
  <c r="L23" i="70"/>
  <c r="N23" i="70" s="1"/>
  <c r="H23" i="70"/>
  <c r="D23" i="70"/>
  <c r="B23" i="70"/>
  <c r="X22" i="70"/>
  <c r="T22" i="70"/>
  <c r="P22" i="70"/>
  <c r="H22" i="70"/>
  <c r="D22" i="70"/>
  <c r="B22" i="70"/>
  <c r="T21" i="70"/>
  <c r="P21" i="70"/>
  <c r="N21" i="70"/>
  <c r="L21" i="70"/>
  <c r="H21" i="70"/>
  <c r="D21" i="70"/>
  <c r="B21" i="70"/>
  <c r="X20" i="70"/>
  <c r="T20" i="70"/>
  <c r="P20" i="70"/>
  <c r="H20" i="70"/>
  <c r="D20" i="70"/>
  <c r="L20" i="70" s="1"/>
  <c r="N20" i="70" s="1"/>
  <c r="B20" i="70"/>
  <c r="T19" i="70"/>
  <c r="Z19" i="70" s="1"/>
  <c r="P19" i="70"/>
  <c r="N19" i="70"/>
  <c r="H19" i="70"/>
  <c r="D19" i="70"/>
  <c r="L19" i="70" s="1"/>
  <c r="B19" i="70"/>
  <c r="T18" i="70"/>
  <c r="P18" i="70"/>
  <c r="N18" i="70"/>
  <c r="L18" i="70"/>
  <c r="H18" i="70"/>
  <c r="D18" i="70"/>
  <c r="B18" i="70"/>
  <c r="X17" i="70"/>
  <c r="T17" i="70"/>
  <c r="P17" i="70"/>
  <c r="N17" i="70"/>
  <c r="H17" i="70"/>
  <c r="D17" i="70"/>
  <c r="L17" i="70" s="1"/>
  <c r="B17" i="70"/>
  <c r="Z16" i="70"/>
  <c r="X16" i="70"/>
  <c r="T16" i="70"/>
  <c r="P16" i="70"/>
  <c r="N16" i="70"/>
  <c r="L16" i="70"/>
  <c r="H16" i="70"/>
  <c r="D16" i="70"/>
  <c r="B16" i="70"/>
  <c r="X15" i="70"/>
  <c r="T15" i="70"/>
  <c r="P15" i="70"/>
  <c r="H15" i="70"/>
  <c r="D15" i="70"/>
  <c r="L15" i="70" s="1"/>
  <c r="N15" i="70" s="1"/>
  <c r="B15" i="70"/>
  <c r="T14" i="70"/>
  <c r="X14" i="70" s="1"/>
  <c r="Z14" i="70" s="1"/>
  <c r="P14" i="70"/>
  <c r="N14" i="70"/>
  <c r="L14" i="70"/>
  <c r="H14" i="70"/>
  <c r="D14" i="70"/>
  <c r="B14" i="70"/>
  <c r="T13" i="70"/>
  <c r="P13" i="70"/>
  <c r="N13" i="70"/>
  <c r="L13" i="70"/>
  <c r="H13" i="70"/>
  <c r="D13" i="70"/>
  <c r="B13" i="70"/>
  <c r="D6" i="70"/>
  <c r="D4" i="70"/>
  <c r="X143" i="69"/>
  <c r="Z143" i="69" s="1"/>
  <c r="N143" i="69"/>
  <c r="L143" i="69"/>
  <c r="T139" i="69"/>
  <c r="Z139" i="69" s="1"/>
  <c r="P139" i="69"/>
  <c r="L139" i="69"/>
  <c r="H139" i="69"/>
  <c r="N139" i="69" s="1"/>
  <c r="D139" i="69"/>
  <c r="B139" i="69"/>
  <c r="X138" i="69"/>
  <c r="Z138" i="69" s="1"/>
  <c r="T138" i="69"/>
  <c r="P138" i="69"/>
  <c r="N138" i="69"/>
  <c r="L138" i="69"/>
  <c r="H138" i="69"/>
  <c r="D138" i="69"/>
  <c r="B138" i="69"/>
  <c r="Z137" i="69"/>
  <c r="X137" i="69"/>
  <c r="T137" i="69"/>
  <c r="P137" i="69"/>
  <c r="P136" i="69" s="1"/>
  <c r="N137" i="69"/>
  <c r="H137" i="69"/>
  <c r="H136" i="69" s="1"/>
  <c r="N136" i="69" s="1"/>
  <c r="D137" i="69"/>
  <c r="L137" i="69" s="1"/>
  <c r="B137" i="69"/>
  <c r="D136" i="69"/>
  <c r="Z134" i="69"/>
  <c r="X134" i="69"/>
  <c r="N134" i="69"/>
  <c r="L134" i="69"/>
  <c r="B134" i="69"/>
  <c r="X133" i="69"/>
  <c r="Z133" i="69" s="1"/>
  <c r="N133" i="69"/>
  <c r="L133" i="69"/>
  <c r="B133" i="69"/>
  <c r="T132" i="69"/>
  <c r="P132" i="69"/>
  <c r="X132" i="69" s="1"/>
  <c r="Z132" i="69" s="1"/>
  <c r="N132" i="69"/>
  <c r="H132" i="69"/>
  <c r="D132" i="69"/>
  <c r="L132" i="69" s="1"/>
  <c r="B132" i="69"/>
  <c r="Z131" i="69"/>
  <c r="X131" i="69"/>
  <c r="N131" i="69"/>
  <c r="L131" i="69"/>
  <c r="B131" i="69"/>
  <c r="Z130" i="69"/>
  <c r="X130" i="69"/>
  <c r="T130" i="69"/>
  <c r="P130" i="69"/>
  <c r="N130" i="69"/>
  <c r="L130" i="69"/>
  <c r="H130" i="69"/>
  <c r="D130" i="69"/>
  <c r="B130" i="69"/>
  <c r="Z129" i="69"/>
  <c r="X129" i="69"/>
  <c r="L129" i="69"/>
  <c r="N129" i="69" s="1"/>
  <c r="B129" i="69"/>
  <c r="T128" i="69"/>
  <c r="P128" i="69"/>
  <c r="X128" i="69" s="1"/>
  <c r="H128" i="69"/>
  <c r="D128" i="69"/>
  <c r="L128" i="69" s="1"/>
  <c r="B128" i="69"/>
  <c r="X127" i="69"/>
  <c r="Z127" i="69" s="1"/>
  <c r="N127" i="69"/>
  <c r="L127" i="69"/>
  <c r="B127" i="69"/>
  <c r="Z126" i="69"/>
  <c r="X126" i="69"/>
  <c r="N126" i="69"/>
  <c r="L126" i="69"/>
  <c r="B126" i="69"/>
  <c r="X125" i="69"/>
  <c r="Z125" i="69" s="1"/>
  <c r="L125" i="69"/>
  <c r="N125" i="69" s="1"/>
  <c r="B125" i="69"/>
  <c r="Z124" i="69"/>
  <c r="X124" i="69"/>
  <c r="N124" i="69"/>
  <c r="L124" i="69"/>
  <c r="B124" i="69"/>
  <c r="X123" i="69"/>
  <c r="Z123" i="69" s="1"/>
  <c r="N123" i="69"/>
  <c r="L123" i="69"/>
  <c r="B123" i="69"/>
  <c r="Z122" i="69"/>
  <c r="T122" i="69"/>
  <c r="P122" i="69"/>
  <c r="X122" i="69" s="1"/>
  <c r="H122" i="69"/>
  <c r="D122" i="69"/>
  <c r="L122" i="69" s="1"/>
  <c r="N122" i="69" s="1"/>
  <c r="B122" i="69"/>
  <c r="X121" i="69"/>
  <c r="Z121" i="69" s="1"/>
  <c r="N121" i="69"/>
  <c r="L121" i="69"/>
  <c r="B121" i="69"/>
  <c r="Z120" i="69"/>
  <c r="X120" i="69"/>
  <c r="N120" i="69"/>
  <c r="L120" i="69"/>
  <c r="B120" i="69"/>
  <c r="T119" i="69"/>
  <c r="P119" i="69"/>
  <c r="H119" i="69"/>
  <c r="N119" i="69" s="1"/>
  <c r="D119" i="69"/>
  <c r="L119" i="69" s="1"/>
  <c r="B119" i="69"/>
  <c r="Z118" i="69"/>
  <c r="X118" i="69"/>
  <c r="N118" i="69"/>
  <c r="L118" i="69"/>
  <c r="B118" i="69"/>
  <c r="Z117" i="69"/>
  <c r="X117" i="69"/>
  <c r="N117" i="69"/>
  <c r="L117" i="69"/>
  <c r="B117" i="69"/>
  <c r="T116" i="69"/>
  <c r="P116" i="69"/>
  <c r="X116" i="69" s="1"/>
  <c r="H116" i="69"/>
  <c r="N116" i="69" s="1"/>
  <c r="D116" i="69"/>
  <c r="L116" i="69" s="1"/>
  <c r="B116" i="69"/>
  <c r="X115" i="69"/>
  <c r="Z115" i="69" s="1"/>
  <c r="N115" i="69"/>
  <c r="L115" i="69"/>
  <c r="B115" i="69"/>
  <c r="T114" i="69"/>
  <c r="P114" i="69"/>
  <c r="X114" i="69" s="1"/>
  <c r="Z114" i="69" s="1"/>
  <c r="N114" i="69"/>
  <c r="H114" i="69"/>
  <c r="D114" i="69"/>
  <c r="L114" i="69" s="1"/>
  <c r="B114" i="69"/>
  <c r="X113" i="69"/>
  <c r="Z113" i="69" s="1"/>
  <c r="N113" i="69"/>
  <c r="L113" i="69"/>
  <c r="B113" i="69"/>
  <c r="X112" i="69"/>
  <c r="Z112" i="69" s="1"/>
  <c r="T112" i="69"/>
  <c r="P112" i="69"/>
  <c r="N112" i="69"/>
  <c r="L112" i="69"/>
  <c r="H112" i="69"/>
  <c r="D112" i="69"/>
  <c r="B112" i="69"/>
  <c r="Z111" i="69"/>
  <c r="X111" i="69"/>
  <c r="N111" i="69"/>
  <c r="L111" i="69"/>
  <c r="B111" i="69"/>
  <c r="Z110" i="69"/>
  <c r="X110" i="69"/>
  <c r="N110" i="69"/>
  <c r="L110" i="69"/>
  <c r="B110" i="69"/>
  <c r="T109" i="69"/>
  <c r="P109" i="69"/>
  <c r="X109" i="69" s="1"/>
  <c r="Z109" i="69" s="1"/>
  <c r="H109" i="69"/>
  <c r="D109" i="69"/>
  <c r="L109" i="69" s="1"/>
  <c r="N109" i="69" s="1"/>
  <c r="B109" i="69"/>
  <c r="X108" i="69"/>
  <c r="Z108" i="69" s="1"/>
  <c r="N108" i="69"/>
  <c r="L108" i="69"/>
  <c r="B108" i="69"/>
  <c r="X107" i="69"/>
  <c r="Z107" i="69" s="1"/>
  <c r="N107" i="69"/>
  <c r="L107" i="69"/>
  <c r="B107" i="69"/>
  <c r="Z106" i="69"/>
  <c r="T106" i="69"/>
  <c r="P106" i="69"/>
  <c r="X106" i="69" s="1"/>
  <c r="H106" i="69"/>
  <c r="D106" i="69"/>
  <c r="L106" i="69" s="1"/>
  <c r="N106" i="69" s="1"/>
  <c r="B106" i="69"/>
  <c r="X105" i="69"/>
  <c r="Z105" i="69" s="1"/>
  <c r="N105" i="69"/>
  <c r="L105" i="69"/>
  <c r="B105" i="69"/>
  <c r="X104" i="69"/>
  <c r="Z104" i="69" s="1"/>
  <c r="T104" i="69"/>
  <c r="P104" i="69"/>
  <c r="N104" i="69"/>
  <c r="L104" i="69"/>
  <c r="H104" i="69"/>
  <c r="D104" i="69"/>
  <c r="B104" i="69"/>
  <c r="X103" i="69"/>
  <c r="Z103" i="69" s="1"/>
  <c r="N103" i="69"/>
  <c r="L103" i="69"/>
  <c r="B103" i="69"/>
  <c r="Z102" i="69"/>
  <c r="X102" i="69"/>
  <c r="N102" i="69"/>
  <c r="L102" i="69"/>
  <c r="B102" i="69"/>
  <c r="T101" i="69"/>
  <c r="P101" i="69"/>
  <c r="X101" i="69" s="1"/>
  <c r="Z101" i="69" s="1"/>
  <c r="L101" i="69"/>
  <c r="N101" i="69" s="1"/>
  <c r="H101" i="69"/>
  <c r="D101" i="69"/>
  <c r="B101" i="69"/>
  <c r="X100" i="69"/>
  <c r="Z100" i="69" s="1"/>
  <c r="L100" i="69"/>
  <c r="N100" i="69" s="1"/>
  <c r="B100" i="69"/>
  <c r="X99" i="69"/>
  <c r="T99" i="69"/>
  <c r="Z99" i="69" s="1"/>
  <c r="P99" i="69"/>
  <c r="L99" i="69"/>
  <c r="H99" i="69"/>
  <c r="D99" i="69"/>
  <c r="B99" i="69"/>
  <c r="Z98" i="69"/>
  <c r="X98" i="69"/>
  <c r="N98" i="69"/>
  <c r="L98" i="69"/>
  <c r="B98" i="69"/>
  <c r="X97" i="69"/>
  <c r="Z97" i="69" s="1"/>
  <c r="N97" i="69"/>
  <c r="L97" i="69"/>
  <c r="B97" i="69"/>
  <c r="X96" i="69"/>
  <c r="Z96" i="69" s="1"/>
  <c r="N96" i="69"/>
  <c r="L96" i="69"/>
  <c r="B96" i="69"/>
  <c r="Z95" i="69"/>
  <c r="X95" i="69"/>
  <c r="N95" i="69"/>
  <c r="L95" i="69"/>
  <c r="B95" i="69"/>
  <c r="Z94" i="69"/>
  <c r="X94" i="69"/>
  <c r="N94" i="69"/>
  <c r="L94" i="69"/>
  <c r="B94" i="69"/>
  <c r="X93" i="69"/>
  <c r="Z93" i="69" s="1"/>
  <c r="N93" i="69"/>
  <c r="L93" i="69"/>
  <c r="B93" i="69"/>
  <c r="X92" i="69"/>
  <c r="Z92" i="69" s="1"/>
  <c r="T92" i="69"/>
  <c r="P92" i="69"/>
  <c r="N92" i="69"/>
  <c r="L92" i="69"/>
  <c r="H92" i="69"/>
  <c r="D92" i="69"/>
  <c r="B92" i="69"/>
  <c r="Z91" i="69"/>
  <c r="X91" i="69"/>
  <c r="L91" i="69"/>
  <c r="N91" i="69" s="1"/>
  <c r="B91" i="69"/>
  <c r="Z90" i="69"/>
  <c r="X90" i="69"/>
  <c r="N90" i="69"/>
  <c r="L90" i="69"/>
  <c r="B90" i="69"/>
  <c r="Z89" i="69"/>
  <c r="X89" i="69"/>
  <c r="L89" i="69"/>
  <c r="N89" i="69" s="1"/>
  <c r="B89" i="69"/>
  <c r="Z88" i="69"/>
  <c r="X88" i="69"/>
  <c r="L88" i="69"/>
  <c r="N88" i="69" s="1"/>
  <c r="B88" i="69"/>
  <c r="Z87" i="69"/>
  <c r="X87" i="69"/>
  <c r="L87" i="69"/>
  <c r="N87" i="69" s="1"/>
  <c r="B87" i="69"/>
  <c r="Z86" i="69"/>
  <c r="X86" i="69"/>
  <c r="N86" i="69"/>
  <c r="L86" i="69"/>
  <c r="B86" i="69"/>
  <c r="Z85" i="69"/>
  <c r="X85" i="69"/>
  <c r="L85" i="69"/>
  <c r="N85" i="69" s="1"/>
  <c r="B85" i="69"/>
  <c r="Z84" i="69"/>
  <c r="X84" i="69"/>
  <c r="L84" i="69"/>
  <c r="N84" i="69" s="1"/>
  <c r="B84" i="69"/>
  <c r="T83" i="69"/>
  <c r="P83" i="69"/>
  <c r="X83" i="69" s="1"/>
  <c r="Z83" i="69" s="1"/>
  <c r="H83" i="69"/>
  <c r="D83" i="69"/>
  <c r="L83" i="69" s="1"/>
  <c r="N83" i="69" s="1"/>
  <c r="B83" i="69"/>
  <c r="T82" i="69"/>
  <c r="P82" i="69"/>
  <c r="H82" i="69"/>
  <c r="D82" i="69"/>
  <c r="L82" i="69" s="1"/>
  <c r="N82" i="69" s="1"/>
  <c r="Z78" i="69"/>
  <c r="X78" i="69"/>
  <c r="L78" i="69"/>
  <c r="N78" i="69" s="1"/>
  <c r="B78" i="69"/>
  <c r="X77" i="69"/>
  <c r="Z77" i="69" s="1"/>
  <c r="N77" i="69"/>
  <c r="L77" i="69"/>
  <c r="B77" i="69"/>
  <c r="X76" i="69"/>
  <c r="Z76" i="69" s="1"/>
  <c r="N76" i="69"/>
  <c r="L76" i="69"/>
  <c r="B76" i="69"/>
  <c r="X75" i="69"/>
  <c r="Z75" i="69" s="1"/>
  <c r="N75" i="69"/>
  <c r="L75" i="69"/>
  <c r="B75" i="69"/>
  <c r="Z74" i="69"/>
  <c r="X74" i="69"/>
  <c r="N74" i="69"/>
  <c r="L74" i="69"/>
  <c r="B74" i="69"/>
  <c r="X73" i="69"/>
  <c r="Z73" i="69" s="1"/>
  <c r="L73" i="69"/>
  <c r="N73" i="69" s="1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N70" i="69"/>
  <c r="L70" i="69"/>
  <c r="B70" i="69"/>
  <c r="Z69" i="69"/>
  <c r="X69" i="69"/>
  <c r="N69" i="69"/>
  <c r="L69" i="69"/>
  <c r="B69" i="69"/>
  <c r="X68" i="69"/>
  <c r="Z68" i="69" s="1"/>
  <c r="N68" i="69"/>
  <c r="L68" i="69"/>
  <c r="B68" i="69"/>
  <c r="X67" i="69"/>
  <c r="Z67" i="69" s="1"/>
  <c r="N67" i="69"/>
  <c r="L67" i="69"/>
  <c r="B67" i="69"/>
  <c r="Z66" i="69"/>
  <c r="X66" i="69"/>
  <c r="N66" i="69"/>
  <c r="L66" i="69"/>
  <c r="B66" i="69"/>
  <c r="X65" i="69"/>
  <c r="Z65" i="69" s="1"/>
  <c r="L65" i="69"/>
  <c r="N65" i="69" s="1"/>
  <c r="B65" i="69"/>
  <c r="X64" i="69"/>
  <c r="Z64" i="69" s="1"/>
  <c r="L64" i="69"/>
  <c r="N64" i="69" s="1"/>
  <c r="B64" i="69"/>
  <c r="X63" i="69"/>
  <c r="Z63" i="69" s="1"/>
  <c r="N63" i="69"/>
  <c r="L63" i="69"/>
  <c r="B63" i="69"/>
  <c r="Z62" i="69"/>
  <c r="X62" i="69"/>
  <c r="L62" i="69"/>
  <c r="N62" i="69" s="1"/>
  <c r="B62" i="69"/>
  <c r="X61" i="69"/>
  <c r="Z61" i="69" s="1"/>
  <c r="L61" i="69"/>
  <c r="N61" i="69" s="1"/>
  <c r="B61" i="69"/>
  <c r="X60" i="69"/>
  <c r="Z60" i="69" s="1"/>
  <c r="N60" i="69"/>
  <c r="L60" i="69"/>
  <c r="B60" i="69"/>
  <c r="Z59" i="69"/>
  <c r="X59" i="69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Z54" i="69"/>
  <c r="X54" i="69"/>
  <c r="N54" i="69"/>
  <c r="L54" i="69"/>
  <c r="B54" i="69"/>
  <c r="X53" i="69"/>
  <c r="T53" i="69"/>
  <c r="P53" i="69"/>
  <c r="L53" i="69"/>
  <c r="H53" i="69"/>
  <c r="D53" i="69"/>
  <c r="T51" i="69"/>
  <c r="P51" i="69"/>
  <c r="X51" i="69" s="1"/>
  <c r="N51" i="69"/>
  <c r="H51" i="69"/>
  <c r="D51" i="69"/>
  <c r="L51" i="69" s="1"/>
  <c r="B51" i="69"/>
  <c r="X50" i="69"/>
  <c r="Z50" i="69" s="1"/>
  <c r="T50" i="69"/>
  <c r="P50" i="69"/>
  <c r="H50" i="69"/>
  <c r="D50" i="69"/>
  <c r="B50" i="69"/>
  <c r="T49" i="69"/>
  <c r="P49" i="69"/>
  <c r="H49" i="69"/>
  <c r="D49" i="69"/>
  <c r="L49" i="69" s="1"/>
  <c r="N49" i="69" s="1"/>
  <c r="B49" i="69"/>
  <c r="Z48" i="69"/>
  <c r="T48" i="69"/>
  <c r="X48" i="69" s="1"/>
  <c r="P48" i="69"/>
  <c r="N48" i="69"/>
  <c r="L48" i="69"/>
  <c r="H48" i="69"/>
  <c r="D48" i="69"/>
  <c r="B48" i="69"/>
  <c r="T47" i="69"/>
  <c r="P47" i="69"/>
  <c r="H47" i="69"/>
  <c r="D47" i="69"/>
  <c r="L47" i="69" s="1"/>
  <c r="N47" i="69" s="1"/>
  <c r="B47" i="69"/>
  <c r="X46" i="69"/>
  <c r="Z46" i="69" s="1"/>
  <c r="T46" i="69"/>
  <c r="P46" i="69"/>
  <c r="H46" i="69"/>
  <c r="L46" i="69" s="1"/>
  <c r="D46" i="69"/>
  <c r="B46" i="69"/>
  <c r="T45" i="69"/>
  <c r="P45" i="69"/>
  <c r="N45" i="69"/>
  <c r="H45" i="69"/>
  <c r="D45" i="69"/>
  <c r="L45" i="69" s="1"/>
  <c r="B45" i="69"/>
  <c r="Z44" i="69"/>
  <c r="T44" i="69"/>
  <c r="X44" i="69" s="1"/>
  <c r="P44" i="69"/>
  <c r="N44" i="69"/>
  <c r="L44" i="69"/>
  <c r="H44" i="69"/>
  <c r="D44" i="69"/>
  <c r="B44" i="69"/>
  <c r="T43" i="69"/>
  <c r="P43" i="69"/>
  <c r="X43" i="69" s="1"/>
  <c r="H43" i="69"/>
  <c r="D43" i="69"/>
  <c r="L43" i="69" s="1"/>
  <c r="N43" i="69" s="1"/>
  <c r="B43" i="69"/>
  <c r="X42" i="69"/>
  <c r="Z42" i="69" s="1"/>
  <c r="T42" i="69"/>
  <c r="P42" i="69"/>
  <c r="L42" i="69"/>
  <c r="H42" i="69"/>
  <c r="N42" i="69" s="1"/>
  <c r="D42" i="69"/>
  <c r="B42" i="69"/>
  <c r="T41" i="69"/>
  <c r="P41" i="69"/>
  <c r="N41" i="69"/>
  <c r="H41" i="69"/>
  <c r="D41" i="69"/>
  <c r="L41" i="69" s="1"/>
  <c r="B41" i="69"/>
  <c r="Z40" i="69"/>
  <c r="T40" i="69"/>
  <c r="X40" i="69" s="1"/>
  <c r="P40" i="69"/>
  <c r="N40" i="69"/>
  <c r="L40" i="69"/>
  <c r="H40" i="69"/>
  <c r="D40" i="69"/>
  <c r="B40" i="69"/>
  <c r="T39" i="69"/>
  <c r="Z39" i="69" s="1"/>
  <c r="P39" i="69"/>
  <c r="X39" i="69" s="1"/>
  <c r="N39" i="69"/>
  <c r="H39" i="69"/>
  <c r="D39" i="69"/>
  <c r="L39" i="69" s="1"/>
  <c r="B39" i="69"/>
  <c r="X38" i="69"/>
  <c r="Z38" i="69" s="1"/>
  <c r="T38" i="69"/>
  <c r="P38" i="69"/>
  <c r="N38" i="69"/>
  <c r="L38" i="69"/>
  <c r="H38" i="69"/>
  <c r="D38" i="69"/>
  <c r="B38" i="69"/>
  <c r="X37" i="69"/>
  <c r="T37" i="69"/>
  <c r="P37" i="69"/>
  <c r="H37" i="69"/>
  <c r="D37" i="69"/>
  <c r="L37" i="69" s="1"/>
  <c r="N37" i="69" s="1"/>
  <c r="B37" i="69"/>
  <c r="T36" i="69"/>
  <c r="X36" i="69" s="1"/>
  <c r="Z36" i="69" s="1"/>
  <c r="P36" i="69"/>
  <c r="L36" i="69"/>
  <c r="N36" i="69" s="1"/>
  <c r="H36" i="69"/>
  <c r="D36" i="69"/>
  <c r="B36" i="69"/>
  <c r="X35" i="69"/>
  <c r="T35" i="69"/>
  <c r="P35" i="69"/>
  <c r="H35" i="69"/>
  <c r="D35" i="69"/>
  <c r="L35" i="69" s="1"/>
  <c r="N35" i="69" s="1"/>
  <c r="B35" i="69"/>
  <c r="X34" i="69"/>
  <c r="Z34" i="69" s="1"/>
  <c r="T34" i="69"/>
  <c r="P34" i="69"/>
  <c r="L34" i="69"/>
  <c r="N34" i="69" s="1"/>
  <c r="H34" i="69"/>
  <c r="D34" i="69"/>
  <c r="B34" i="69"/>
  <c r="X33" i="69"/>
  <c r="T33" i="69"/>
  <c r="P33" i="69"/>
  <c r="H33" i="69"/>
  <c r="D33" i="69"/>
  <c r="L33" i="69" s="1"/>
  <c r="N33" i="69" s="1"/>
  <c r="B33" i="69"/>
  <c r="Z32" i="69"/>
  <c r="T32" i="69"/>
  <c r="X32" i="69" s="1"/>
  <c r="P32" i="69"/>
  <c r="N32" i="69"/>
  <c r="L32" i="69"/>
  <c r="H32" i="69"/>
  <c r="D32" i="69"/>
  <c r="B32" i="69"/>
  <c r="T31" i="69"/>
  <c r="Z31" i="69" s="1"/>
  <c r="P31" i="69"/>
  <c r="X31" i="69" s="1"/>
  <c r="N31" i="69"/>
  <c r="H31" i="69"/>
  <c r="D31" i="69"/>
  <c r="L31" i="69" s="1"/>
  <c r="B31" i="69"/>
  <c r="Z30" i="69"/>
  <c r="X30" i="69"/>
  <c r="T30" i="69"/>
  <c r="P30" i="69"/>
  <c r="H30" i="69"/>
  <c r="D30" i="69"/>
  <c r="B30" i="69"/>
  <c r="X29" i="69"/>
  <c r="T29" i="69"/>
  <c r="Z29" i="69" s="1"/>
  <c r="P29" i="69"/>
  <c r="N29" i="69"/>
  <c r="H29" i="69"/>
  <c r="D29" i="69"/>
  <c r="L29" i="69" s="1"/>
  <c r="B29" i="69"/>
  <c r="Z28" i="69"/>
  <c r="T28" i="69"/>
  <c r="X28" i="69" s="1"/>
  <c r="P28" i="69"/>
  <c r="N28" i="69"/>
  <c r="L28" i="69"/>
  <c r="H28" i="69"/>
  <c r="D28" i="69"/>
  <c r="B28" i="69"/>
  <c r="T27" i="69"/>
  <c r="Z27" i="69" s="1"/>
  <c r="P27" i="69"/>
  <c r="X27" i="69" s="1"/>
  <c r="N27" i="69"/>
  <c r="H27" i="69"/>
  <c r="D27" i="69"/>
  <c r="L27" i="69" s="1"/>
  <c r="B27" i="69"/>
  <c r="Z26" i="69"/>
  <c r="X26" i="69"/>
  <c r="T26" i="69"/>
  <c r="P26" i="69"/>
  <c r="N26" i="69"/>
  <c r="H26" i="69"/>
  <c r="L26" i="69" s="1"/>
  <c r="D26" i="69"/>
  <c r="B26" i="69"/>
  <c r="T25" i="69"/>
  <c r="Z25" i="69" s="1"/>
  <c r="P25" i="69"/>
  <c r="N25" i="69"/>
  <c r="H25" i="69"/>
  <c r="D25" i="69"/>
  <c r="L25" i="69" s="1"/>
  <c r="B25" i="69"/>
  <c r="Z24" i="69"/>
  <c r="T24" i="69"/>
  <c r="X24" i="69" s="1"/>
  <c r="P24" i="69"/>
  <c r="L24" i="69"/>
  <c r="N24" i="69" s="1"/>
  <c r="H24" i="69"/>
  <c r="D24" i="69"/>
  <c r="B24" i="69"/>
  <c r="T23" i="69"/>
  <c r="P23" i="69"/>
  <c r="X23" i="69" s="1"/>
  <c r="H23" i="69"/>
  <c r="D23" i="69"/>
  <c r="L23" i="69" s="1"/>
  <c r="N23" i="69" s="1"/>
  <c r="B23" i="69"/>
  <c r="X22" i="69"/>
  <c r="T22" i="69"/>
  <c r="Z22" i="69" s="1"/>
  <c r="P22" i="69"/>
  <c r="H22" i="69"/>
  <c r="D22" i="69"/>
  <c r="B22" i="69"/>
  <c r="X21" i="69"/>
  <c r="T21" i="69"/>
  <c r="P21" i="69"/>
  <c r="H21" i="69"/>
  <c r="D21" i="69"/>
  <c r="L21" i="69" s="1"/>
  <c r="N21" i="69" s="1"/>
  <c r="B21" i="69"/>
  <c r="Z20" i="69"/>
  <c r="T20" i="69"/>
  <c r="X20" i="69" s="1"/>
  <c r="P20" i="69"/>
  <c r="N20" i="69"/>
  <c r="L20" i="69"/>
  <c r="H20" i="69"/>
  <c r="D20" i="69"/>
  <c r="B20" i="69"/>
  <c r="X19" i="69"/>
  <c r="T19" i="69"/>
  <c r="P19" i="69"/>
  <c r="H19" i="69"/>
  <c r="D19" i="69"/>
  <c r="L19" i="69" s="1"/>
  <c r="N19" i="69" s="1"/>
  <c r="B19" i="69"/>
  <c r="X18" i="69"/>
  <c r="T18" i="69"/>
  <c r="Z18" i="69" s="1"/>
  <c r="P18" i="69"/>
  <c r="L18" i="69"/>
  <c r="H18" i="69"/>
  <c r="N18" i="69" s="1"/>
  <c r="D18" i="69"/>
  <c r="B18" i="69"/>
  <c r="X17" i="69"/>
  <c r="T17" i="69"/>
  <c r="Z17" i="69" s="1"/>
  <c r="P17" i="69"/>
  <c r="N17" i="69"/>
  <c r="H17" i="69"/>
  <c r="D17" i="69"/>
  <c r="L17" i="69" s="1"/>
  <c r="B17" i="69"/>
  <c r="Z16" i="69"/>
  <c r="T16" i="69"/>
  <c r="X16" i="69" s="1"/>
  <c r="P16" i="69"/>
  <c r="N16" i="69"/>
  <c r="L16" i="69"/>
  <c r="H16" i="69"/>
  <c r="D16" i="69"/>
  <c r="B16" i="69"/>
  <c r="T15" i="69"/>
  <c r="Z15" i="69" s="1"/>
  <c r="P15" i="69"/>
  <c r="X15" i="69" s="1"/>
  <c r="N15" i="69"/>
  <c r="H15" i="69"/>
  <c r="D15" i="69"/>
  <c r="L15" i="69" s="1"/>
  <c r="B15" i="69"/>
  <c r="X14" i="69"/>
  <c r="T14" i="69"/>
  <c r="Z14" i="69" s="1"/>
  <c r="P14" i="69"/>
  <c r="N14" i="69"/>
  <c r="L14" i="69"/>
  <c r="H14" i="69"/>
  <c r="D14" i="69"/>
  <c r="B14" i="69"/>
  <c r="X13" i="69"/>
  <c r="T13" i="69"/>
  <c r="P13" i="69"/>
  <c r="N13" i="69"/>
  <c r="H13" i="69"/>
  <c r="D13" i="69"/>
  <c r="B13" i="69"/>
  <c r="D6" i="69"/>
  <c r="D4" i="69"/>
  <c r="X90" i="68"/>
  <c r="Z90" i="68" s="1"/>
  <c r="N90" i="68"/>
  <c r="L90" i="68"/>
  <c r="Z86" i="68"/>
  <c r="T86" i="68"/>
  <c r="P86" i="68"/>
  <c r="X86" i="68" s="1"/>
  <c r="N86" i="68"/>
  <c r="H86" i="68"/>
  <c r="D86" i="68"/>
  <c r="L86" i="68" s="1"/>
  <c r="X84" i="68"/>
  <c r="Z84" i="68" s="1"/>
  <c r="N84" i="68"/>
  <c r="L84" i="68"/>
  <c r="B84" i="68"/>
  <c r="X83" i="68"/>
  <c r="T83" i="68"/>
  <c r="P83" i="68"/>
  <c r="L83" i="68"/>
  <c r="H83" i="68"/>
  <c r="N83" i="68" s="1"/>
  <c r="D83" i="68"/>
  <c r="B83" i="68"/>
  <c r="Z82" i="68"/>
  <c r="X82" i="68"/>
  <c r="N82" i="68"/>
  <c r="L82" i="68"/>
  <c r="B82" i="68"/>
  <c r="T81" i="68"/>
  <c r="P81" i="68"/>
  <c r="H81" i="68"/>
  <c r="N81" i="68" s="1"/>
  <c r="D81" i="68"/>
  <c r="B81" i="68"/>
  <c r="Z80" i="68"/>
  <c r="X80" i="68"/>
  <c r="N80" i="68"/>
  <c r="L80" i="68"/>
  <c r="B80" i="68"/>
  <c r="X79" i="68"/>
  <c r="Z79" i="68" s="1"/>
  <c r="N79" i="68"/>
  <c r="L79" i="68"/>
  <c r="B79" i="68"/>
  <c r="T78" i="68"/>
  <c r="P78" i="68"/>
  <c r="X78" i="68" s="1"/>
  <c r="N78" i="68"/>
  <c r="H78" i="68"/>
  <c r="D78" i="68"/>
  <c r="B78" i="68"/>
  <c r="X77" i="68"/>
  <c r="Z77" i="68" s="1"/>
  <c r="N77" i="68"/>
  <c r="L77" i="68"/>
  <c r="B77" i="68"/>
  <c r="T76" i="68"/>
  <c r="P76" i="68"/>
  <c r="X76" i="68" s="1"/>
  <c r="Z76" i="68" s="1"/>
  <c r="N76" i="68"/>
  <c r="H76" i="68"/>
  <c r="D76" i="68"/>
  <c r="L76" i="68" s="1"/>
  <c r="B76" i="68"/>
  <c r="Z75" i="68"/>
  <c r="X75" i="68"/>
  <c r="N75" i="68"/>
  <c r="L75" i="68"/>
  <c r="B75" i="68"/>
  <c r="Z74" i="68"/>
  <c r="X74" i="68"/>
  <c r="T74" i="68"/>
  <c r="P74" i="68"/>
  <c r="N74" i="68"/>
  <c r="L74" i="68"/>
  <c r="H74" i="68"/>
  <c r="D74" i="68"/>
  <c r="B74" i="68"/>
  <c r="Z73" i="68"/>
  <c r="X73" i="68"/>
  <c r="N73" i="68"/>
  <c r="L73" i="68"/>
  <c r="B73" i="68"/>
  <c r="Z72" i="68"/>
  <c r="X72" i="68"/>
  <c r="L72" i="68"/>
  <c r="N72" i="68" s="1"/>
  <c r="B72" i="68"/>
  <c r="T71" i="68"/>
  <c r="Z71" i="68" s="1"/>
  <c r="P71" i="68"/>
  <c r="X71" i="68" s="1"/>
  <c r="H71" i="68"/>
  <c r="D71" i="68"/>
  <c r="L71" i="68" s="1"/>
  <c r="N71" i="68" s="1"/>
  <c r="B71" i="68"/>
  <c r="Z70" i="68"/>
  <c r="X70" i="68"/>
  <c r="N70" i="68"/>
  <c r="L70" i="68"/>
  <c r="B70" i="68"/>
  <c r="X69" i="68"/>
  <c r="T69" i="68"/>
  <c r="P69" i="68"/>
  <c r="L69" i="68"/>
  <c r="H69" i="68"/>
  <c r="N69" i="68" s="1"/>
  <c r="D69" i="68"/>
  <c r="B69" i="68"/>
  <c r="X68" i="68"/>
  <c r="Z68" i="68" s="1"/>
  <c r="N68" i="68"/>
  <c r="L68" i="68"/>
  <c r="B68" i="68"/>
  <c r="Z67" i="68"/>
  <c r="X67" i="68"/>
  <c r="N67" i="68"/>
  <c r="L67" i="68"/>
  <c r="B67" i="68"/>
  <c r="Z66" i="68"/>
  <c r="X66" i="68"/>
  <c r="N66" i="68"/>
  <c r="L66" i="68"/>
  <c r="B66" i="68"/>
  <c r="X65" i="68"/>
  <c r="T65" i="68"/>
  <c r="P65" i="68"/>
  <c r="N65" i="68"/>
  <c r="H65" i="68"/>
  <c r="D65" i="68"/>
  <c r="L65" i="68" s="1"/>
  <c r="B65" i="68"/>
  <c r="Z64" i="68"/>
  <c r="X64" i="68"/>
  <c r="L64" i="68"/>
  <c r="N64" i="68" s="1"/>
  <c r="B64" i="68"/>
  <c r="Z63" i="68"/>
  <c r="X63" i="68"/>
  <c r="L63" i="68"/>
  <c r="N63" i="68" s="1"/>
  <c r="B63" i="68"/>
  <c r="Z62" i="68"/>
  <c r="X62" i="68"/>
  <c r="N62" i="68"/>
  <c r="L62" i="68"/>
  <c r="B62" i="68"/>
  <c r="Z61" i="68"/>
  <c r="X61" i="68"/>
  <c r="N61" i="68"/>
  <c r="L61" i="68"/>
  <c r="B61" i="68"/>
  <c r="Z60" i="68"/>
  <c r="X60" i="68"/>
  <c r="L60" i="68"/>
  <c r="N60" i="68" s="1"/>
  <c r="B60" i="68"/>
  <c r="X59" i="68"/>
  <c r="Z59" i="68" s="1"/>
  <c r="L59" i="68"/>
  <c r="N59" i="68" s="1"/>
  <c r="B59" i="68"/>
  <c r="Z58" i="68"/>
  <c r="X58" i="68"/>
  <c r="N58" i="68"/>
  <c r="L58" i="68"/>
  <c r="B58" i="68"/>
  <c r="Z57" i="68"/>
  <c r="X57" i="68"/>
  <c r="L57" i="68"/>
  <c r="N57" i="68" s="1"/>
  <c r="B57" i="68"/>
  <c r="Z56" i="68"/>
  <c r="X56" i="68"/>
  <c r="L56" i="68"/>
  <c r="N56" i="68" s="1"/>
  <c r="B56" i="68"/>
  <c r="Z55" i="68"/>
  <c r="X55" i="68"/>
  <c r="T55" i="68"/>
  <c r="P55" i="68"/>
  <c r="N55" i="68"/>
  <c r="H55" i="68"/>
  <c r="D55" i="68"/>
  <c r="L55" i="68" s="1"/>
  <c r="B55" i="68"/>
  <c r="T54" i="68"/>
  <c r="P54" i="68"/>
  <c r="H54" i="68"/>
  <c r="D54" i="68"/>
  <c r="L54" i="68" s="1"/>
  <c r="N54" i="68" s="1"/>
  <c r="Z50" i="68"/>
  <c r="X50" i="68"/>
  <c r="L50" i="68"/>
  <c r="N50" i="68" s="1"/>
  <c r="B50" i="68"/>
  <c r="X49" i="68"/>
  <c r="Z49" i="68" s="1"/>
  <c r="L49" i="68"/>
  <c r="N49" i="68" s="1"/>
  <c r="B49" i="68"/>
  <c r="X48" i="68"/>
  <c r="Z48" i="68" s="1"/>
  <c r="L48" i="68"/>
  <c r="N48" i="68" s="1"/>
  <c r="B48" i="68"/>
  <c r="X47" i="68"/>
  <c r="Z47" i="68" s="1"/>
  <c r="N47" i="68"/>
  <c r="L47" i="68"/>
  <c r="B47" i="68"/>
  <c r="Z46" i="68"/>
  <c r="X46" i="68"/>
  <c r="N46" i="68"/>
  <c r="L46" i="68"/>
  <c r="B46" i="68"/>
  <c r="X45" i="68"/>
  <c r="Z45" i="68" s="1"/>
  <c r="L45" i="68"/>
  <c r="N45" i="68" s="1"/>
  <c r="B45" i="68"/>
  <c r="X44" i="68"/>
  <c r="Z44" i="68" s="1"/>
  <c r="L44" i="68"/>
  <c r="N44" i="68" s="1"/>
  <c r="B44" i="68"/>
  <c r="X43" i="68"/>
  <c r="Z43" i="68" s="1"/>
  <c r="N43" i="68"/>
  <c r="L43" i="68"/>
  <c r="B43" i="68"/>
  <c r="Z42" i="68"/>
  <c r="X42" i="68"/>
  <c r="N42" i="68"/>
  <c r="L42" i="68"/>
  <c r="B42" i="68"/>
  <c r="X41" i="68"/>
  <c r="Z41" i="68" s="1"/>
  <c r="N41" i="68"/>
  <c r="L41" i="68"/>
  <c r="B41" i="68"/>
  <c r="X40" i="68"/>
  <c r="Z40" i="68" s="1"/>
  <c r="N40" i="68"/>
  <c r="L40" i="68"/>
  <c r="B40" i="68"/>
  <c r="X39" i="68"/>
  <c r="Z39" i="68" s="1"/>
  <c r="L39" i="68"/>
  <c r="N39" i="68" s="1"/>
  <c r="B39" i="68"/>
  <c r="Z38" i="68"/>
  <c r="X38" i="68"/>
  <c r="L38" i="68"/>
  <c r="N38" i="68" s="1"/>
  <c r="B38" i="68"/>
  <c r="X37" i="68"/>
  <c r="Z37" i="68" s="1"/>
  <c r="N37" i="68"/>
  <c r="L37" i="68"/>
  <c r="B37" i="68"/>
  <c r="X36" i="68"/>
  <c r="Z36" i="68" s="1"/>
  <c r="N36" i="68"/>
  <c r="L36" i="68"/>
  <c r="B36" i="68"/>
  <c r="T35" i="68"/>
  <c r="P35" i="68"/>
  <c r="X35" i="68" s="1"/>
  <c r="H35" i="68"/>
  <c r="D35" i="68"/>
  <c r="L35" i="68" s="1"/>
  <c r="T33" i="68"/>
  <c r="P33" i="68"/>
  <c r="N33" i="68"/>
  <c r="L33" i="68"/>
  <c r="H33" i="68"/>
  <c r="D33" i="68"/>
  <c r="B33" i="68"/>
  <c r="Z32" i="68"/>
  <c r="T32" i="68"/>
  <c r="X32" i="68" s="1"/>
  <c r="P32" i="68"/>
  <c r="N32" i="68"/>
  <c r="L32" i="68"/>
  <c r="H32" i="68"/>
  <c r="D32" i="68"/>
  <c r="B32" i="68"/>
  <c r="X31" i="68"/>
  <c r="T31" i="68"/>
  <c r="P31" i="68"/>
  <c r="H31" i="68"/>
  <c r="D31" i="68"/>
  <c r="L31" i="68" s="1"/>
  <c r="N31" i="68" s="1"/>
  <c r="B31" i="68"/>
  <c r="T30" i="68"/>
  <c r="X30" i="68" s="1"/>
  <c r="Z30" i="68" s="1"/>
  <c r="P30" i="68"/>
  <c r="L30" i="68"/>
  <c r="N30" i="68" s="1"/>
  <c r="H30" i="68"/>
  <c r="D30" i="68"/>
  <c r="B30" i="68"/>
  <c r="T29" i="68"/>
  <c r="P29" i="68"/>
  <c r="N29" i="68"/>
  <c r="L29" i="68"/>
  <c r="H29" i="68"/>
  <c r="D29" i="68"/>
  <c r="B29" i="68"/>
  <c r="Z28" i="68"/>
  <c r="T28" i="68"/>
  <c r="X28" i="68" s="1"/>
  <c r="P28" i="68"/>
  <c r="L28" i="68"/>
  <c r="H28" i="68"/>
  <c r="N28" i="68" s="1"/>
  <c r="D28" i="68"/>
  <c r="B28" i="68"/>
  <c r="T27" i="68"/>
  <c r="P27" i="68"/>
  <c r="N27" i="68"/>
  <c r="L27" i="68"/>
  <c r="H27" i="68"/>
  <c r="D27" i="68"/>
  <c r="B27" i="68"/>
  <c r="Z26" i="68"/>
  <c r="X26" i="68"/>
  <c r="T26" i="68"/>
  <c r="P26" i="68"/>
  <c r="L26" i="68"/>
  <c r="N26" i="68" s="1"/>
  <c r="H26" i="68"/>
  <c r="D26" i="68"/>
  <c r="B26" i="68"/>
  <c r="T25" i="68"/>
  <c r="P25" i="68"/>
  <c r="X25" i="68" s="1"/>
  <c r="N25" i="68"/>
  <c r="L25" i="68"/>
  <c r="H25" i="68"/>
  <c r="D25" i="68"/>
  <c r="B25" i="68"/>
  <c r="Z24" i="68"/>
  <c r="T24" i="68"/>
  <c r="X24" i="68" s="1"/>
  <c r="P24" i="68"/>
  <c r="N24" i="68"/>
  <c r="H24" i="68"/>
  <c r="D24" i="68"/>
  <c r="L24" i="68" s="1"/>
  <c r="B24" i="68"/>
  <c r="X23" i="68"/>
  <c r="T23" i="68"/>
  <c r="P23" i="68"/>
  <c r="L23" i="68"/>
  <c r="N23" i="68" s="1"/>
  <c r="H23" i="68"/>
  <c r="D23" i="68"/>
  <c r="B23" i="68"/>
  <c r="Z22" i="68"/>
  <c r="X22" i="68"/>
  <c r="T22" i="68"/>
  <c r="P22" i="68"/>
  <c r="L22" i="68"/>
  <c r="N22" i="68" s="1"/>
  <c r="H22" i="68"/>
  <c r="D22" i="68"/>
  <c r="B22" i="68"/>
  <c r="X21" i="68"/>
  <c r="T21" i="68"/>
  <c r="P21" i="68"/>
  <c r="N21" i="68"/>
  <c r="H21" i="68"/>
  <c r="D21" i="68"/>
  <c r="L21" i="68" s="1"/>
  <c r="B21" i="68"/>
  <c r="Z20" i="68"/>
  <c r="T20" i="68"/>
  <c r="X20" i="68" s="1"/>
  <c r="P20" i="68"/>
  <c r="N20" i="68"/>
  <c r="L20" i="68"/>
  <c r="H20" i="68"/>
  <c r="D20" i="68"/>
  <c r="B20" i="68"/>
  <c r="T19" i="68"/>
  <c r="Z19" i="68" s="1"/>
  <c r="P19" i="68"/>
  <c r="X19" i="68" s="1"/>
  <c r="N19" i="68"/>
  <c r="H19" i="68"/>
  <c r="D19" i="68"/>
  <c r="L19" i="68" s="1"/>
  <c r="B19" i="68"/>
  <c r="T18" i="68"/>
  <c r="X18" i="68" s="1"/>
  <c r="Z18" i="68" s="1"/>
  <c r="P18" i="68"/>
  <c r="H18" i="68"/>
  <c r="D18" i="68"/>
  <c r="B18" i="68"/>
  <c r="T17" i="68"/>
  <c r="P17" i="68"/>
  <c r="H17" i="68"/>
  <c r="D17" i="68"/>
  <c r="L17" i="68" s="1"/>
  <c r="N17" i="68" s="1"/>
  <c r="B17" i="68"/>
  <c r="T16" i="68"/>
  <c r="X16" i="68" s="1"/>
  <c r="P16" i="68"/>
  <c r="H16" i="68"/>
  <c r="D16" i="68"/>
  <c r="B16" i="68"/>
  <c r="T15" i="68"/>
  <c r="P15" i="68"/>
  <c r="X15" i="68" s="1"/>
  <c r="H15" i="68"/>
  <c r="D15" i="68"/>
  <c r="L15" i="68" s="1"/>
  <c r="N15" i="68" s="1"/>
  <c r="B15" i="68"/>
  <c r="T14" i="68"/>
  <c r="P14" i="68"/>
  <c r="N14" i="68"/>
  <c r="H14" i="68"/>
  <c r="L14" i="68" s="1"/>
  <c r="D14" i="68"/>
  <c r="B14" i="68"/>
  <c r="T13" i="68"/>
  <c r="P13" i="68"/>
  <c r="N13" i="68"/>
  <c r="H13" i="68"/>
  <c r="D13" i="68"/>
  <c r="L13" i="68" s="1"/>
  <c r="B13" i="68"/>
  <c r="D6" i="68"/>
  <c r="D4" i="68"/>
  <c r="Z78" i="67"/>
  <c r="X78" i="67"/>
  <c r="N78" i="67"/>
  <c r="L78" i="67"/>
  <c r="Z74" i="67"/>
  <c r="T74" i="67"/>
  <c r="P74" i="67"/>
  <c r="X74" i="67" s="1"/>
  <c r="N74" i="67"/>
  <c r="H74" i="67"/>
  <c r="D74" i="67"/>
  <c r="L74" i="67" s="1"/>
  <c r="Z72" i="67"/>
  <c r="X72" i="67"/>
  <c r="N72" i="67"/>
  <c r="L72" i="67"/>
  <c r="B72" i="67"/>
  <c r="T71" i="67"/>
  <c r="R71" i="67"/>
  <c r="P71" i="67"/>
  <c r="X71" i="67" s="1"/>
  <c r="H71" i="67"/>
  <c r="N71" i="67" s="1"/>
  <c r="D71" i="67"/>
  <c r="L71" i="67" s="1"/>
  <c r="B71" i="67"/>
  <c r="Z70" i="67"/>
  <c r="X70" i="67"/>
  <c r="N70" i="67"/>
  <c r="L70" i="67"/>
  <c r="B70" i="67"/>
  <c r="T69" i="67"/>
  <c r="P69" i="67"/>
  <c r="X69" i="67" s="1"/>
  <c r="Z69" i="67" s="1"/>
  <c r="H69" i="67"/>
  <c r="D69" i="67"/>
  <c r="B69" i="67"/>
  <c r="Z68" i="67"/>
  <c r="X68" i="67"/>
  <c r="N68" i="67"/>
  <c r="L68" i="67"/>
  <c r="B68" i="67"/>
  <c r="Z67" i="67"/>
  <c r="X67" i="67"/>
  <c r="R67" i="67"/>
  <c r="L67" i="67"/>
  <c r="N67" i="67" s="1"/>
  <c r="B67" i="67"/>
  <c r="Z66" i="67"/>
  <c r="X66" i="67"/>
  <c r="N66" i="67"/>
  <c r="L66" i="67"/>
  <c r="B66" i="67"/>
  <c r="X65" i="67"/>
  <c r="Z65" i="67" s="1"/>
  <c r="N65" i="67"/>
  <c r="L65" i="67"/>
  <c r="B65" i="67"/>
  <c r="Z64" i="67"/>
  <c r="X64" i="67"/>
  <c r="N64" i="67"/>
  <c r="L64" i="67"/>
  <c r="B64" i="67"/>
  <c r="Z63" i="67"/>
  <c r="X63" i="67"/>
  <c r="R63" i="67"/>
  <c r="N63" i="67"/>
  <c r="L63" i="67"/>
  <c r="B63" i="67"/>
  <c r="T62" i="67"/>
  <c r="P62" i="67"/>
  <c r="H62" i="67"/>
  <c r="D62" i="67"/>
  <c r="L62" i="67" s="1"/>
  <c r="B62" i="67"/>
  <c r="X61" i="67"/>
  <c r="Z61" i="67" s="1"/>
  <c r="N61" i="67"/>
  <c r="L61" i="67"/>
  <c r="B61" i="67"/>
  <c r="Z60" i="67"/>
  <c r="X60" i="67"/>
  <c r="T60" i="67"/>
  <c r="P60" i="67"/>
  <c r="N60" i="67"/>
  <c r="H60" i="67"/>
  <c r="D60" i="67"/>
  <c r="L60" i="67" s="1"/>
  <c r="B60" i="67"/>
  <c r="Z59" i="67"/>
  <c r="X59" i="67"/>
  <c r="R59" i="67"/>
  <c r="N59" i="67"/>
  <c r="L59" i="67"/>
  <c r="B59" i="67"/>
  <c r="Z58" i="67"/>
  <c r="X58" i="67"/>
  <c r="R58" i="67"/>
  <c r="N58" i="67"/>
  <c r="L58" i="67"/>
  <c r="B58" i="67"/>
  <c r="X57" i="67"/>
  <c r="Z57" i="67" s="1"/>
  <c r="N57" i="67"/>
  <c r="L57" i="67"/>
  <c r="B57" i="67"/>
  <c r="X56" i="67"/>
  <c r="T56" i="67"/>
  <c r="Z56" i="67" s="1"/>
  <c r="P56" i="67"/>
  <c r="N56" i="67"/>
  <c r="H56" i="67"/>
  <c r="L56" i="67" s="1"/>
  <c r="D56" i="67"/>
  <c r="B56" i="67"/>
  <c r="Z55" i="67"/>
  <c r="X55" i="67"/>
  <c r="N55" i="67"/>
  <c r="L55" i="67"/>
  <c r="B55" i="67"/>
  <c r="Z54" i="67"/>
  <c r="T54" i="67"/>
  <c r="R54" i="67"/>
  <c r="P54" i="67"/>
  <c r="X54" i="67" s="1"/>
  <c r="N54" i="67"/>
  <c r="H54" i="67"/>
  <c r="D54" i="67"/>
  <c r="B54" i="67"/>
  <c r="X53" i="67"/>
  <c r="Z53" i="67" s="1"/>
  <c r="R53" i="67"/>
  <c r="N53" i="67"/>
  <c r="L53" i="67"/>
  <c r="B53" i="67"/>
  <c r="T52" i="67"/>
  <c r="P52" i="67"/>
  <c r="X52" i="67" s="1"/>
  <c r="Z52" i="67" s="1"/>
  <c r="N52" i="67"/>
  <c r="H52" i="67"/>
  <c r="D52" i="67"/>
  <c r="L52" i="67" s="1"/>
  <c r="B52" i="67"/>
  <c r="Z51" i="67"/>
  <c r="X51" i="67"/>
  <c r="N51" i="67"/>
  <c r="L51" i="67"/>
  <c r="B51" i="67"/>
  <c r="T50" i="67"/>
  <c r="P50" i="67"/>
  <c r="X50" i="67" s="1"/>
  <c r="N50" i="67"/>
  <c r="L50" i="67"/>
  <c r="H50" i="67"/>
  <c r="D50" i="67"/>
  <c r="B50" i="67"/>
  <c r="X49" i="67"/>
  <c r="Z49" i="67" s="1"/>
  <c r="L49" i="67"/>
  <c r="N49" i="67" s="1"/>
  <c r="B49" i="67"/>
  <c r="T48" i="67"/>
  <c r="P48" i="67"/>
  <c r="X48" i="67" s="1"/>
  <c r="Z48" i="67" s="1"/>
  <c r="H48" i="67"/>
  <c r="D48" i="67"/>
  <c r="B48" i="67"/>
  <c r="X47" i="67"/>
  <c r="Z47" i="67" s="1"/>
  <c r="N47" i="67"/>
  <c r="L47" i="67"/>
  <c r="B47" i="67"/>
  <c r="T46" i="67"/>
  <c r="P46" i="67"/>
  <c r="X46" i="67" s="1"/>
  <c r="Z46" i="67" s="1"/>
  <c r="N46" i="67"/>
  <c r="H46" i="67"/>
  <c r="D46" i="67"/>
  <c r="L46" i="67" s="1"/>
  <c r="B46" i="67"/>
  <c r="X45" i="67"/>
  <c r="Z45" i="67" s="1"/>
  <c r="N45" i="67"/>
  <c r="L45" i="67"/>
  <c r="B45" i="67"/>
  <c r="X44" i="67"/>
  <c r="Z44" i="67" s="1"/>
  <c r="T44" i="67"/>
  <c r="R44" i="67"/>
  <c r="P44" i="67"/>
  <c r="H44" i="67"/>
  <c r="N44" i="67" s="1"/>
  <c r="D44" i="67"/>
  <c r="L44" i="67" s="1"/>
  <c r="B44" i="67"/>
  <c r="Z43" i="67"/>
  <c r="X43" i="67"/>
  <c r="R43" i="67"/>
  <c r="N43" i="67"/>
  <c r="L43" i="67"/>
  <c r="B43" i="67"/>
  <c r="X42" i="67"/>
  <c r="Z42" i="67" s="1"/>
  <c r="R42" i="67"/>
  <c r="N42" i="67"/>
  <c r="L42" i="67"/>
  <c r="B42" i="67"/>
  <c r="X41" i="67"/>
  <c r="Z41" i="67" s="1"/>
  <c r="N41" i="67"/>
  <c r="L41" i="67"/>
  <c r="B41" i="67"/>
  <c r="Z40" i="67"/>
  <c r="X40" i="67"/>
  <c r="N40" i="67"/>
  <c r="L40" i="67"/>
  <c r="B40" i="67"/>
  <c r="Z39" i="67"/>
  <c r="X39" i="67"/>
  <c r="R39" i="67"/>
  <c r="N39" i="67"/>
  <c r="L39" i="67"/>
  <c r="B39" i="67"/>
  <c r="X38" i="67"/>
  <c r="Z38" i="67" s="1"/>
  <c r="R38" i="67"/>
  <c r="N38" i="67"/>
  <c r="L38" i="67"/>
  <c r="B38" i="67"/>
  <c r="T37" i="67"/>
  <c r="Z37" i="67" s="1"/>
  <c r="P37" i="67"/>
  <c r="X37" i="67" s="1"/>
  <c r="H37" i="67"/>
  <c r="D37" i="67"/>
  <c r="B37" i="67"/>
  <c r="X36" i="67"/>
  <c r="Z36" i="67" s="1"/>
  <c r="L36" i="67"/>
  <c r="N36" i="67" s="1"/>
  <c r="B36" i="67"/>
  <c r="X35" i="67"/>
  <c r="Z35" i="67" s="1"/>
  <c r="N35" i="67"/>
  <c r="L35" i="67"/>
  <c r="B35" i="67"/>
  <c r="Z34" i="67"/>
  <c r="X34" i="67"/>
  <c r="N34" i="67"/>
  <c r="L34" i="67"/>
  <c r="B34" i="67"/>
  <c r="X33" i="67"/>
  <c r="Z33" i="67" s="1"/>
  <c r="R33" i="67"/>
  <c r="L33" i="67"/>
  <c r="N33" i="67" s="1"/>
  <c r="B33" i="67"/>
  <c r="X32" i="67"/>
  <c r="Z32" i="67" s="1"/>
  <c r="L32" i="67"/>
  <c r="N32" i="67" s="1"/>
  <c r="B32" i="67"/>
  <c r="X31" i="67"/>
  <c r="Z31" i="67" s="1"/>
  <c r="N31" i="67"/>
  <c r="L31" i="67"/>
  <c r="B31" i="67"/>
  <c r="Z30" i="67"/>
  <c r="X30" i="67"/>
  <c r="N30" i="67"/>
  <c r="L30" i="67"/>
  <c r="B30" i="67"/>
  <c r="X29" i="67"/>
  <c r="Z29" i="67" s="1"/>
  <c r="R29" i="67"/>
  <c r="L29" i="67"/>
  <c r="N29" i="67" s="1"/>
  <c r="B29" i="67"/>
  <c r="T28" i="67"/>
  <c r="P28" i="67"/>
  <c r="X28" i="67" s="1"/>
  <c r="Z28" i="67" s="1"/>
  <c r="N28" i="67"/>
  <c r="H28" i="67"/>
  <c r="D28" i="67"/>
  <c r="L28" i="67" s="1"/>
  <c r="B28" i="67"/>
  <c r="T27" i="67"/>
  <c r="R27" i="67"/>
  <c r="P27" i="67"/>
  <c r="X27" i="67" s="1"/>
  <c r="Z27" i="67" s="1"/>
  <c r="H27" i="67"/>
  <c r="D27" i="67"/>
  <c r="L27" i="67" s="1"/>
  <c r="R25" i="67"/>
  <c r="P25" i="67"/>
  <c r="Z23" i="67"/>
  <c r="X23" i="67"/>
  <c r="N23" i="67"/>
  <c r="L23" i="67"/>
  <c r="B23" i="67"/>
  <c r="Z22" i="67"/>
  <c r="X22" i="67"/>
  <c r="L22" i="67"/>
  <c r="N22" i="67" s="1"/>
  <c r="B22" i="67"/>
  <c r="X21" i="67"/>
  <c r="T21" i="67"/>
  <c r="P21" i="67"/>
  <c r="H21" i="67"/>
  <c r="D21" i="67"/>
  <c r="L21" i="67" s="1"/>
  <c r="N21" i="67" s="1"/>
  <c r="X19" i="67"/>
  <c r="T19" i="67"/>
  <c r="P19" i="67"/>
  <c r="H19" i="67"/>
  <c r="D19" i="67"/>
  <c r="B19" i="67"/>
  <c r="X18" i="67"/>
  <c r="T18" i="67"/>
  <c r="P18" i="67"/>
  <c r="H18" i="67"/>
  <c r="L18" i="67" s="1"/>
  <c r="N18" i="67" s="1"/>
  <c r="D18" i="67"/>
  <c r="B18" i="67"/>
  <c r="T17" i="67"/>
  <c r="P17" i="67"/>
  <c r="X17" i="67" s="1"/>
  <c r="Z17" i="67" s="1"/>
  <c r="N17" i="67"/>
  <c r="H17" i="67"/>
  <c r="D17" i="67"/>
  <c r="L17" i="67" s="1"/>
  <c r="B17" i="67"/>
  <c r="T16" i="67"/>
  <c r="P16" i="67"/>
  <c r="X16" i="67" s="1"/>
  <c r="Z16" i="67" s="1"/>
  <c r="H16" i="67"/>
  <c r="N16" i="67" s="1"/>
  <c r="D16" i="67"/>
  <c r="L16" i="67" s="1"/>
  <c r="B16" i="67"/>
  <c r="X15" i="67"/>
  <c r="T15" i="67"/>
  <c r="Z15" i="67" s="1"/>
  <c r="P15" i="67"/>
  <c r="H15" i="67"/>
  <c r="D15" i="67"/>
  <c r="B15" i="67"/>
  <c r="X14" i="67"/>
  <c r="T14" i="67"/>
  <c r="P14" i="67"/>
  <c r="N14" i="67"/>
  <c r="H14" i="67"/>
  <c r="L14" i="67" s="1"/>
  <c r="D14" i="67"/>
  <c r="B14" i="67"/>
  <c r="T13" i="67"/>
  <c r="P13" i="67"/>
  <c r="X13" i="67" s="1"/>
  <c r="Z13" i="67" s="1"/>
  <c r="N13" i="67"/>
  <c r="H13" i="67"/>
  <c r="D13" i="67"/>
  <c r="L13" i="67" s="1"/>
  <c r="B13" i="67"/>
  <c r="P12" i="67"/>
  <c r="R62" i="67" s="1"/>
  <c r="D6" i="67"/>
  <c r="D4" i="67"/>
  <c r="Z126" i="66"/>
  <c r="X126" i="66"/>
  <c r="L126" i="66"/>
  <c r="N126" i="66" s="1"/>
  <c r="X122" i="66"/>
  <c r="Z122" i="66" s="1"/>
  <c r="T122" i="66"/>
  <c r="R122" i="66"/>
  <c r="P122" i="66"/>
  <c r="H122" i="66"/>
  <c r="N122" i="66" s="1"/>
  <c r="D122" i="66"/>
  <c r="L122" i="66" s="1"/>
  <c r="B122" i="66"/>
  <c r="T121" i="66"/>
  <c r="T119" i="66" s="1"/>
  <c r="P121" i="66"/>
  <c r="L121" i="66"/>
  <c r="H121" i="66"/>
  <c r="N121" i="66" s="1"/>
  <c r="D121" i="66"/>
  <c r="B121" i="66"/>
  <c r="T120" i="66"/>
  <c r="X120" i="66" s="1"/>
  <c r="Z120" i="66" s="1"/>
  <c r="P120" i="66"/>
  <c r="H120" i="66"/>
  <c r="D120" i="66"/>
  <c r="L120" i="66" s="1"/>
  <c r="N120" i="66" s="1"/>
  <c r="B120" i="66"/>
  <c r="X119" i="66"/>
  <c r="P119" i="66"/>
  <c r="X117" i="66"/>
  <c r="Z117" i="66" s="1"/>
  <c r="N117" i="66"/>
  <c r="L117" i="66"/>
  <c r="B117" i="66"/>
  <c r="X116" i="66"/>
  <c r="Z116" i="66" s="1"/>
  <c r="T116" i="66"/>
  <c r="R116" i="66"/>
  <c r="P116" i="66"/>
  <c r="H116" i="66"/>
  <c r="N116" i="66" s="1"/>
  <c r="D116" i="66"/>
  <c r="L116" i="66" s="1"/>
  <c r="B116" i="66"/>
  <c r="X115" i="66"/>
  <c r="Z115" i="66" s="1"/>
  <c r="R115" i="66"/>
  <c r="N115" i="66"/>
  <c r="L115" i="66"/>
  <c r="B115" i="66"/>
  <c r="T114" i="66"/>
  <c r="R114" i="66"/>
  <c r="P114" i="66"/>
  <c r="N114" i="66"/>
  <c r="H114" i="66"/>
  <c r="D114" i="66"/>
  <c r="L114" i="66" s="1"/>
  <c r="B114" i="66"/>
  <c r="X113" i="66"/>
  <c r="Z113" i="66" s="1"/>
  <c r="R113" i="66"/>
  <c r="L113" i="66"/>
  <c r="N113" i="66" s="1"/>
  <c r="B113" i="66"/>
  <c r="X112" i="66"/>
  <c r="Z112" i="66" s="1"/>
  <c r="L112" i="66"/>
  <c r="N112" i="66" s="1"/>
  <c r="B112" i="66"/>
  <c r="T111" i="66"/>
  <c r="P111" i="66"/>
  <c r="H111" i="66"/>
  <c r="D111" i="66"/>
  <c r="L111" i="66" s="1"/>
  <c r="B111" i="66"/>
  <c r="Z110" i="66"/>
  <c r="X110" i="66"/>
  <c r="L110" i="66"/>
  <c r="N110" i="66" s="1"/>
  <c r="B110" i="66"/>
  <c r="X109" i="66"/>
  <c r="Z109" i="66" s="1"/>
  <c r="N109" i="66"/>
  <c r="L109" i="66"/>
  <c r="B109" i="66"/>
  <c r="X108" i="66"/>
  <c r="Z108" i="66" s="1"/>
  <c r="L108" i="66"/>
  <c r="N108" i="66" s="1"/>
  <c r="B108" i="66"/>
  <c r="T107" i="66"/>
  <c r="R107" i="66"/>
  <c r="P107" i="66"/>
  <c r="X107" i="66" s="1"/>
  <c r="Z107" i="66" s="1"/>
  <c r="L107" i="66"/>
  <c r="H107" i="66"/>
  <c r="D107" i="66"/>
  <c r="B107" i="66"/>
  <c r="X106" i="66"/>
  <c r="Z106" i="66" s="1"/>
  <c r="R106" i="66"/>
  <c r="N106" i="66"/>
  <c r="L106" i="66"/>
  <c r="B106" i="66"/>
  <c r="X105" i="66"/>
  <c r="Z105" i="66" s="1"/>
  <c r="L105" i="66"/>
  <c r="N105" i="66" s="1"/>
  <c r="B105" i="66"/>
  <c r="Z104" i="66"/>
  <c r="X104" i="66"/>
  <c r="T104" i="66"/>
  <c r="P104" i="66"/>
  <c r="H104" i="66"/>
  <c r="D104" i="66"/>
  <c r="B104" i="66"/>
  <c r="Z103" i="66"/>
  <c r="X103" i="66"/>
  <c r="N103" i="66"/>
  <c r="L103" i="66"/>
  <c r="B103" i="66"/>
  <c r="Z102" i="66"/>
  <c r="X102" i="66"/>
  <c r="R102" i="66"/>
  <c r="N102" i="66"/>
  <c r="L102" i="66"/>
  <c r="B102" i="66"/>
  <c r="T101" i="66"/>
  <c r="P101" i="66"/>
  <c r="X101" i="66" s="1"/>
  <c r="N101" i="66"/>
  <c r="H101" i="66"/>
  <c r="L101" i="66" s="1"/>
  <c r="D101" i="66"/>
  <c r="B101" i="66"/>
  <c r="Z100" i="66"/>
  <c r="X100" i="66"/>
  <c r="N100" i="66"/>
  <c r="L100" i="66"/>
  <c r="B100" i="66"/>
  <c r="Z99" i="66"/>
  <c r="X99" i="66"/>
  <c r="N99" i="66"/>
  <c r="L99" i="66"/>
  <c r="B99" i="66"/>
  <c r="T98" i="66"/>
  <c r="P98" i="66"/>
  <c r="X98" i="66" s="1"/>
  <c r="L98" i="66"/>
  <c r="N98" i="66" s="1"/>
  <c r="H98" i="66"/>
  <c r="D98" i="66"/>
  <c r="B98" i="66"/>
  <c r="X97" i="66"/>
  <c r="Z97" i="66" s="1"/>
  <c r="N97" i="66"/>
  <c r="L97" i="66"/>
  <c r="B97" i="66"/>
  <c r="X96" i="66"/>
  <c r="Z96" i="66" s="1"/>
  <c r="T96" i="66"/>
  <c r="P96" i="66"/>
  <c r="H96" i="66"/>
  <c r="D96" i="66"/>
  <c r="B96" i="66"/>
  <c r="Z95" i="66"/>
  <c r="X95" i="66"/>
  <c r="N95" i="66"/>
  <c r="L95" i="66"/>
  <c r="B95" i="66"/>
  <c r="Z94" i="66"/>
  <c r="X94" i="66"/>
  <c r="R94" i="66"/>
  <c r="N94" i="66"/>
  <c r="L94" i="66"/>
  <c r="B94" i="66"/>
  <c r="T93" i="66"/>
  <c r="P93" i="66"/>
  <c r="X93" i="66" s="1"/>
  <c r="H93" i="66"/>
  <c r="L93" i="66" s="1"/>
  <c r="N93" i="66" s="1"/>
  <c r="D93" i="66"/>
  <c r="B93" i="66"/>
  <c r="X92" i="66"/>
  <c r="Z92" i="66" s="1"/>
  <c r="L92" i="66"/>
  <c r="N92" i="66" s="1"/>
  <c r="B92" i="66"/>
  <c r="T91" i="66"/>
  <c r="P91" i="66"/>
  <c r="X91" i="66" s="1"/>
  <c r="Z91" i="66" s="1"/>
  <c r="L91" i="66"/>
  <c r="H91" i="66"/>
  <c r="N91" i="66" s="1"/>
  <c r="D91" i="66"/>
  <c r="B91" i="66"/>
  <c r="X90" i="66"/>
  <c r="Z90" i="66" s="1"/>
  <c r="R90" i="66"/>
  <c r="N90" i="66"/>
  <c r="L90" i="66"/>
  <c r="B90" i="66"/>
  <c r="X89" i="66"/>
  <c r="T89" i="66"/>
  <c r="Z89" i="66" s="1"/>
  <c r="P89" i="66"/>
  <c r="N89" i="66"/>
  <c r="L89" i="66"/>
  <c r="H89" i="66"/>
  <c r="D89" i="66"/>
  <c r="B89" i="66"/>
  <c r="X88" i="66"/>
  <c r="Z88" i="66" s="1"/>
  <c r="N88" i="66"/>
  <c r="L88" i="66"/>
  <c r="B88" i="66"/>
  <c r="Z87" i="66"/>
  <c r="X87" i="66"/>
  <c r="N87" i="66"/>
  <c r="L87" i="66"/>
  <c r="B87" i="66"/>
  <c r="Z86" i="66"/>
  <c r="T86" i="66"/>
  <c r="P86" i="66"/>
  <c r="X86" i="66" s="1"/>
  <c r="H86" i="66"/>
  <c r="D86" i="66"/>
  <c r="L86" i="66" s="1"/>
  <c r="N86" i="66" s="1"/>
  <c r="B86" i="66"/>
  <c r="X85" i="66"/>
  <c r="Z85" i="66" s="1"/>
  <c r="V85" i="66"/>
  <c r="N85" i="66"/>
  <c r="L85" i="66"/>
  <c r="B85" i="66"/>
  <c r="T84" i="66"/>
  <c r="P84" i="66"/>
  <c r="X84" i="66" s="1"/>
  <c r="Z84" i="66" s="1"/>
  <c r="H84" i="66"/>
  <c r="N84" i="66" s="1"/>
  <c r="D84" i="66"/>
  <c r="L84" i="66" s="1"/>
  <c r="B84" i="66"/>
  <c r="Z83" i="66"/>
  <c r="X83" i="66"/>
  <c r="R83" i="66"/>
  <c r="N83" i="66"/>
  <c r="L83" i="66"/>
  <c r="B83" i="66"/>
  <c r="X82" i="66"/>
  <c r="Z82" i="66" s="1"/>
  <c r="R82" i="66"/>
  <c r="N82" i="66"/>
  <c r="L82" i="66"/>
  <c r="B82" i="66"/>
  <c r="X81" i="66"/>
  <c r="Z81" i="66" s="1"/>
  <c r="L81" i="66"/>
  <c r="N81" i="66" s="1"/>
  <c r="B81" i="66"/>
  <c r="X80" i="66"/>
  <c r="Z80" i="66" s="1"/>
  <c r="L80" i="66"/>
  <c r="N80" i="66" s="1"/>
  <c r="B80" i="66"/>
  <c r="Z79" i="66"/>
  <c r="X79" i="66"/>
  <c r="R79" i="66"/>
  <c r="N79" i="66"/>
  <c r="L79" i="66"/>
  <c r="B79" i="66"/>
  <c r="X78" i="66"/>
  <c r="Z78" i="66" s="1"/>
  <c r="R78" i="66"/>
  <c r="N78" i="66"/>
  <c r="L78" i="66"/>
  <c r="B78" i="66"/>
  <c r="Z77" i="66"/>
  <c r="X77" i="66"/>
  <c r="N77" i="66"/>
  <c r="L77" i="66"/>
  <c r="B77" i="66"/>
  <c r="X76" i="66"/>
  <c r="Z76" i="66" s="1"/>
  <c r="T76" i="66"/>
  <c r="P76" i="66"/>
  <c r="H76" i="66"/>
  <c r="D76" i="66"/>
  <c r="B76" i="66"/>
  <c r="Z75" i="66"/>
  <c r="X75" i="66"/>
  <c r="N75" i="66"/>
  <c r="L75" i="66"/>
  <c r="B75" i="66"/>
  <c r="Z74" i="66"/>
  <c r="X74" i="66"/>
  <c r="R74" i="66"/>
  <c r="N74" i="66"/>
  <c r="L74" i="66"/>
  <c r="B74" i="66"/>
  <c r="X73" i="66"/>
  <c r="Z73" i="66" s="1"/>
  <c r="R73" i="66"/>
  <c r="L73" i="66"/>
  <c r="N73" i="66" s="1"/>
  <c r="B73" i="66"/>
  <c r="X72" i="66"/>
  <c r="Z72" i="66" s="1"/>
  <c r="L72" i="66"/>
  <c r="N72" i="66" s="1"/>
  <c r="B72" i="66"/>
  <c r="Z71" i="66"/>
  <c r="X71" i="66"/>
  <c r="N71" i="66"/>
  <c r="L71" i="66"/>
  <c r="B71" i="66"/>
  <c r="Z70" i="66"/>
  <c r="X70" i="66"/>
  <c r="R70" i="66"/>
  <c r="N70" i="66"/>
  <c r="L70" i="66"/>
  <c r="B70" i="66"/>
  <c r="X69" i="66"/>
  <c r="Z69" i="66" s="1"/>
  <c r="R69" i="66"/>
  <c r="L69" i="66"/>
  <c r="N69" i="66" s="1"/>
  <c r="B69" i="66"/>
  <c r="X68" i="66"/>
  <c r="Z68" i="66" s="1"/>
  <c r="L68" i="66"/>
  <c r="N68" i="66" s="1"/>
  <c r="B68" i="66"/>
  <c r="Z67" i="66"/>
  <c r="X67" i="66"/>
  <c r="N67" i="66"/>
  <c r="L67" i="66"/>
  <c r="B67" i="66"/>
  <c r="T66" i="66"/>
  <c r="P66" i="66"/>
  <c r="H66" i="66"/>
  <c r="D66" i="66"/>
  <c r="L66" i="66" s="1"/>
  <c r="N66" i="66" s="1"/>
  <c r="B66" i="66"/>
  <c r="T65" i="66"/>
  <c r="P65" i="66"/>
  <c r="X65" i="66" s="1"/>
  <c r="H65" i="66"/>
  <c r="D65" i="66"/>
  <c r="X61" i="66"/>
  <c r="Z61" i="66" s="1"/>
  <c r="N61" i="66"/>
  <c r="L61" i="66"/>
  <c r="B61" i="66"/>
  <c r="X60" i="66"/>
  <c r="Z60" i="66" s="1"/>
  <c r="N60" i="66"/>
  <c r="L60" i="66"/>
  <c r="B60" i="66"/>
  <c r="Z59" i="66"/>
  <c r="X59" i="66"/>
  <c r="N59" i="66"/>
  <c r="L59" i="66"/>
  <c r="B59" i="66"/>
  <c r="Z58" i="66"/>
  <c r="X58" i="66"/>
  <c r="L58" i="66"/>
  <c r="N58" i="66" s="1"/>
  <c r="B58" i="66"/>
  <c r="X57" i="66"/>
  <c r="Z57" i="66" s="1"/>
  <c r="L57" i="66"/>
  <c r="N57" i="66" s="1"/>
  <c r="B57" i="66"/>
  <c r="X56" i="66"/>
  <c r="Z56" i="66" s="1"/>
  <c r="N56" i="66"/>
  <c r="L56" i="66"/>
  <c r="B56" i="66"/>
  <c r="Z55" i="66"/>
  <c r="X55" i="66"/>
  <c r="N55" i="66"/>
  <c r="L55" i="66"/>
  <c r="B55" i="66"/>
  <c r="Z54" i="66"/>
  <c r="X54" i="66"/>
  <c r="L54" i="66"/>
  <c r="N54" i="66" s="1"/>
  <c r="B54" i="66"/>
  <c r="X53" i="66"/>
  <c r="Z53" i="66" s="1"/>
  <c r="N53" i="66"/>
  <c r="L53" i="66"/>
  <c r="B53" i="66"/>
  <c r="X52" i="66"/>
  <c r="Z52" i="66" s="1"/>
  <c r="N52" i="66"/>
  <c r="L52" i="66"/>
  <c r="B52" i="66"/>
  <c r="Z51" i="66"/>
  <c r="X51" i="66"/>
  <c r="N51" i="66"/>
  <c r="L51" i="66"/>
  <c r="B51" i="66"/>
  <c r="Z50" i="66"/>
  <c r="X50" i="66"/>
  <c r="N50" i="66"/>
  <c r="L50" i="66"/>
  <c r="B50" i="66"/>
  <c r="X49" i="66"/>
  <c r="Z49" i="66" s="1"/>
  <c r="L49" i="66"/>
  <c r="N49" i="66" s="1"/>
  <c r="B49" i="66"/>
  <c r="X48" i="66"/>
  <c r="Z48" i="66" s="1"/>
  <c r="N48" i="66"/>
  <c r="L48" i="66"/>
  <c r="B48" i="66"/>
  <c r="Z47" i="66"/>
  <c r="X47" i="66"/>
  <c r="L47" i="66"/>
  <c r="N47" i="66" s="1"/>
  <c r="B47" i="66"/>
  <c r="Z46" i="66"/>
  <c r="X46" i="66"/>
  <c r="L46" i="66"/>
  <c r="N46" i="66" s="1"/>
  <c r="B46" i="66"/>
  <c r="Z45" i="66"/>
  <c r="X45" i="66"/>
  <c r="N45" i="66"/>
  <c r="L45" i="66"/>
  <c r="B45" i="66"/>
  <c r="X44" i="66"/>
  <c r="Z44" i="66" s="1"/>
  <c r="T44" i="66"/>
  <c r="R44" i="66"/>
  <c r="P44" i="66"/>
  <c r="H44" i="66"/>
  <c r="D44" i="66"/>
  <c r="L44" i="66" s="1"/>
  <c r="T42" i="66"/>
  <c r="P42" i="66"/>
  <c r="N42" i="66"/>
  <c r="L42" i="66"/>
  <c r="H42" i="66"/>
  <c r="D42" i="66"/>
  <c r="B42" i="66"/>
  <c r="T41" i="66"/>
  <c r="P41" i="66"/>
  <c r="X41" i="66" s="1"/>
  <c r="Z41" i="66" s="1"/>
  <c r="N41" i="66"/>
  <c r="H41" i="66"/>
  <c r="D41" i="66"/>
  <c r="L41" i="66" s="1"/>
  <c r="B41" i="66"/>
  <c r="T40" i="66"/>
  <c r="Z40" i="66" s="1"/>
  <c r="P40" i="66"/>
  <c r="X40" i="66" s="1"/>
  <c r="H40" i="66"/>
  <c r="D40" i="66"/>
  <c r="L40" i="66" s="1"/>
  <c r="B40" i="66"/>
  <c r="X39" i="66"/>
  <c r="T39" i="66"/>
  <c r="P39" i="66"/>
  <c r="L39" i="66"/>
  <c r="H39" i="66"/>
  <c r="N39" i="66" s="1"/>
  <c r="D39" i="66"/>
  <c r="B39" i="66"/>
  <c r="X38" i="66"/>
  <c r="T38" i="66"/>
  <c r="P38" i="66"/>
  <c r="L38" i="66"/>
  <c r="N38" i="66" s="1"/>
  <c r="H38" i="66"/>
  <c r="D38" i="66"/>
  <c r="B38" i="66"/>
  <c r="T37" i="66"/>
  <c r="P37" i="66"/>
  <c r="X37" i="66" s="1"/>
  <c r="Z37" i="66" s="1"/>
  <c r="N37" i="66"/>
  <c r="L37" i="66"/>
  <c r="H37" i="66"/>
  <c r="D37" i="66"/>
  <c r="B37" i="66"/>
  <c r="T36" i="66"/>
  <c r="P36" i="66"/>
  <c r="X36" i="66" s="1"/>
  <c r="H36" i="66"/>
  <c r="N36" i="66" s="1"/>
  <c r="D36" i="66"/>
  <c r="L36" i="66" s="1"/>
  <c r="B36" i="66"/>
  <c r="T35" i="66"/>
  <c r="P35" i="66"/>
  <c r="L35" i="66"/>
  <c r="H35" i="66"/>
  <c r="N35" i="66" s="1"/>
  <c r="D35" i="66"/>
  <c r="B35" i="66"/>
  <c r="T34" i="66"/>
  <c r="P34" i="66"/>
  <c r="N34" i="66"/>
  <c r="L34" i="66"/>
  <c r="H34" i="66"/>
  <c r="D34" i="66"/>
  <c r="B34" i="66"/>
  <c r="T33" i="66"/>
  <c r="P33" i="66"/>
  <c r="X33" i="66" s="1"/>
  <c r="Z33" i="66" s="1"/>
  <c r="N33" i="66"/>
  <c r="H33" i="66"/>
  <c r="D33" i="66"/>
  <c r="L33" i="66" s="1"/>
  <c r="B33" i="66"/>
  <c r="T32" i="66"/>
  <c r="P32" i="66"/>
  <c r="X32" i="66" s="1"/>
  <c r="H32" i="66"/>
  <c r="N32" i="66" s="1"/>
  <c r="D32" i="66"/>
  <c r="L32" i="66" s="1"/>
  <c r="B32" i="66"/>
  <c r="X31" i="66"/>
  <c r="T31" i="66"/>
  <c r="P31" i="66"/>
  <c r="L31" i="66"/>
  <c r="H31" i="66"/>
  <c r="N31" i="66" s="1"/>
  <c r="D31" i="66"/>
  <c r="B31" i="66"/>
  <c r="T30" i="66"/>
  <c r="P30" i="66"/>
  <c r="L30" i="66"/>
  <c r="N30" i="66" s="1"/>
  <c r="H30" i="66"/>
  <c r="D30" i="66"/>
  <c r="B30" i="66"/>
  <c r="T29" i="66"/>
  <c r="P29" i="66"/>
  <c r="X29" i="66" s="1"/>
  <c r="Z29" i="66" s="1"/>
  <c r="N29" i="66"/>
  <c r="L29" i="66"/>
  <c r="H29" i="66"/>
  <c r="D29" i="66"/>
  <c r="B29" i="66"/>
  <c r="T28" i="66"/>
  <c r="P28" i="66"/>
  <c r="X28" i="66" s="1"/>
  <c r="H28" i="66"/>
  <c r="N28" i="66" s="1"/>
  <c r="D28" i="66"/>
  <c r="L28" i="66" s="1"/>
  <c r="B28" i="66"/>
  <c r="T27" i="66"/>
  <c r="P27" i="66"/>
  <c r="L27" i="66"/>
  <c r="H27" i="66"/>
  <c r="N27" i="66" s="1"/>
  <c r="D27" i="66"/>
  <c r="B27" i="66"/>
  <c r="T26" i="66"/>
  <c r="P26" i="66"/>
  <c r="N26" i="66"/>
  <c r="L26" i="66"/>
  <c r="H26" i="66"/>
  <c r="D26" i="66"/>
  <c r="B26" i="66"/>
  <c r="T25" i="66"/>
  <c r="P25" i="66"/>
  <c r="X25" i="66" s="1"/>
  <c r="Z25" i="66" s="1"/>
  <c r="H25" i="66"/>
  <c r="D25" i="66"/>
  <c r="L25" i="66" s="1"/>
  <c r="N25" i="66" s="1"/>
  <c r="B25" i="66"/>
  <c r="T24" i="66"/>
  <c r="P24" i="66"/>
  <c r="H24" i="66"/>
  <c r="N24" i="66" s="1"/>
  <c r="D24" i="66"/>
  <c r="L24" i="66" s="1"/>
  <c r="B24" i="66"/>
  <c r="X23" i="66"/>
  <c r="T23" i="66"/>
  <c r="P23" i="66"/>
  <c r="L23" i="66"/>
  <c r="H23" i="66"/>
  <c r="N23" i="66" s="1"/>
  <c r="D23" i="66"/>
  <c r="B23" i="66"/>
  <c r="X22" i="66"/>
  <c r="T22" i="66"/>
  <c r="P22" i="66"/>
  <c r="L22" i="66"/>
  <c r="N22" i="66" s="1"/>
  <c r="H22" i="66"/>
  <c r="D22" i="66"/>
  <c r="B22" i="66"/>
  <c r="T21" i="66"/>
  <c r="P21" i="66"/>
  <c r="X21" i="66" s="1"/>
  <c r="Z21" i="66" s="1"/>
  <c r="N21" i="66"/>
  <c r="L21" i="66"/>
  <c r="H21" i="66"/>
  <c r="D21" i="66"/>
  <c r="B21" i="66"/>
  <c r="T20" i="66"/>
  <c r="P20" i="66"/>
  <c r="X20" i="66" s="1"/>
  <c r="H20" i="66"/>
  <c r="N20" i="66" s="1"/>
  <c r="D20" i="66"/>
  <c r="L20" i="66" s="1"/>
  <c r="B20" i="66"/>
  <c r="T19" i="66"/>
  <c r="P19" i="66"/>
  <c r="L19" i="66"/>
  <c r="H19" i="66"/>
  <c r="N19" i="66" s="1"/>
  <c r="D19" i="66"/>
  <c r="B19" i="66"/>
  <c r="T18" i="66"/>
  <c r="P18" i="66"/>
  <c r="N18" i="66"/>
  <c r="L18" i="66"/>
  <c r="H18" i="66"/>
  <c r="D18" i="66"/>
  <c r="B18" i="66"/>
  <c r="T17" i="66"/>
  <c r="P17" i="66"/>
  <c r="X17" i="66" s="1"/>
  <c r="Z17" i="66" s="1"/>
  <c r="N17" i="66"/>
  <c r="H17" i="66"/>
  <c r="D17" i="66"/>
  <c r="L17" i="66" s="1"/>
  <c r="B17" i="66"/>
  <c r="T16" i="66"/>
  <c r="P16" i="66"/>
  <c r="X16" i="66" s="1"/>
  <c r="H16" i="66"/>
  <c r="D16" i="66"/>
  <c r="L16" i="66" s="1"/>
  <c r="B16" i="66"/>
  <c r="X15" i="66"/>
  <c r="T15" i="66"/>
  <c r="P15" i="66"/>
  <c r="L15" i="66"/>
  <c r="H15" i="66"/>
  <c r="N15" i="66" s="1"/>
  <c r="D15" i="66"/>
  <c r="B15" i="66"/>
  <c r="T14" i="66"/>
  <c r="P14" i="66"/>
  <c r="L14" i="66"/>
  <c r="N14" i="66" s="1"/>
  <c r="H14" i="66"/>
  <c r="D14" i="66"/>
  <c r="B14" i="66"/>
  <c r="Z13" i="66"/>
  <c r="T13" i="66"/>
  <c r="P13" i="66"/>
  <c r="X13" i="66" s="1"/>
  <c r="N13" i="66"/>
  <c r="H13" i="66"/>
  <c r="D13" i="66"/>
  <c r="L13" i="66" s="1"/>
  <c r="B13" i="66"/>
  <c r="T12" i="66"/>
  <c r="P12" i="66"/>
  <c r="R121" i="66" s="1"/>
  <c r="D6" i="66"/>
  <c r="D4" i="66"/>
  <c r="F75" i="65"/>
  <c r="X70" i="65"/>
  <c r="Z70" i="65" s="1"/>
  <c r="N70" i="65"/>
  <c r="L70" i="65"/>
  <c r="Z66" i="65"/>
  <c r="V66" i="65"/>
  <c r="T66" i="65"/>
  <c r="P66" i="65"/>
  <c r="X66" i="65" s="1"/>
  <c r="H66" i="65"/>
  <c r="N66" i="65" s="1"/>
  <c r="D66" i="65"/>
  <c r="L66" i="65" s="1"/>
  <c r="X64" i="65"/>
  <c r="Z64" i="65" s="1"/>
  <c r="V64" i="65"/>
  <c r="N64" i="65"/>
  <c r="L64" i="65"/>
  <c r="B64" i="65"/>
  <c r="Z63" i="65"/>
  <c r="T63" i="65"/>
  <c r="P63" i="65"/>
  <c r="X63" i="65" s="1"/>
  <c r="H63" i="65"/>
  <c r="D63" i="65"/>
  <c r="L63" i="65" s="1"/>
  <c r="B63" i="65"/>
  <c r="X62" i="65"/>
  <c r="Z62" i="65" s="1"/>
  <c r="N62" i="65"/>
  <c r="L62" i="65"/>
  <c r="F62" i="65"/>
  <c r="B62" i="65"/>
  <c r="X61" i="65"/>
  <c r="Z61" i="65" s="1"/>
  <c r="V61" i="65"/>
  <c r="N61" i="65"/>
  <c r="L61" i="65"/>
  <c r="F61" i="65"/>
  <c r="B61" i="65"/>
  <c r="X60" i="65"/>
  <c r="Z60" i="65" s="1"/>
  <c r="N60" i="65"/>
  <c r="L60" i="65"/>
  <c r="B60" i="65"/>
  <c r="T59" i="65"/>
  <c r="P59" i="65"/>
  <c r="L59" i="65"/>
  <c r="H59" i="65"/>
  <c r="N59" i="65" s="1"/>
  <c r="D59" i="65"/>
  <c r="B59" i="65"/>
  <c r="Z58" i="65"/>
  <c r="X58" i="65"/>
  <c r="V58" i="65"/>
  <c r="N58" i="65"/>
  <c r="L58" i="65"/>
  <c r="J58" i="65"/>
  <c r="F58" i="65"/>
  <c r="B58" i="65"/>
  <c r="X57" i="65"/>
  <c r="Z57" i="65" s="1"/>
  <c r="V57" i="65"/>
  <c r="L57" i="65"/>
  <c r="N57" i="65" s="1"/>
  <c r="B57" i="65"/>
  <c r="X56" i="65"/>
  <c r="Z56" i="65" s="1"/>
  <c r="L56" i="65"/>
  <c r="N56" i="65" s="1"/>
  <c r="J56" i="65"/>
  <c r="B56" i="65"/>
  <c r="Z55" i="65"/>
  <c r="T55" i="65"/>
  <c r="X55" i="65" s="1"/>
  <c r="P55" i="65"/>
  <c r="H55" i="65"/>
  <c r="D55" i="65"/>
  <c r="L55" i="65" s="1"/>
  <c r="B55" i="65"/>
  <c r="Z54" i="65"/>
  <c r="X54" i="65"/>
  <c r="V54" i="65"/>
  <c r="N54" i="65"/>
  <c r="L54" i="65"/>
  <c r="B54" i="65"/>
  <c r="X53" i="65"/>
  <c r="Z53" i="65" s="1"/>
  <c r="V53" i="65"/>
  <c r="N53" i="65"/>
  <c r="L53" i="65"/>
  <c r="B53" i="65"/>
  <c r="X52" i="65"/>
  <c r="Z52" i="65" s="1"/>
  <c r="V52" i="65"/>
  <c r="T52" i="65"/>
  <c r="P52" i="65"/>
  <c r="H52" i="65"/>
  <c r="N52" i="65" s="1"/>
  <c r="D52" i="65"/>
  <c r="B52" i="65"/>
  <c r="X51" i="65"/>
  <c r="Z51" i="65" s="1"/>
  <c r="N51" i="65"/>
  <c r="L51" i="65"/>
  <c r="B51" i="65"/>
  <c r="T50" i="65"/>
  <c r="P50" i="65"/>
  <c r="N50" i="65"/>
  <c r="H50" i="65"/>
  <c r="F50" i="65"/>
  <c r="D50" i="65"/>
  <c r="L50" i="65" s="1"/>
  <c r="B50" i="65"/>
  <c r="X49" i="65"/>
  <c r="Z49" i="65" s="1"/>
  <c r="V49" i="65"/>
  <c r="N49" i="65"/>
  <c r="L49" i="65"/>
  <c r="B49" i="65"/>
  <c r="T48" i="65"/>
  <c r="P48" i="65"/>
  <c r="X48" i="65" s="1"/>
  <c r="Z48" i="65" s="1"/>
  <c r="N48" i="65"/>
  <c r="H48" i="65"/>
  <c r="D48" i="65"/>
  <c r="B48" i="65"/>
  <c r="Z47" i="65"/>
  <c r="X47" i="65"/>
  <c r="N47" i="65"/>
  <c r="L47" i="65"/>
  <c r="F47" i="65"/>
  <c r="B47" i="65"/>
  <c r="V46" i="65"/>
  <c r="T46" i="65"/>
  <c r="P46" i="65"/>
  <c r="X46" i="65" s="1"/>
  <c r="N46" i="65"/>
  <c r="L46" i="65"/>
  <c r="H46" i="65"/>
  <c r="F46" i="65"/>
  <c r="D46" i="65"/>
  <c r="B46" i="65"/>
  <c r="X45" i="65"/>
  <c r="Z45" i="65" s="1"/>
  <c r="V45" i="65"/>
  <c r="L45" i="65"/>
  <c r="N45" i="65" s="1"/>
  <c r="F45" i="65"/>
  <c r="B45" i="65"/>
  <c r="X44" i="65"/>
  <c r="Z44" i="65" s="1"/>
  <c r="T44" i="65"/>
  <c r="P44" i="65"/>
  <c r="H44" i="65"/>
  <c r="F44" i="65"/>
  <c r="D44" i="65"/>
  <c r="B44" i="65"/>
  <c r="Z43" i="65"/>
  <c r="X43" i="65"/>
  <c r="N43" i="65"/>
  <c r="L43" i="65"/>
  <c r="B43" i="65"/>
  <c r="Z42" i="65"/>
  <c r="T42" i="65"/>
  <c r="V42" i="65" s="1"/>
  <c r="P42" i="65"/>
  <c r="X42" i="65" s="1"/>
  <c r="N42" i="65"/>
  <c r="L42" i="65"/>
  <c r="H42" i="65"/>
  <c r="D42" i="65"/>
  <c r="B42" i="65"/>
  <c r="X41" i="65"/>
  <c r="Z41" i="65" s="1"/>
  <c r="V41" i="65"/>
  <c r="N41" i="65"/>
  <c r="L41" i="65"/>
  <c r="B41" i="65"/>
  <c r="V40" i="65"/>
  <c r="T40" i="65"/>
  <c r="R40" i="65"/>
  <c r="P40" i="65"/>
  <c r="X40" i="65" s="1"/>
  <c r="Z40" i="65" s="1"/>
  <c r="H40" i="65"/>
  <c r="N40" i="65" s="1"/>
  <c r="D40" i="65"/>
  <c r="L40" i="65" s="1"/>
  <c r="B40" i="65"/>
  <c r="Z39" i="65"/>
  <c r="X39" i="65"/>
  <c r="N39" i="65"/>
  <c r="L39" i="65"/>
  <c r="F39" i="65"/>
  <c r="B39" i="65"/>
  <c r="T38" i="65"/>
  <c r="P38" i="65"/>
  <c r="N38" i="65"/>
  <c r="L38" i="65"/>
  <c r="H38" i="65"/>
  <c r="D38" i="65"/>
  <c r="B38" i="65"/>
  <c r="X37" i="65"/>
  <c r="Z37" i="65" s="1"/>
  <c r="V37" i="65"/>
  <c r="N37" i="65"/>
  <c r="L37" i="65"/>
  <c r="B37" i="65"/>
  <c r="Z36" i="65"/>
  <c r="X36" i="65"/>
  <c r="N36" i="65"/>
  <c r="L36" i="65"/>
  <c r="B36" i="65"/>
  <c r="Z35" i="65"/>
  <c r="X35" i="65"/>
  <c r="N35" i="65"/>
  <c r="L35" i="65"/>
  <c r="B35" i="65"/>
  <c r="Z34" i="65"/>
  <c r="X34" i="65"/>
  <c r="V34" i="65"/>
  <c r="N34" i="65"/>
  <c r="L34" i="65"/>
  <c r="F34" i="65"/>
  <c r="B34" i="65"/>
  <c r="X33" i="65"/>
  <c r="Z33" i="65" s="1"/>
  <c r="V33" i="65"/>
  <c r="N33" i="65"/>
  <c r="L33" i="65"/>
  <c r="B33" i="65"/>
  <c r="T32" i="65"/>
  <c r="P32" i="65"/>
  <c r="X32" i="65" s="1"/>
  <c r="Z32" i="65" s="1"/>
  <c r="N32" i="65"/>
  <c r="H32" i="65"/>
  <c r="D32" i="65"/>
  <c r="L32" i="65" s="1"/>
  <c r="B32" i="65"/>
  <c r="Z31" i="65"/>
  <c r="X31" i="65"/>
  <c r="N31" i="65"/>
  <c r="L31" i="65"/>
  <c r="F31" i="65"/>
  <c r="B31" i="65"/>
  <c r="Z30" i="65"/>
  <c r="X30" i="65"/>
  <c r="V30" i="65"/>
  <c r="N30" i="65"/>
  <c r="L30" i="65"/>
  <c r="F30" i="65"/>
  <c r="B30" i="65"/>
  <c r="X29" i="65"/>
  <c r="Z29" i="65" s="1"/>
  <c r="V29" i="65"/>
  <c r="N29" i="65"/>
  <c r="L29" i="65"/>
  <c r="B29" i="65"/>
  <c r="X28" i="65"/>
  <c r="Z28" i="65" s="1"/>
  <c r="V28" i="65"/>
  <c r="N28" i="65"/>
  <c r="L28" i="65"/>
  <c r="B28" i="65"/>
  <c r="Z27" i="65"/>
  <c r="X27" i="65"/>
  <c r="N27" i="65"/>
  <c r="L27" i="65"/>
  <c r="F27" i="65"/>
  <c r="B27" i="65"/>
  <c r="Z26" i="65"/>
  <c r="X26" i="65"/>
  <c r="V26" i="65"/>
  <c r="N26" i="65"/>
  <c r="L26" i="65"/>
  <c r="B26" i="65"/>
  <c r="X25" i="65"/>
  <c r="Z25" i="65" s="1"/>
  <c r="V25" i="65"/>
  <c r="N25" i="65"/>
  <c r="L25" i="65"/>
  <c r="J25" i="65"/>
  <c r="B25" i="65"/>
  <c r="X24" i="65"/>
  <c r="Z24" i="65" s="1"/>
  <c r="V24" i="65"/>
  <c r="N24" i="65"/>
  <c r="L24" i="65"/>
  <c r="B24" i="65"/>
  <c r="T23" i="65"/>
  <c r="P23" i="65"/>
  <c r="X23" i="65" s="1"/>
  <c r="Z23" i="65" s="1"/>
  <c r="L23" i="65"/>
  <c r="H23" i="65"/>
  <c r="N23" i="65" s="1"/>
  <c r="D23" i="65"/>
  <c r="B23" i="65"/>
  <c r="T22" i="65"/>
  <c r="P22" i="65"/>
  <c r="H22" i="65"/>
  <c r="F22" i="65"/>
  <c r="D22" i="65"/>
  <c r="L22" i="65" s="1"/>
  <c r="N22" i="65" s="1"/>
  <c r="T20" i="65"/>
  <c r="F20" i="65"/>
  <c r="D20" i="65"/>
  <c r="X18" i="65"/>
  <c r="Z18" i="65" s="1"/>
  <c r="N18" i="65"/>
  <c r="L18" i="65"/>
  <c r="F18" i="65"/>
  <c r="B18" i="65"/>
  <c r="X17" i="65"/>
  <c r="Z17" i="65" s="1"/>
  <c r="V17" i="65"/>
  <c r="N17" i="65"/>
  <c r="L17" i="65"/>
  <c r="B17" i="65"/>
  <c r="T16" i="65"/>
  <c r="P16" i="65"/>
  <c r="X16" i="65" s="1"/>
  <c r="Z16" i="65" s="1"/>
  <c r="H16" i="65"/>
  <c r="D16" i="65"/>
  <c r="Z14" i="65"/>
  <c r="X14" i="65"/>
  <c r="T14" i="65"/>
  <c r="P14" i="65"/>
  <c r="N14" i="65"/>
  <c r="L14" i="65"/>
  <c r="H14" i="65"/>
  <c r="D14" i="65"/>
  <c r="B14" i="65"/>
  <c r="T13" i="65"/>
  <c r="P13" i="65"/>
  <c r="X13" i="65" s="1"/>
  <c r="Z13" i="65" s="1"/>
  <c r="N13" i="65"/>
  <c r="H13" i="65"/>
  <c r="D13" i="65"/>
  <c r="L13" i="65" s="1"/>
  <c r="B13" i="65"/>
  <c r="T12" i="65"/>
  <c r="P12" i="65"/>
  <c r="R72" i="65" s="1"/>
  <c r="H12" i="65"/>
  <c r="J48" i="65" s="1"/>
  <c r="D12" i="65"/>
  <c r="F72" i="65" s="1"/>
  <c r="D6" i="65"/>
  <c r="D4" i="65"/>
  <c r="Z123" i="64"/>
  <c r="X123" i="64"/>
  <c r="L123" i="64"/>
  <c r="N123" i="64" s="1"/>
  <c r="X119" i="64"/>
  <c r="Z119" i="64" s="1"/>
  <c r="T119" i="64"/>
  <c r="P119" i="64"/>
  <c r="P118" i="64" s="1"/>
  <c r="H119" i="64"/>
  <c r="D119" i="64"/>
  <c r="B119" i="64"/>
  <c r="T118" i="64"/>
  <c r="H118" i="64"/>
  <c r="N118" i="64" s="1"/>
  <c r="D118" i="64"/>
  <c r="L118" i="64" s="1"/>
  <c r="Z116" i="64"/>
  <c r="X116" i="64"/>
  <c r="N116" i="64"/>
  <c r="L116" i="64"/>
  <c r="B116" i="64"/>
  <c r="T115" i="64"/>
  <c r="P115" i="64"/>
  <c r="L115" i="64"/>
  <c r="H115" i="64"/>
  <c r="N115" i="64" s="1"/>
  <c r="D115" i="64"/>
  <c r="B115" i="64"/>
  <c r="X114" i="64"/>
  <c r="Z114" i="64" s="1"/>
  <c r="L114" i="64"/>
  <c r="N114" i="64" s="1"/>
  <c r="B114" i="64"/>
  <c r="T113" i="64"/>
  <c r="P113" i="64"/>
  <c r="X113" i="64" s="1"/>
  <c r="Z113" i="64" s="1"/>
  <c r="H113" i="64"/>
  <c r="D113" i="64"/>
  <c r="L113" i="64" s="1"/>
  <c r="B113" i="64"/>
  <c r="X112" i="64"/>
  <c r="Z112" i="64" s="1"/>
  <c r="N112" i="64"/>
  <c r="L112" i="64"/>
  <c r="B112" i="64"/>
  <c r="X111" i="64"/>
  <c r="Z111" i="64" s="1"/>
  <c r="N111" i="64"/>
  <c r="L111" i="64"/>
  <c r="B111" i="64"/>
  <c r="X110" i="64"/>
  <c r="Z110" i="64" s="1"/>
  <c r="N110" i="64"/>
  <c r="L110" i="64"/>
  <c r="B110" i="64"/>
  <c r="Z109" i="64"/>
  <c r="X109" i="64"/>
  <c r="N109" i="64"/>
  <c r="L109" i="64"/>
  <c r="B109" i="64"/>
  <c r="T108" i="64"/>
  <c r="P108" i="64"/>
  <c r="H108" i="64"/>
  <c r="N108" i="64" s="1"/>
  <c r="D108" i="64"/>
  <c r="L108" i="64" s="1"/>
  <c r="B108" i="64"/>
  <c r="Z107" i="64"/>
  <c r="X107" i="64"/>
  <c r="N107" i="64"/>
  <c r="L107" i="64"/>
  <c r="B107" i="64"/>
  <c r="X106" i="64"/>
  <c r="Z106" i="64" s="1"/>
  <c r="N106" i="64"/>
  <c r="L106" i="64"/>
  <c r="B106" i="64"/>
  <c r="T105" i="64"/>
  <c r="P105" i="64"/>
  <c r="X105" i="64" s="1"/>
  <c r="N105" i="64"/>
  <c r="H105" i="64"/>
  <c r="D105" i="64"/>
  <c r="L105" i="64" s="1"/>
  <c r="B105" i="64"/>
  <c r="Z104" i="64"/>
  <c r="X104" i="64"/>
  <c r="N104" i="64"/>
  <c r="L104" i="64"/>
  <c r="B104" i="64"/>
  <c r="Z103" i="64"/>
  <c r="X103" i="64"/>
  <c r="N103" i="64"/>
  <c r="L103" i="64"/>
  <c r="B103" i="64"/>
  <c r="X102" i="64"/>
  <c r="T102" i="64"/>
  <c r="P102" i="64"/>
  <c r="H102" i="64"/>
  <c r="N102" i="64" s="1"/>
  <c r="D102" i="64"/>
  <c r="B102" i="64"/>
  <c r="X101" i="64"/>
  <c r="Z101" i="64" s="1"/>
  <c r="N101" i="64"/>
  <c r="L101" i="64"/>
  <c r="B101" i="64"/>
  <c r="Z100" i="64"/>
  <c r="X100" i="64"/>
  <c r="T100" i="64"/>
  <c r="P100" i="64"/>
  <c r="L100" i="64"/>
  <c r="H100" i="64"/>
  <c r="N100" i="64" s="1"/>
  <c r="D100" i="64"/>
  <c r="B100" i="64"/>
  <c r="Z99" i="64"/>
  <c r="X99" i="64"/>
  <c r="N99" i="64"/>
  <c r="L99" i="64"/>
  <c r="B99" i="64"/>
  <c r="T98" i="64"/>
  <c r="P98" i="64"/>
  <c r="X98" i="64" s="1"/>
  <c r="Z98" i="64" s="1"/>
  <c r="N98" i="64"/>
  <c r="H98" i="64"/>
  <c r="L98" i="64" s="1"/>
  <c r="D98" i="64"/>
  <c r="B98" i="64"/>
  <c r="Z97" i="64"/>
  <c r="X97" i="64"/>
  <c r="N97" i="64"/>
  <c r="L97" i="64"/>
  <c r="B97" i="64"/>
  <c r="Z96" i="64"/>
  <c r="X96" i="64"/>
  <c r="N96" i="64"/>
  <c r="L96" i="64"/>
  <c r="B96" i="64"/>
  <c r="T95" i="64"/>
  <c r="P95" i="64"/>
  <c r="N95" i="64"/>
  <c r="H95" i="64"/>
  <c r="D95" i="64"/>
  <c r="L95" i="64" s="1"/>
  <c r="B95" i="64"/>
  <c r="X94" i="64"/>
  <c r="Z94" i="64" s="1"/>
  <c r="N94" i="64"/>
  <c r="L94" i="64"/>
  <c r="B94" i="64"/>
  <c r="X93" i="64"/>
  <c r="Z93" i="64" s="1"/>
  <c r="T93" i="64"/>
  <c r="P93" i="64"/>
  <c r="H93" i="64"/>
  <c r="N93" i="64" s="1"/>
  <c r="D93" i="64"/>
  <c r="B93" i="64"/>
  <c r="X92" i="64"/>
  <c r="Z92" i="64" s="1"/>
  <c r="N92" i="64"/>
  <c r="L92" i="64"/>
  <c r="B92" i="64"/>
  <c r="Z91" i="64"/>
  <c r="T91" i="64"/>
  <c r="X91" i="64" s="1"/>
  <c r="P91" i="64"/>
  <c r="L91" i="64"/>
  <c r="H91" i="64"/>
  <c r="N91" i="64" s="1"/>
  <c r="D91" i="64"/>
  <c r="B91" i="64"/>
  <c r="X90" i="64"/>
  <c r="Z90" i="64" s="1"/>
  <c r="N90" i="64"/>
  <c r="L90" i="64"/>
  <c r="B90" i="64"/>
  <c r="X89" i="64"/>
  <c r="Z89" i="64" s="1"/>
  <c r="N89" i="64"/>
  <c r="L89" i="64"/>
  <c r="B89" i="64"/>
  <c r="Z88" i="64"/>
  <c r="X88" i="64"/>
  <c r="N88" i="64"/>
  <c r="L88" i="64"/>
  <c r="B88" i="64"/>
  <c r="Z87" i="64"/>
  <c r="X87" i="64"/>
  <c r="N87" i="64"/>
  <c r="L87" i="64"/>
  <c r="B87" i="64"/>
  <c r="T86" i="64"/>
  <c r="P86" i="64"/>
  <c r="H86" i="64"/>
  <c r="N86" i="64" s="1"/>
  <c r="D86" i="64"/>
  <c r="B86" i="64"/>
  <c r="X85" i="64"/>
  <c r="Z85" i="64" s="1"/>
  <c r="N85" i="64"/>
  <c r="L85" i="64"/>
  <c r="B85" i="64"/>
  <c r="Z84" i="64"/>
  <c r="X84" i="64"/>
  <c r="N84" i="64"/>
  <c r="L84" i="64"/>
  <c r="B84" i="64"/>
  <c r="Z83" i="64"/>
  <c r="X83" i="64"/>
  <c r="N83" i="64"/>
  <c r="L83" i="64"/>
  <c r="B83" i="64"/>
  <c r="X82" i="64"/>
  <c r="Z82" i="64" s="1"/>
  <c r="N82" i="64"/>
  <c r="L82" i="64"/>
  <c r="B82" i="64"/>
  <c r="Z81" i="64"/>
  <c r="X81" i="64"/>
  <c r="N81" i="64"/>
  <c r="L81" i="64"/>
  <c r="B81" i="64"/>
  <c r="Z80" i="64"/>
  <c r="X80" i="64"/>
  <c r="N80" i="64"/>
  <c r="L80" i="64"/>
  <c r="B80" i="64"/>
  <c r="X79" i="64"/>
  <c r="Z79" i="64" s="1"/>
  <c r="N79" i="64"/>
  <c r="L79" i="64"/>
  <c r="B79" i="64"/>
  <c r="X78" i="64"/>
  <c r="Z78" i="64" s="1"/>
  <c r="N78" i="64"/>
  <c r="L78" i="64"/>
  <c r="B78" i="64"/>
  <c r="Z77" i="64"/>
  <c r="X77" i="64"/>
  <c r="T77" i="64"/>
  <c r="P77" i="64"/>
  <c r="H77" i="64"/>
  <c r="D77" i="64"/>
  <c r="B77" i="64"/>
  <c r="T76" i="64"/>
  <c r="P76" i="64"/>
  <c r="H76" i="64"/>
  <c r="D76" i="64"/>
  <c r="L76" i="64" s="1"/>
  <c r="X72" i="64"/>
  <c r="Z72" i="64" s="1"/>
  <c r="N72" i="64"/>
  <c r="L72" i="64"/>
  <c r="B72" i="64"/>
  <c r="Z71" i="64"/>
  <c r="X71" i="64"/>
  <c r="N71" i="64"/>
  <c r="L71" i="64"/>
  <c r="B71" i="64"/>
  <c r="X70" i="64"/>
  <c r="Z70" i="64" s="1"/>
  <c r="N70" i="64"/>
  <c r="L70" i="64"/>
  <c r="B70" i="64"/>
  <c r="Z69" i="64"/>
  <c r="X69" i="64"/>
  <c r="N69" i="64"/>
  <c r="L69" i="64"/>
  <c r="B69" i="64"/>
  <c r="X68" i="64"/>
  <c r="Z68" i="64" s="1"/>
  <c r="L68" i="64"/>
  <c r="N68" i="64" s="1"/>
  <c r="B68" i="64"/>
  <c r="Z67" i="64"/>
  <c r="X67" i="64"/>
  <c r="N67" i="64"/>
  <c r="L67" i="64"/>
  <c r="B67" i="64"/>
  <c r="Z66" i="64"/>
  <c r="X66" i="64"/>
  <c r="N66" i="64"/>
  <c r="L66" i="64"/>
  <c r="B66" i="64"/>
  <c r="X65" i="64"/>
  <c r="Z65" i="64" s="1"/>
  <c r="N65" i="64"/>
  <c r="L65" i="64"/>
  <c r="B65" i="64"/>
  <c r="X64" i="64"/>
  <c r="Z64" i="64" s="1"/>
  <c r="N64" i="64"/>
  <c r="L64" i="64"/>
  <c r="B64" i="64"/>
  <c r="Z63" i="64"/>
  <c r="X63" i="64"/>
  <c r="N63" i="64"/>
  <c r="L63" i="64"/>
  <c r="B63" i="64"/>
  <c r="Z62" i="64"/>
  <c r="X62" i="64"/>
  <c r="N62" i="64"/>
  <c r="L62" i="64"/>
  <c r="B62" i="64"/>
  <c r="X61" i="64"/>
  <c r="Z61" i="64" s="1"/>
  <c r="N61" i="64"/>
  <c r="L61" i="64"/>
  <c r="B61" i="64"/>
  <c r="Z60" i="64"/>
  <c r="X60" i="64"/>
  <c r="N60" i="64"/>
  <c r="L60" i="64"/>
  <c r="B60" i="64"/>
  <c r="Z59" i="64"/>
  <c r="X59" i="64"/>
  <c r="N59" i="64"/>
  <c r="L59" i="64"/>
  <c r="B59" i="64"/>
  <c r="X58" i="64"/>
  <c r="Z58" i="64" s="1"/>
  <c r="N58" i="64"/>
  <c r="L58" i="64"/>
  <c r="B58" i="64"/>
  <c r="X57" i="64"/>
  <c r="Z57" i="64" s="1"/>
  <c r="L57" i="64"/>
  <c r="N57" i="64" s="1"/>
  <c r="B57" i="64"/>
  <c r="X56" i="64"/>
  <c r="Z56" i="64" s="1"/>
  <c r="N56" i="64"/>
  <c r="L56" i="64"/>
  <c r="B56" i="64"/>
  <c r="Z55" i="64"/>
  <c r="X55" i="64"/>
  <c r="N55" i="64"/>
  <c r="L55" i="64"/>
  <c r="B55" i="64"/>
  <c r="X54" i="64"/>
  <c r="Z54" i="64" s="1"/>
  <c r="N54" i="64"/>
  <c r="L54" i="64"/>
  <c r="B54" i="64"/>
  <c r="Z53" i="64"/>
  <c r="X53" i="64"/>
  <c r="N53" i="64"/>
  <c r="L53" i="64"/>
  <c r="B53" i="64"/>
  <c r="Z52" i="64"/>
  <c r="X52" i="64"/>
  <c r="N52" i="64"/>
  <c r="L52" i="64"/>
  <c r="B52" i="64"/>
  <c r="T51" i="64"/>
  <c r="P51" i="64"/>
  <c r="X51" i="64" s="1"/>
  <c r="H51" i="64"/>
  <c r="N51" i="64" s="1"/>
  <c r="D51" i="64"/>
  <c r="L51" i="64" s="1"/>
  <c r="T49" i="64"/>
  <c r="Z49" i="64" s="1"/>
  <c r="P49" i="64"/>
  <c r="X49" i="64" s="1"/>
  <c r="N49" i="64"/>
  <c r="H49" i="64"/>
  <c r="D49" i="64"/>
  <c r="L49" i="64" s="1"/>
  <c r="B49" i="64"/>
  <c r="T48" i="64"/>
  <c r="Z48" i="64" s="1"/>
  <c r="P48" i="64"/>
  <c r="X48" i="64" s="1"/>
  <c r="H48" i="64"/>
  <c r="N48" i="64" s="1"/>
  <c r="D48" i="64"/>
  <c r="L48" i="64" s="1"/>
  <c r="B48" i="64"/>
  <c r="T47" i="64"/>
  <c r="P47" i="64"/>
  <c r="H47" i="64"/>
  <c r="N47" i="64" s="1"/>
  <c r="D47" i="64"/>
  <c r="B47" i="64"/>
  <c r="T46" i="64"/>
  <c r="P46" i="64"/>
  <c r="X46" i="64" s="1"/>
  <c r="Z46" i="64" s="1"/>
  <c r="N46" i="64"/>
  <c r="L46" i="64"/>
  <c r="H46" i="64"/>
  <c r="D46" i="64"/>
  <c r="B46" i="64"/>
  <c r="T45" i="64"/>
  <c r="P45" i="64"/>
  <c r="H45" i="64"/>
  <c r="N45" i="64" s="1"/>
  <c r="D45" i="64"/>
  <c r="L45" i="64" s="1"/>
  <c r="B45" i="64"/>
  <c r="Z44" i="64"/>
  <c r="X44" i="64"/>
  <c r="T44" i="64"/>
  <c r="P44" i="64"/>
  <c r="H44" i="64"/>
  <c r="N44" i="64" s="1"/>
  <c r="D44" i="64"/>
  <c r="L44" i="64" s="1"/>
  <c r="B44" i="64"/>
  <c r="T43" i="64"/>
  <c r="P43" i="64"/>
  <c r="X43" i="64" s="1"/>
  <c r="N43" i="64"/>
  <c r="L43" i="64"/>
  <c r="H43" i="64"/>
  <c r="D43" i="64"/>
  <c r="B43" i="64"/>
  <c r="Z42" i="64"/>
  <c r="X42" i="64"/>
  <c r="T42" i="64"/>
  <c r="P42" i="64"/>
  <c r="H42" i="64"/>
  <c r="N42" i="64" s="1"/>
  <c r="D42" i="64"/>
  <c r="L42" i="64" s="1"/>
  <c r="B42" i="64"/>
  <c r="T41" i="64"/>
  <c r="P41" i="64"/>
  <c r="X41" i="64" s="1"/>
  <c r="Z41" i="64" s="1"/>
  <c r="N41" i="64"/>
  <c r="H41" i="64"/>
  <c r="D41" i="64"/>
  <c r="B41" i="64"/>
  <c r="T40" i="64"/>
  <c r="P40" i="64"/>
  <c r="X40" i="64" s="1"/>
  <c r="L40" i="64"/>
  <c r="H40" i="64"/>
  <c r="N40" i="64" s="1"/>
  <c r="D40" i="64"/>
  <c r="B40" i="64"/>
  <c r="Z39" i="64"/>
  <c r="X39" i="64"/>
  <c r="T39" i="64"/>
  <c r="P39" i="64"/>
  <c r="H39" i="64"/>
  <c r="D39" i="64"/>
  <c r="B39" i="64"/>
  <c r="T38" i="64"/>
  <c r="P38" i="64"/>
  <c r="X38" i="64" s="1"/>
  <c r="Z38" i="64" s="1"/>
  <c r="N38" i="64"/>
  <c r="H38" i="64"/>
  <c r="D38" i="64"/>
  <c r="L38" i="64" s="1"/>
  <c r="B38" i="64"/>
  <c r="T37" i="64"/>
  <c r="P37" i="64"/>
  <c r="N37" i="64"/>
  <c r="H37" i="64"/>
  <c r="D37" i="64"/>
  <c r="L37" i="64" s="1"/>
  <c r="B37" i="64"/>
  <c r="T36" i="64"/>
  <c r="P36" i="64"/>
  <c r="X36" i="64" s="1"/>
  <c r="Z36" i="64" s="1"/>
  <c r="H36" i="64"/>
  <c r="N36" i="64" s="1"/>
  <c r="D36" i="64"/>
  <c r="L36" i="64" s="1"/>
  <c r="B36" i="64"/>
  <c r="T35" i="64"/>
  <c r="Z35" i="64" s="1"/>
  <c r="P35" i="64"/>
  <c r="X35" i="64" s="1"/>
  <c r="N35" i="64"/>
  <c r="H35" i="64"/>
  <c r="L35" i="64" s="1"/>
  <c r="D35" i="64"/>
  <c r="B35" i="64"/>
  <c r="Z34" i="64"/>
  <c r="X34" i="64"/>
  <c r="T34" i="64"/>
  <c r="P34" i="64"/>
  <c r="H34" i="64"/>
  <c r="N34" i="64" s="1"/>
  <c r="D34" i="64"/>
  <c r="L34" i="64" s="1"/>
  <c r="B34" i="64"/>
  <c r="T33" i="64"/>
  <c r="Z33" i="64" s="1"/>
  <c r="P33" i="64"/>
  <c r="X33" i="64" s="1"/>
  <c r="H33" i="64"/>
  <c r="N33" i="64" s="1"/>
  <c r="D33" i="64"/>
  <c r="B33" i="64"/>
  <c r="T32" i="64"/>
  <c r="P32" i="64"/>
  <c r="X32" i="64" s="1"/>
  <c r="H32" i="64"/>
  <c r="N32" i="64" s="1"/>
  <c r="D32" i="64"/>
  <c r="L32" i="64" s="1"/>
  <c r="B32" i="64"/>
  <c r="Z31" i="64"/>
  <c r="X31" i="64"/>
  <c r="T31" i="64"/>
  <c r="P31" i="64"/>
  <c r="H31" i="64"/>
  <c r="N31" i="64" s="1"/>
  <c r="D31" i="64"/>
  <c r="B31" i="64"/>
  <c r="T30" i="64"/>
  <c r="P30" i="64"/>
  <c r="X30" i="64" s="1"/>
  <c r="Z30" i="64" s="1"/>
  <c r="N30" i="64"/>
  <c r="L30" i="64"/>
  <c r="H30" i="64"/>
  <c r="D30" i="64"/>
  <c r="B30" i="64"/>
  <c r="T29" i="64"/>
  <c r="P29" i="64"/>
  <c r="H29" i="64"/>
  <c r="N29" i="64" s="1"/>
  <c r="D29" i="64"/>
  <c r="L29" i="64" s="1"/>
  <c r="B29" i="64"/>
  <c r="X28" i="64"/>
  <c r="Z28" i="64" s="1"/>
  <c r="T28" i="64"/>
  <c r="P28" i="64"/>
  <c r="H28" i="64"/>
  <c r="N28" i="64" s="1"/>
  <c r="D28" i="64"/>
  <c r="L28" i="64" s="1"/>
  <c r="B28" i="64"/>
  <c r="T27" i="64"/>
  <c r="Z27" i="64" s="1"/>
  <c r="P27" i="64"/>
  <c r="X27" i="64" s="1"/>
  <c r="N27" i="64"/>
  <c r="L27" i="64"/>
  <c r="H27" i="64"/>
  <c r="D27" i="64"/>
  <c r="B27" i="64"/>
  <c r="Z26" i="64"/>
  <c r="X26" i="64"/>
  <c r="T26" i="64"/>
  <c r="P26" i="64"/>
  <c r="H26" i="64"/>
  <c r="N26" i="64" s="1"/>
  <c r="D26" i="64"/>
  <c r="B26" i="64"/>
  <c r="T25" i="64"/>
  <c r="P25" i="64"/>
  <c r="X25" i="64" s="1"/>
  <c r="Z25" i="64" s="1"/>
  <c r="N25" i="64"/>
  <c r="H25" i="64"/>
  <c r="D25" i="64"/>
  <c r="B25" i="64"/>
  <c r="T24" i="64"/>
  <c r="P24" i="64"/>
  <c r="L24" i="64"/>
  <c r="H24" i="64"/>
  <c r="N24" i="64" s="1"/>
  <c r="D24" i="64"/>
  <c r="B24" i="64"/>
  <c r="Z23" i="64"/>
  <c r="X23" i="64"/>
  <c r="T23" i="64"/>
  <c r="P23" i="64"/>
  <c r="H23" i="64"/>
  <c r="D23" i="64"/>
  <c r="B23" i="64"/>
  <c r="T22" i="64"/>
  <c r="P22" i="64"/>
  <c r="X22" i="64" s="1"/>
  <c r="Z22" i="64" s="1"/>
  <c r="N22" i="64"/>
  <c r="H22" i="64"/>
  <c r="D22" i="64"/>
  <c r="L22" i="64" s="1"/>
  <c r="B22" i="64"/>
  <c r="T21" i="64"/>
  <c r="P21" i="64"/>
  <c r="N21" i="64"/>
  <c r="H21" i="64"/>
  <c r="D21" i="64"/>
  <c r="L21" i="64" s="1"/>
  <c r="B21" i="64"/>
  <c r="T20" i="64"/>
  <c r="P20" i="64"/>
  <c r="X20" i="64" s="1"/>
  <c r="Z20" i="64" s="1"/>
  <c r="H20" i="64"/>
  <c r="N20" i="64" s="1"/>
  <c r="D20" i="64"/>
  <c r="B20" i="64"/>
  <c r="T19" i="64"/>
  <c r="P19" i="64"/>
  <c r="X19" i="64" s="1"/>
  <c r="N19" i="64"/>
  <c r="H19" i="64"/>
  <c r="L19" i="64" s="1"/>
  <c r="D19" i="64"/>
  <c r="B19" i="64"/>
  <c r="X18" i="64"/>
  <c r="Z18" i="64" s="1"/>
  <c r="T18" i="64"/>
  <c r="P18" i="64"/>
  <c r="H18" i="64"/>
  <c r="N18" i="64" s="1"/>
  <c r="D18" i="64"/>
  <c r="L18" i="64" s="1"/>
  <c r="B18" i="64"/>
  <c r="T17" i="64"/>
  <c r="Z17" i="64" s="1"/>
  <c r="P17" i="64"/>
  <c r="X17" i="64" s="1"/>
  <c r="H17" i="64"/>
  <c r="N17" i="64" s="1"/>
  <c r="D17" i="64"/>
  <c r="L17" i="64" s="1"/>
  <c r="B17" i="64"/>
  <c r="T16" i="64"/>
  <c r="P16" i="64"/>
  <c r="H16" i="64"/>
  <c r="N16" i="64" s="1"/>
  <c r="D16" i="64"/>
  <c r="L16" i="64" s="1"/>
  <c r="B16" i="64"/>
  <c r="X15" i="64"/>
  <c r="Z15" i="64" s="1"/>
  <c r="T15" i="64"/>
  <c r="P15" i="64"/>
  <c r="H15" i="64"/>
  <c r="D15" i="64"/>
  <c r="B15" i="64"/>
  <c r="T14" i="64"/>
  <c r="P14" i="64"/>
  <c r="X14" i="64" s="1"/>
  <c r="Z14" i="64" s="1"/>
  <c r="N14" i="64"/>
  <c r="L14" i="64"/>
  <c r="H14" i="64"/>
  <c r="D14" i="64"/>
  <c r="B14" i="64"/>
  <c r="Z13" i="64"/>
  <c r="T13" i="64"/>
  <c r="P13" i="64"/>
  <c r="H13" i="64"/>
  <c r="N13" i="64" s="1"/>
  <c r="D13" i="64"/>
  <c r="L13" i="64" s="1"/>
  <c r="B13" i="64"/>
  <c r="D6" i="64"/>
  <c r="D4" i="64"/>
  <c r="V65" i="63"/>
  <c r="J65" i="63"/>
  <c r="R62" i="63"/>
  <c r="Z60" i="63"/>
  <c r="X60" i="63"/>
  <c r="N60" i="63"/>
  <c r="L60" i="63"/>
  <c r="F60" i="63"/>
  <c r="X56" i="63"/>
  <c r="T56" i="63"/>
  <c r="Z56" i="63" s="1"/>
  <c r="P56" i="63"/>
  <c r="J56" i="63"/>
  <c r="H56" i="63"/>
  <c r="N56" i="63" s="1"/>
  <c r="D56" i="63"/>
  <c r="X54" i="63"/>
  <c r="Z54" i="63" s="1"/>
  <c r="N54" i="63"/>
  <c r="L54" i="63"/>
  <c r="J54" i="63"/>
  <c r="B54" i="63"/>
  <c r="T53" i="63"/>
  <c r="P53" i="63"/>
  <c r="J53" i="63"/>
  <c r="H53" i="63"/>
  <c r="N53" i="63" s="1"/>
  <c r="F53" i="63"/>
  <c r="D53" i="63"/>
  <c r="B53" i="63"/>
  <c r="X52" i="63"/>
  <c r="Z52" i="63" s="1"/>
  <c r="L52" i="63"/>
  <c r="N52" i="63" s="1"/>
  <c r="B52" i="63"/>
  <c r="Z51" i="63"/>
  <c r="X51" i="63"/>
  <c r="T51" i="63"/>
  <c r="P51" i="63"/>
  <c r="N51" i="63"/>
  <c r="J51" i="63"/>
  <c r="H51" i="63"/>
  <c r="D51" i="63"/>
  <c r="L51" i="63" s="1"/>
  <c r="B51" i="63"/>
  <c r="Z50" i="63"/>
  <c r="X50" i="63"/>
  <c r="N50" i="63"/>
  <c r="L50" i="63"/>
  <c r="B50" i="63"/>
  <c r="Z49" i="63"/>
  <c r="X49" i="63"/>
  <c r="N49" i="63"/>
  <c r="L49" i="63"/>
  <c r="J49" i="63"/>
  <c r="F49" i="63"/>
  <c r="B49" i="63"/>
  <c r="X48" i="63"/>
  <c r="Z48" i="63" s="1"/>
  <c r="N48" i="63"/>
  <c r="L48" i="63"/>
  <c r="B48" i="63"/>
  <c r="Z47" i="63"/>
  <c r="X47" i="63"/>
  <c r="T47" i="63"/>
  <c r="P47" i="63"/>
  <c r="N47" i="63"/>
  <c r="L47" i="63"/>
  <c r="H47" i="63"/>
  <c r="D47" i="63"/>
  <c r="B47" i="63"/>
  <c r="Z46" i="63"/>
  <c r="X46" i="63"/>
  <c r="N46" i="63"/>
  <c r="L46" i="63"/>
  <c r="J46" i="63"/>
  <c r="B46" i="63"/>
  <c r="Z45" i="63"/>
  <c r="X45" i="63"/>
  <c r="V45" i="63"/>
  <c r="N45" i="63"/>
  <c r="L45" i="63"/>
  <c r="J45" i="63"/>
  <c r="B45" i="63"/>
  <c r="Z44" i="63"/>
  <c r="X44" i="63"/>
  <c r="T44" i="63"/>
  <c r="P44" i="63"/>
  <c r="H44" i="63"/>
  <c r="F44" i="63"/>
  <c r="D44" i="63"/>
  <c r="B44" i="63"/>
  <c r="X43" i="63"/>
  <c r="Z43" i="63" s="1"/>
  <c r="N43" i="63"/>
  <c r="L43" i="63"/>
  <c r="J43" i="63"/>
  <c r="B43" i="63"/>
  <c r="X42" i="63"/>
  <c r="Z42" i="63" s="1"/>
  <c r="T42" i="63"/>
  <c r="P42" i="63"/>
  <c r="L42" i="63"/>
  <c r="J42" i="63"/>
  <c r="H42" i="63"/>
  <c r="N42" i="63" s="1"/>
  <c r="D42" i="63"/>
  <c r="B42" i="63"/>
  <c r="X41" i="63"/>
  <c r="Z41" i="63" s="1"/>
  <c r="V41" i="63"/>
  <c r="R41" i="63"/>
  <c r="N41" i="63"/>
  <c r="L41" i="63"/>
  <c r="J41" i="63"/>
  <c r="F41" i="63"/>
  <c r="B41" i="63"/>
  <c r="T40" i="63"/>
  <c r="P40" i="63"/>
  <c r="X40" i="63" s="1"/>
  <c r="H40" i="63"/>
  <c r="F40" i="63"/>
  <c r="D40" i="63"/>
  <c r="L40" i="63" s="1"/>
  <c r="N40" i="63" s="1"/>
  <c r="B40" i="63"/>
  <c r="X39" i="63"/>
  <c r="Z39" i="63" s="1"/>
  <c r="L39" i="63"/>
  <c r="N39" i="63" s="1"/>
  <c r="J39" i="63"/>
  <c r="B39" i="63"/>
  <c r="T38" i="63"/>
  <c r="P38" i="63"/>
  <c r="X38" i="63" s="1"/>
  <c r="Z38" i="63" s="1"/>
  <c r="N38" i="63"/>
  <c r="L38" i="63"/>
  <c r="J38" i="63"/>
  <c r="H38" i="63"/>
  <c r="D38" i="63"/>
  <c r="B38" i="63"/>
  <c r="Z37" i="63"/>
  <c r="X37" i="63"/>
  <c r="N37" i="63"/>
  <c r="L37" i="63"/>
  <c r="J37" i="63"/>
  <c r="F37" i="63"/>
  <c r="B37" i="63"/>
  <c r="T36" i="63"/>
  <c r="P36" i="63"/>
  <c r="J36" i="63"/>
  <c r="H36" i="63"/>
  <c r="N36" i="63" s="1"/>
  <c r="F36" i="63"/>
  <c r="D36" i="63"/>
  <c r="B36" i="63"/>
  <c r="X35" i="63"/>
  <c r="Z35" i="63" s="1"/>
  <c r="N35" i="63"/>
  <c r="L35" i="63"/>
  <c r="J35" i="63"/>
  <c r="F35" i="63"/>
  <c r="B35" i="63"/>
  <c r="Z34" i="63"/>
  <c r="X34" i="63"/>
  <c r="N34" i="63"/>
  <c r="L34" i="63"/>
  <c r="B34" i="63"/>
  <c r="X33" i="63"/>
  <c r="Z33" i="63" s="1"/>
  <c r="V33" i="63"/>
  <c r="R33" i="63"/>
  <c r="N33" i="63"/>
  <c r="L33" i="63"/>
  <c r="J33" i="63"/>
  <c r="F33" i="63"/>
  <c r="B33" i="63"/>
  <c r="X32" i="63"/>
  <c r="Z32" i="63" s="1"/>
  <c r="N32" i="63"/>
  <c r="L32" i="63"/>
  <c r="J32" i="63"/>
  <c r="B32" i="63"/>
  <c r="X31" i="63"/>
  <c r="Z31" i="63" s="1"/>
  <c r="L31" i="63"/>
  <c r="N31" i="63" s="1"/>
  <c r="J31" i="63"/>
  <c r="F31" i="63"/>
  <c r="B31" i="63"/>
  <c r="Z30" i="63"/>
  <c r="X30" i="63"/>
  <c r="N30" i="63"/>
  <c r="L30" i="63"/>
  <c r="B30" i="63"/>
  <c r="X29" i="63"/>
  <c r="Z29" i="63" s="1"/>
  <c r="V29" i="63"/>
  <c r="T29" i="63"/>
  <c r="P29" i="63"/>
  <c r="L29" i="63"/>
  <c r="N29" i="63" s="1"/>
  <c r="J29" i="63"/>
  <c r="H29" i="63"/>
  <c r="D29" i="63"/>
  <c r="B29" i="63"/>
  <c r="Z28" i="63"/>
  <c r="X28" i="63"/>
  <c r="N28" i="63"/>
  <c r="L28" i="63"/>
  <c r="J28" i="63"/>
  <c r="F28" i="63"/>
  <c r="B28" i="63"/>
  <c r="X27" i="63"/>
  <c r="Z27" i="63" s="1"/>
  <c r="L27" i="63"/>
  <c r="N27" i="63" s="1"/>
  <c r="J27" i="63"/>
  <c r="B27" i="63"/>
  <c r="Z26" i="63"/>
  <c r="X26" i="63"/>
  <c r="L26" i="63"/>
  <c r="N26" i="63" s="1"/>
  <c r="J26" i="63"/>
  <c r="F26" i="63"/>
  <c r="B26" i="63"/>
  <c r="Z25" i="63"/>
  <c r="X25" i="63"/>
  <c r="N25" i="63"/>
  <c r="L25" i="63"/>
  <c r="J25" i="63"/>
  <c r="B25" i="63"/>
  <c r="Z24" i="63"/>
  <c r="X24" i="63"/>
  <c r="V24" i="63"/>
  <c r="L24" i="63"/>
  <c r="N24" i="63" s="1"/>
  <c r="J24" i="63"/>
  <c r="F24" i="63"/>
  <c r="B24" i="63"/>
  <c r="X23" i="63"/>
  <c r="Z23" i="63" s="1"/>
  <c r="V23" i="63"/>
  <c r="L23" i="63"/>
  <c r="N23" i="63" s="1"/>
  <c r="J23" i="63"/>
  <c r="B23" i="63"/>
  <c r="Z22" i="63"/>
  <c r="X22" i="63"/>
  <c r="L22" i="63"/>
  <c r="N22" i="63" s="1"/>
  <c r="J22" i="63"/>
  <c r="F22" i="63"/>
  <c r="B22" i="63"/>
  <c r="Z21" i="63"/>
  <c r="X21" i="63"/>
  <c r="N21" i="63"/>
  <c r="L21" i="63"/>
  <c r="J21" i="63"/>
  <c r="B21" i="63"/>
  <c r="Z20" i="63"/>
  <c r="X20" i="63"/>
  <c r="L20" i="63"/>
  <c r="N20" i="63" s="1"/>
  <c r="J20" i="63"/>
  <c r="F20" i="63"/>
  <c r="B20" i="63"/>
  <c r="T19" i="63"/>
  <c r="R19" i="63"/>
  <c r="P19" i="63"/>
  <c r="J19" i="63"/>
  <c r="H19" i="63"/>
  <c r="F19" i="63"/>
  <c r="D19" i="63"/>
  <c r="B19" i="63"/>
  <c r="V18" i="63"/>
  <c r="T18" i="63"/>
  <c r="P18" i="63"/>
  <c r="X18" i="63" s="1"/>
  <c r="J18" i="63"/>
  <c r="H18" i="63"/>
  <c r="D18" i="63"/>
  <c r="R16" i="63"/>
  <c r="J16" i="63"/>
  <c r="H16" i="63"/>
  <c r="T14" i="63"/>
  <c r="R14" i="63"/>
  <c r="P14" i="63"/>
  <c r="J14" i="63"/>
  <c r="H14" i="63"/>
  <c r="D14" i="63"/>
  <c r="T12" i="63"/>
  <c r="V47" i="63" s="1"/>
  <c r="P12" i="63"/>
  <c r="R23" i="63" s="1"/>
  <c r="N12" i="63"/>
  <c r="H12" i="63"/>
  <c r="J58" i="63" s="1"/>
  <c r="D12" i="63"/>
  <c r="F46" i="63" s="1"/>
  <c r="D6" i="63"/>
  <c r="D4" i="63"/>
  <c r="R112" i="62"/>
  <c r="R109" i="62"/>
  <c r="F109" i="62"/>
  <c r="Z107" i="62"/>
  <c r="X107" i="62"/>
  <c r="N107" i="62"/>
  <c r="L107" i="62"/>
  <c r="J107" i="62"/>
  <c r="J105" i="62"/>
  <c r="F105" i="62"/>
  <c r="T103" i="62"/>
  <c r="P103" i="62"/>
  <c r="H103" i="62"/>
  <c r="N103" i="62" s="1"/>
  <c r="D103" i="62"/>
  <c r="B103" i="62"/>
  <c r="X102" i="62"/>
  <c r="Z102" i="62" s="1"/>
  <c r="V102" i="62"/>
  <c r="T102" i="62"/>
  <c r="P102" i="62"/>
  <c r="N102" i="62"/>
  <c r="L102" i="62"/>
  <c r="H102" i="62"/>
  <c r="D102" i="62"/>
  <c r="B102" i="62"/>
  <c r="T101" i="62"/>
  <c r="P101" i="62"/>
  <c r="N101" i="62"/>
  <c r="L101" i="62"/>
  <c r="J101" i="62"/>
  <c r="H101" i="62"/>
  <c r="D101" i="62"/>
  <c r="B101" i="62"/>
  <c r="D100" i="62"/>
  <c r="Z98" i="62"/>
  <c r="X98" i="62"/>
  <c r="N98" i="62"/>
  <c r="L98" i="62"/>
  <c r="B98" i="62"/>
  <c r="T97" i="62"/>
  <c r="P97" i="62"/>
  <c r="J97" i="62"/>
  <c r="H97" i="62"/>
  <c r="D97" i="62"/>
  <c r="B97" i="62"/>
  <c r="X96" i="62"/>
  <c r="Z96" i="62" s="1"/>
  <c r="N96" i="62"/>
  <c r="L96" i="62"/>
  <c r="J96" i="62"/>
  <c r="B96" i="62"/>
  <c r="Z95" i="62"/>
  <c r="X95" i="62"/>
  <c r="N95" i="62"/>
  <c r="L95" i="62"/>
  <c r="B95" i="62"/>
  <c r="Z94" i="62"/>
  <c r="X94" i="62"/>
  <c r="R94" i="62"/>
  <c r="N94" i="62"/>
  <c r="L94" i="62"/>
  <c r="B94" i="62"/>
  <c r="T93" i="62"/>
  <c r="P93" i="62"/>
  <c r="N93" i="62"/>
  <c r="H93" i="62"/>
  <c r="D93" i="62"/>
  <c r="L93" i="62" s="1"/>
  <c r="B93" i="62"/>
  <c r="X92" i="62"/>
  <c r="Z92" i="62" s="1"/>
  <c r="N92" i="62"/>
  <c r="L92" i="62"/>
  <c r="B92" i="62"/>
  <c r="Z91" i="62"/>
  <c r="X91" i="62"/>
  <c r="T91" i="62"/>
  <c r="P91" i="62"/>
  <c r="N91" i="62"/>
  <c r="L91" i="62"/>
  <c r="J91" i="62"/>
  <c r="H91" i="62"/>
  <c r="D91" i="62"/>
  <c r="B91" i="62"/>
  <c r="Z90" i="62"/>
  <c r="X90" i="62"/>
  <c r="N90" i="62"/>
  <c r="L90" i="62"/>
  <c r="J90" i="62"/>
  <c r="B90" i="62"/>
  <c r="T89" i="62"/>
  <c r="P89" i="62"/>
  <c r="J89" i="62"/>
  <c r="H89" i="62"/>
  <c r="D89" i="62"/>
  <c r="B89" i="62"/>
  <c r="X88" i="62"/>
  <c r="Z88" i="62" s="1"/>
  <c r="N88" i="62"/>
  <c r="L88" i="62"/>
  <c r="J88" i="62"/>
  <c r="B88" i="62"/>
  <c r="Z87" i="62"/>
  <c r="X87" i="62"/>
  <c r="L87" i="62"/>
  <c r="N87" i="62" s="1"/>
  <c r="B87" i="62"/>
  <c r="Z86" i="62"/>
  <c r="X86" i="62"/>
  <c r="R86" i="62"/>
  <c r="N86" i="62"/>
  <c r="L86" i="62"/>
  <c r="B86" i="62"/>
  <c r="X85" i="62"/>
  <c r="Z85" i="62" s="1"/>
  <c r="N85" i="62"/>
  <c r="L85" i="62"/>
  <c r="J85" i="62"/>
  <c r="B85" i="62"/>
  <c r="X84" i="62"/>
  <c r="Z84" i="62" s="1"/>
  <c r="N84" i="62"/>
  <c r="L84" i="62"/>
  <c r="J84" i="62"/>
  <c r="F84" i="62"/>
  <c r="B84" i="62"/>
  <c r="Z83" i="62"/>
  <c r="X83" i="62"/>
  <c r="N83" i="62"/>
  <c r="L83" i="62"/>
  <c r="B83" i="62"/>
  <c r="Z82" i="62"/>
  <c r="X82" i="62"/>
  <c r="N82" i="62"/>
  <c r="L82" i="62"/>
  <c r="F82" i="62"/>
  <c r="B82" i="62"/>
  <c r="T81" i="62"/>
  <c r="P81" i="62"/>
  <c r="H81" i="62"/>
  <c r="D81" i="62"/>
  <c r="L81" i="62" s="1"/>
  <c r="N81" i="62" s="1"/>
  <c r="B81" i="62"/>
  <c r="X80" i="62"/>
  <c r="Z80" i="62" s="1"/>
  <c r="V80" i="62"/>
  <c r="R80" i="62"/>
  <c r="N80" i="62"/>
  <c r="L80" i="62"/>
  <c r="B80" i="62"/>
  <c r="Z79" i="62"/>
  <c r="X79" i="62"/>
  <c r="N79" i="62"/>
  <c r="L79" i="62"/>
  <c r="J79" i="62"/>
  <c r="B79" i="62"/>
  <c r="T78" i="62"/>
  <c r="P78" i="62"/>
  <c r="X78" i="62" s="1"/>
  <c r="J78" i="62"/>
  <c r="H78" i="62"/>
  <c r="N78" i="62" s="1"/>
  <c r="D78" i="62"/>
  <c r="L78" i="62" s="1"/>
  <c r="B78" i="62"/>
  <c r="X77" i="62"/>
  <c r="Z77" i="62" s="1"/>
  <c r="L77" i="62"/>
  <c r="N77" i="62" s="1"/>
  <c r="F77" i="62"/>
  <c r="B77" i="62"/>
  <c r="Z76" i="62"/>
  <c r="X76" i="62"/>
  <c r="N76" i="62"/>
  <c r="L76" i="62"/>
  <c r="J76" i="62"/>
  <c r="B76" i="62"/>
  <c r="X75" i="62"/>
  <c r="Z75" i="62" s="1"/>
  <c r="N75" i="62"/>
  <c r="L75" i="62"/>
  <c r="B75" i="62"/>
  <c r="T74" i="62"/>
  <c r="P74" i="62"/>
  <c r="X74" i="62" s="1"/>
  <c r="Z74" i="62" s="1"/>
  <c r="H74" i="62"/>
  <c r="D74" i="62"/>
  <c r="L74" i="62" s="1"/>
  <c r="N74" i="62" s="1"/>
  <c r="B74" i="62"/>
  <c r="X73" i="62"/>
  <c r="Z73" i="62" s="1"/>
  <c r="R73" i="62"/>
  <c r="N73" i="62"/>
  <c r="L73" i="62"/>
  <c r="B73" i="62"/>
  <c r="X72" i="62"/>
  <c r="Z72" i="62" s="1"/>
  <c r="L72" i="62"/>
  <c r="N72" i="62" s="1"/>
  <c r="J72" i="62"/>
  <c r="F72" i="62"/>
  <c r="B72" i="62"/>
  <c r="Z71" i="62"/>
  <c r="X71" i="62"/>
  <c r="N71" i="62"/>
  <c r="L71" i="62"/>
  <c r="B71" i="62"/>
  <c r="Z70" i="62"/>
  <c r="X70" i="62"/>
  <c r="R70" i="62"/>
  <c r="N70" i="62"/>
  <c r="L70" i="62"/>
  <c r="J70" i="62"/>
  <c r="B70" i="62"/>
  <c r="T69" i="62"/>
  <c r="R69" i="62"/>
  <c r="P69" i="62"/>
  <c r="X69" i="62" s="1"/>
  <c r="H69" i="62"/>
  <c r="D69" i="62"/>
  <c r="L69" i="62" s="1"/>
  <c r="N69" i="62" s="1"/>
  <c r="B69" i="62"/>
  <c r="X68" i="62"/>
  <c r="Z68" i="62" s="1"/>
  <c r="N68" i="62"/>
  <c r="L68" i="62"/>
  <c r="B68" i="62"/>
  <c r="X67" i="62"/>
  <c r="Z67" i="62" s="1"/>
  <c r="T67" i="62"/>
  <c r="P67" i="62"/>
  <c r="L67" i="62"/>
  <c r="N67" i="62" s="1"/>
  <c r="H67" i="62"/>
  <c r="D67" i="62"/>
  <c r="B67" i="62"/>
  <c r="Z66" i="62"/>
  <c r="X66" i="62"/>
  <c r="N66" i="62"/>
  <c r="L66" i="62"/>
  <c r="J66" i="62"/>
  <c r="B66" i="62"/>
  <c r="T65" i="62"/>
  <c r="P65" i="62"/>
  <c r="H65" i="62"/>
  <c r="N65" i="62" s="1"/>
  <c r="D65" i="62"/>
  <c r="B65" i="62"/>
  <c r="X64" i="62"/>
  <c r="Z64" i="62" s="1"/>
  <c r="V64" i="62"/>
  <c r="L64" i="62"/>
  <c r="N64" i="62" s="1"/>
  <c r="J64" i="62"/>
  <c r="B64" i="62"/>
  <c r="T63" i="62"/>
  <c r="Z63" i="62" s="1"/>
  <c r="R63" i="62"/>
  <c r="P63" i="62"/>
  <c r="X63" i="62" s="1"/>
  <c r="H63" i="62"/>
  <c r="D63" i="62"/>
  <c r="L63" i="62" s="1"/>
  <c r="B63" i="62"/>
  <c r="Z62" i="62"/>
  <c r="X62" i="62"/>
  <c r="N62" i="62"/>
  <c r="L62" i="62"/>
  <c r="B62" i="62"/>
  <c r="T61" i="62"/>
  <c r="P61" i="62"/>
  <c r="X61" i="62" s="1"/>
  <c r="Z61" i="62" s="1"/>
  <c r="N61" i="62"/>
  <c r="L61" i="62"/>
  <c r="H61" i="62"/>
  <c r="D61" i="62"/>
  <c r="B61" i="62"/>
  <c r="Z60" i="62"/>
  <c r="X60" i="62"/>
  <c r="N60" i="62"/>
  <c r="L60" i="62"/>
  <c r="J60" i="62"/>
  <c r="B60" i="62"/>
  <c r="T59" i="62"/>
  <c r="P59" i="62"/>
  <c r="J59" i="62"/>
  <c r="H59" i="62"/>
  <c r="N59" i="62" s="1"/>
  <c r="D59" i="62"/>
  <c r="B59" i="62"/>
  <c r="X58" i="62"/>
  <c r="Z58" i="62" s="1"/>
  <c r="V58" i="62"/>
  <c r="N58" i="62"/>
  <c r="L58" i="62"/>
  <c r="J58" i="62"/>
  <c r="B58" i="62"/>
  <c r="T57" i="62"/>
  <c r="R57" i="62"/>
  <c r="P57" i="62"/>
  <c r="H57" i="62"/>
  <c r="F57" i="62"/>
  <c r="D57" i="62"/>
  <c r="B57" i="62"/>
  <c r="X56" i="62"/>
  <c r="Z56" i="62" s="1"/>
  <c r="N56" i="62"/>
  <c r="L56" i="62"/>
  <c r="B56" i="62"/>
  <c r="T55" i="62"/>
  <c r="P55" i="62"/>
  <c r="X55" i="62" s="1"/>
  <c r="Z55" i="62" s="1"/>
  <c r="N55" i="62"/>
  <c r="L55" i="62"/>
  <c r="J55" i="62"/>
  <c r="H55" i="62"/>
  <c r="D55" i="62"/>
  <c r="B55" i="62"/>
  <c r="Z54" i="62"/>
  <c r="X54" i="62"/>
  <c r="L54" i="62"/>
  <c r="N54" i="62" s="1"/>
  <c r="J54" i="62"/>
  <c r="F54" i="62"/>
  <c r="B54" i="62"/>
  <c r="X53" i="62"/>
  <c r="T53" i="62"/>
  <c r="P53" i="62"/>
  <c r="J53" i="62"/>
  <c r="H53" i="62"/>
  <c r="D53" i="62"/>
  <c r="B53" i="62"/>
  <c r="Z52" i="62"/>
  <c r="X52" i="62"/>
  <c r="N52" i="62"/>
  <c r="L52" i="62"/>
  <c r="B52" i="62"/>
  <c r="Z51" i="62"/>
  <c r="X51" i="62"/>
  <c r="N51" i="62"/>
  <c r="L51" i="62"/>
  <c r="B51" i="62"/>
  <c r="Z50" i="62"/>
  <c r="X50" i="62"/>
  <c r="T50" i="62"/>
  <c r="P50" i="62"/>
  <c r="N50" i="62"/>
  <c r="L50" i="62"/>
  <c r="J50" i="62"/>
  <c r="H50" i="62"/>
  <c r="D50" i="62"/>
  <c r="B50" i="62"/>
  <c r="Z49" i="62"/>
  <c r="X49" i="62"/>
  <c r="N49" i="62"/>
  <c r="L49" i="62"/>
  <c r="J49" i="62"/>
  <c r="B49" i="62"/>
  <c r="X48" i="62"/>
  <c r="Z48" i="62" s="1"/>
  <c r="R48" i="62"/>
  <c r="N48" i="62"/>
  <c r="L48" i="62"/>
  <c r="B48" i="62"/>
  <c r="X47" i="62"/>
  <c r="Z47" i="62" s="1"/>
  <c r="L47" i="62"/>
  <c r="N47" i="62" s="1"/>
  <c r="J47" i="62"/>
  <c r="B47" i="62"/>
  <c r="T46" i="62"/>
  <c r="R46" i="62"/>
  <c r="P46" i="62"/>
  <c r="X46" i="62" s="1"/>
  <c r="H46" i="62"/>
  <c r="D46" i="62"/>
  <c r="B46" i="62"/>
  <c r="X45" i="62"/>
  <c r="Z45" i="62" s="1"/>
  <c r="R45" i="62"/>
  <c r="L45" i="62"/>
  <c r="N45" i="62" s="1"/>
  <c r="B45" i="62"/>
  <c r="T44" i="62"/>
  <c r="P44" i="62"/>
  <c r="X44" i="62" s="1"/>
  <c r="Z44" i="62" s="1"/>
  <c r="H44" i="62"/>
  <c r="D44" i="62"/>
  <c r="L44" i="62" s="1"/>
  <c r="N44" i="62" s="1"/>
  <c r="B44" i="62"/>
  <c r="Z43" i="62"/>
  <c r="X43" i="62"/>
  <c r="R43" i="62"/>
  <c r="N43" i="62"/>
  <c r="L43" i="62"/>
  <c r="B43" i="62"/>
  <c r="Z42" i="62"/>
  <c r="X42" i="62"/>
  <c r="R42" i="62"/>
  <c r="N42" i="62"/>
  <c r="L42" i="62"/>
  <c r="J42" i="62"/>
  <c r="F42" i="62"/>
  <c r="B42" i="62"/>
  <c r="T41" i="62"/>
  <c r="R41" i="62"/>
  <c r="P41" i="62"/>
  <c r="X41" i="62" s="1"/>
  <c r="H41" i="62"/>
  <c r="D41" i="62"/>
  <c r="L41" i="62" s="1"/>
  <c r="N41" i="62" s="1"/>
  <c r="B41" i="62"/>
  <c r="X40" i="62"/>
  <c r="Z40" i="62" s="1"/>
  <c r="R40" i="62"/>
  <c r="N40" i="62"/>
  <c r="L40" i="62"/>
  <c r="B40" i="62"/>
  <c r="T39" i="62"/>
  <c r="R39" i="62"/>
  <c r="P39" i="62"/>
  <c r="X39" i="62" s="1"/>
  <c r="Z39" i="62" s="1"/>
  <c r="N39" i="62"/>
  <c r="J39" i="62"/>
  <c r="H39" i="62"/>
  <c r="D39" i="62"/>
  <c r="L39" i="62" s="1"/>
  <c r="B39" i="62"/>
  <c r="Z38" i="62"/>
  <c r="X38" i="62"/>
  <c r="N38" i="62"/>
  <c r="L38" i="62"/>
  <c r="J38" i="62"/>
  <c r="F38" i="62"/>
  <c r="B38" i="62"/>
  <c r="X37" i="62"/>
  <c r="Z37" i="62" s="1"/>
  <c r="V37" i="62"/>
  <c r="R37" i="62"/>
  <c r="N37" i="62"/>
  <c r="L37" i="62"/>
  <c r="J37" i="62"/>
  <c r="B37" i="62"/>
  <c r="Z36" i="62"/>
  <c r="X36" i="62"/>
  <c r="N36" i="62"/>
  <c r="L36" i="62"/>
  <c r="J36" i="62"/>
  <c r="B36" i="62"/>
  <c r="Z35" i="62"/>
  <c r="X35" i="62"/>
  <c r="V35" i="62"/>
  <c r="N35" i="62"/>
  <c r="L35" i="62"/>
  <c r="B35" i="62"/>
  <c r="Z34" i="62"/>
  <c r="X34" i="62"/>
  <c r="R34" i="62"/>
  <c r="N34" i="62"/>
  <c r="L34" i="62"/>
  <c r="F34" i="62"/>
  <c r="B34" i="62"/>
  <c r="X33" i="62"/>
  <c r="Z33" i="62" s="1"/>
  <c r="R33" i="62"/>
  <c r="L33" i="62"/>
  <c r="N33" i="62" s="1"/>
  <c r="J33" i="62"/>
  <c r="B33" i="62"/>
  <c r="X32" i="62"/>
  <c r="Z32" i="62" s="1"/>
  <c r="N32" i="62"/>
  <c r="L32" i="62"/>
  <c r="J32" i="62"/>
  <c r="B32" i="62"/>
  <c r="T31" i="62"/>
  <c r="P31" i="62"/>
  <c r="L31" i="62"/>
  <c r="J31" i="62"/>
  <c r="H31" i="62"/>
  <c r="D31" i="62"/>
  <c r="B31" i="62"/>
  <c r="Z30" i="62"/>
  <c r="X30" i="62"/>
  <c r="R30" i="62"/>
  <c r="N30" i="62"/>
  <c r="L30" i="62"/>
  <c r="J30" i="62"/>
  <c r="F30" i="62"/>
  <c r="B30" i="62"/>
  <c r="X29" i="62"/>
  <c r="Z29" i="62" s="1"/>
  <c r="V29" i="62"/>
  <c r="N29" i="62"/>
  <c r="L29" i="62"/>
  <c r="J29" i="62"/>
  <c r="B29" i="62"/>
  <c r="Z28" i="62"/>
  <c r="X28" i="62"/>
  <c r="L28" i="62"/>
  <c r="N28" i="62" s="1"/>
  <c r="J28" i="62"/>
  <c r="B28" i="62"/>
  <c r="Z27" i="62"/>
  <c r="X27" i="62"/>
  <c r="N27" i="62"/>
  <c r="L27" i="62"/>
  <c r="B27" i="62"/>
  <c r="Z26" i="62"/>
  <c r="X26" i="62"/>
  <c r="V26" i="62"/>
  <c r="R26" i="62"/>
  <c r="N26" i="62"/>
  <c r="L26" i="62"/>
  <c r="J26" i="62"/>
  <c r="B26" i="62"/>
  <c r="X25" i="62"/>
  <c r="Z25" i="62" s="1"/>
  <c r="R25" i="62"/>
  <c r="L25" i="62"/>
  <c r="N25" i="62" s="1"/>
  <c r="J25" i="62"/>
  <c r="F25" i="62"/>
  <c r="B25" i="62"/>
  <c r="Z24" i="62"/>
  <c r="X24" i="62"/>
  <c r="L24" i="62"/>
  <c r="N24" i="62" s="1"/>
  <c r="J24" i="62"/>
  <c r="B24" i="62"/>
  <c r="X23" i="62"/>
  <c r="Z23" i="62" s="1"/>
  <c r="R23" i="62"/>
  <c r="N23" i="62"/>
  <c r="L23" i="62"/>
  <c r="F23" i="62"/>
  <c r="B23" i="62"/>
  <c r="Z22" i="62"/>
  <c r="X22" i="62"/>
  <c r="R22" i="62"/>
  <c r="N22" i="62"/>
  <c r="L22" i="62"/>
  <c r="J22" i="62"/>
  <c r="F22" i="62"/>
  <c r="B22" i="62"/>
  <c r="X21" i="62"/>
  <c r="Z21" i="62" s="1"/>
  <c r="N21" i="62"/>
  <c r="L21" i="62"/>
  <c r="J21" i="62"/>
  <c r="B21" i="62"/>
  <c r="T20" i="62"/>
  <c r="P20" i="62"/>
  <c r="X20" i="62" s="1"/>
  <c r="Z20" i="62" s="1"/>
  <c r="H20" i="62"/>
  <c r="D20" i="62"/>
  <c r="B20" i="62"/>
  <c r="T19" i="62"/>
  <c r="P19" i="62"/>
  <c r="X19" i="62" s="1"/>
  <c r="H19" i="62"/>
  <c r="D19" i="62"/>
  <c r="L19" i="62" s="1"/>
  <c r="R17" i="62"/>
  <c r="P17" i="62"/>
  <c r="J17" i="62"/>
  <c r="Z15" i="62"/>
  <c r="X15" i="62"/>
  <c r="R15" i="62"/>
  <c r="N15" i="62"/>
  <c r="L15" i="62"/>
  <c r="J15" i="62"/>
  <c r="F15" i="62"/>
  <c r="B15" i="62"/>
  <c r="Z14" i="62"/>
  <c r="T14" i="62"/>
  <c r="X14" i="62" s="1"/>
  <c r="P14" i="62"/>
  <c r="N14" i="62"/>
  <c r="J14" i="62"/>
  <c r="H14" i="62"/>
  <c r="H17" i="62" s="1"/>
  <c r="N17" i="62" s="1"/>
  <c r="F14" i="62"/>
  <c r="D14" i="62"/>
  <c r="L14" i="62" s="1"/>
  <c r="T12" i="62"/>
  <c r="V78" i="62" s="1"/>
  <c r="P12" i="62"/>
  <c r="R71" i="62" s="1"/>
  <c r="N12" i="62"/>
  <c r="H12" i="62"/>
  <c r="J67" i="62" s="1"/>
  <c r="D12" i="62"/>
  <c r="F103" i="62" s="1"/>
  <c r="D6" i="62"/>
  <c r="D4" i="62"/>
  <c r="V58" i="61"/>
  <c r="J58" i="61"/>
  <c r="V55" i="61"/>
  <c r="Z53" i="61"/>
  <c r="X53" i="61"/>
  <c r="V53" i="61"/>
  <c r="N53" i="61"/>
  <c r="L53" i="61"/>
  <c r="J53" i="61"/>
  <c r="J51" i="61"/>
  <c r="V49" i="61"/>
  <c r="T49" i="61"/>
  <c r="Z49" i="61" s="1"/>
  <c r="P49" i="61"/>
  <c r="N49" i="61"/>
  <c r="J49" i="61"/>
  <c r="H49" i="61"/>
  <c r="D49" i="61"/>
  <c r="L49" i="61" s="1"/>
  <c r="Z47" i="61"/>
  <c r="X47" i="61"/>
  <c r="V47" i="61"/>
  <c r="R47" i="61"/>
  <c r="N47" i="61"/>
  <c r="L47" i="61"/>
  <c r="J47" i="61"/>
  <c r="B47" i="61"/>
  <c r="T46" i="61"/>
  <c r="Z46" i="61" s="1"/>
  <c r="P46" i="61"/>
  <c r="X46" i="61" s="1"/>
  <c r="J46" i="61"/>
  <c r="H46" i="61"/>
  <c r="D46" i="61"/>
  <c r="B46" i="61"/>
  <c r="Z45" i="61"/>
  <c r="X45" i="61"/>
  <c r="L45" i="61"/>
  <c r="N45" i="61" s="1"/>
  <c r="J45" i="61"/>
  <c r="B45" i="61"/>
  <c r="T44" i="61"/>
  <c r="P44" i="61"/>
  <c r="J44" i="61"/>
  <c r="H44" i="61"/>
  <c r="N44" i="61" s="1"/>
  <c r="D44" i="61"/>
  <c r="L44" i="61" s="1"/>
  <c r="B44" i="61"/>
  <c r="X43" i="61"/>
  <c r="Z43" i="61" s="1"/>
  <c r="N43" i="61"/>
  <c r="L43" i="61"/>
  <c r="J43" i="61"/>
  <c r="B43" i="61"/>
  <c r="X42" i="61"/>
  <c r="Z42" i="61" s="1"/>
  <c r="N42" i="61"/>
  <c r="L42" i="61"/>
  <c r="F42" i="61"/>
  <c r="B42" i="61"/>
  <c r="Z41" i="61"/>
  <c r="X41" i="61"/>
  <c r="V41" i="61"/>
  <c r="T41" i="61"/>
  <c r="P41" i="61"/>
  <c r="N41" i="61"/>
  <c r="L41" i="61"/>
  <c r="J41" i="61"/>
  <c r="H41" i="61"/>
  <c r="F41" i="61"/>
  <c r="D41" i="61"/>
  <c r="B41" i="61"/>
  <c r="X40" i="61"/>
  <c r="Z40" i="61" s="1"/>
  <c r="N40" i="61"/>
  <c r="L40" i="61"/>
  <c r="J40" i="61"/>
  <c r="B40" i="61"/>
  <c r="V39" i="61"/>
  <c r="T39" i="61"/>
  <c r="X39" i="61" s="1"/>
  <c r="Z39" i="61" s="1"/>
  <c r="P39" i="61"/>
  <c r="J39" i="61"/>
  <c r="H39" i="61"/>
  <c r="N39" i="61" s="1"/>
  <c r="D39" i="61"/>
  <c r="B39" i="61"/>
  <c r="Z38" i="61"/>
  <c r="X38" i="61"/>
  <c r="V38" i="61"/>
  <c r="N38" i="61"/>
  <c r="L38" i="61"/>
  <c r="B38" i="61"/>
  <c r="V37" i="61"/>
  <c r="T37" i="61"/>
  <c r="R37" i="61"/>
  <c r="P37" i="61"/>
  <c r="X37" i="61" s="1"/>
  <c r="Z37" i="61" s="1"/>
  <c r="N37" i="61"/>
  <c r="L37" i="61"/>
  <c r="J37" i="61"/>
  <c r="H37" i="61"/>
  <c r="D37" i="61"/>
  <c r="B37" i="61"/>
  <c r="X36" i="61"/>
  <c r="Z36" i="61" s="1"/>
  <c r="V36" i="61"/>
  <c r="N36" i="61"/>
  <c r="L36" i="61"/>
  <c r="F36" i="61"/>
  <c r="B36" i="61"/>
  <c r="V35" i="61"/>
  <c r="T35" i="61"/>
  <c r="P35" i="61"/>
  <c r="X35" i="61" s="1"/>
  <c r="Z35" i="61" s="1"/>
  <c r="L35" i="61"/>
  <c r="N35" i="61" s="1"/>
  <c r="J35" i="61"/>
  <c r="H35" i="61"/>
  <c r="F35" i="61"/>
  <c r="D35" i="61"/>
  <c r="B35" i="61"/>
  <c r="X34" i="61"/>
  <c r="Z34" i="61" s="1"/>
  <c r="N34" i="61"/>
  <c r="L34" i="61"/>
  <c r="J34" i="61"/>
  <c r="F34" i="61"/>
  <c r="B34" i="61"/>
  <c r="V33" i="61"/>
  <c r="T33" i="61"/>
  <c r="X33" i="61" s="1"/>
  <c r="P33" i="61"/>
  <c r="J33" i="61"/>
  <c r="H33" i="61"/>
  <c r="D33" i="61"/>
  <c r="L33" i="61" s="1"/>
  <c r="N33" i="61" s="1"/>
  <c r="B33" i="61"/>
  <c r="X32" i="61"/>
  <c r="Z32" i="61" s="1"/>
  <c r="V32" i="61"/>
  <c r="L32" i="61"/>
  <c r="N32" i="61" s="1"/>
  <c r="B32" i="61"/>
  <c r="Z31" i="61"/>
  <c r="X31" i="61"/>
  <c r="V31" i="61"/>
  <c r="N31" i="61"/>
  <c r="L31" i="61"/>
  <c r="B31" i="61"/>
  <c r="X30" i="61"/>
  <c r="Z30" i="61" s="1"/>
  <c r="N30" i="61"/>
  <c r="L30" i="61"/>
  <c r="J30" i="61"/>
  <c r="B30" i="61"/>
  <c r="Z29" i="61"/>
  <c r="X29" i="61"/>
  <c r="V29" i="61"/>
  <c r="N29" i="61"/>
  <c r="L29" i="61"/>
  <c r="J29" i="61"/>
  <c r="B29" i="61"/>
  <c r="V28" i="61"/>
  <c r="T28" i="61"/>
  <c r="P28" i="61"/>
  <c r="X28" i="61" s="1"/>
  <c r="H28" i="61"/>
  <c r="N28" i="61" s="1"/>
  <c r="D28" i="61"/>
  <c r="L28" i="61" s="1"/>
  <c r="B28" i="61"/>
  <c r="X27" i="61"/>
  <c r="Z27" i="61" s="1"/>
  <c r="V27" i="61"/>
  <c r="N27" i="61"/>
  <c r="L27" i="61"/>
  <c r="J27" i="61"/>
  <c r="B27" i="61"/>
  <c r="X26" i="61"/>
  <c r="Z26" i="61" s="1"/>
  <c r="V26" i="61"/>
  <c r="N26" i="61"/>
  <c r="L26" i="61"/>
  <c r="J26" i="61"/>
  <c r="F26" i="61"/>
  <c r="B26" i="61"/>
  <c r="Z25" i="61"/>
  <c r="X25" i="61"/>
  <c r="V25" i="61"/>
  <c r="N25" i="61"/>
  <c r="L25" i="61"/>
  <c r="J25" i="61"/>
  <c r="F25" i="61"/>
  <c r="B25" i="61"/>
  <c r="Z24" i="61"/>
  <c r="X24" i="61"/>
  <c r="V24" i="61"/>
  <c r="N24" i="61"/>
  <c r="L24" i="61"/>
  <c r="J24" i="61"/>
  <c r="F24" i="61"/>
  <c r="B24" i="61"/>
  <c r="X23" i="61"/>
  <c r="Z23" i="61" s="1"/>
  <c r="V23" i="61"/>
  <c r="N23" i="61"/>
  <c r="L23" i="61"/>
  <c r="J23" i="61"/>
  <c r="B23" i="61"/>
  <c r="X22" i="61"/>
  <c r="Z22" i="61" s="1"/>
  <c r="V22" i="61"/>
  <c r="N22" i="61"/>
  <c r="L22" i="61"/>
  <c r="J22" i="61"/>
  <c r="F22" i="61"/>
  <c r="B22" i="61"/>
  <c r="Z21" i="61"/>
  <c r="X21" i="61"/>
  <c r="V21" i="61"/>
  <c r="N21" i="61"/>
  <c r="L21" i="61"/>
  <c r="J21" i="61"/>
  <c r="F21" i="61"/>
  <c r="B21" i="61"/>
  <c r="X20" i="61"/>
  <c r="Z20" i="61" s="1"/>
  <c r="V20" i="61"/>
  <c r="L20" i="61"/>
  <c r="N20" i="61" s="1"/>
  <c r="J20" i="61"/>
  <c r="F20" i="61"/>
  <c r="B20" i="61"/>
  <c r="X19" i="61"/>
  <c r="Z19" i="61" s="1"/>
  <c r="V19" i="61"/>
  <c r="T19" i="61"/>
  <c r="R19" i="61"/>
  <c r="P19" i="61"/>
  <c r="J19" i="61"/>
  <c r="H19" i="61"/>
  <c r="F19" i="61"/>
  <c r="D19" i="61"/>
  <c r="L19" i="61" s="1"/>
  <c r="B19" i="61"/>
  <c r="T18" i="61"/>
  <c r="P18" i="61"/>
  <c r="J18" i="61"/>
  <c r="H18" i="61"/>
  <c r="D18" i="61"/>
  <c r="Z16" i="61"/>
  <c r="T16" i="61"/>
  <c r="J16" i="61"/>
  <c r="Z14" i="61"/>
  <c r="X14" i="61"/>
  <c r="T14" i="61"/>
  <c r="P14" i="61"/>
  <c r="J14" i="61"/>
  <c r="H14" i="61"/>
  <c r="N14" i="61" s="1"/>
  <c r="D14" i="61"/>
  <c r="Z12" i="61"/>
  <c r="X12" i="61"/>
  <c r="T12" i="61"/>
  <c r="P12" i="61"/>
  <c r="N12" i="61"/>
  <c r="H12" i="61"/>
  <c r="J55" i="61" s="1"/>
  <c r="D12" i="61"/>
  <c r="F29" i="61" s="1"/>
  <c r="D6" i="61"/>
  <c r="D4" i="61"/>
  <c r="V58" i="60"/>
  <c r="F58" i="60"/>
  <c r="V55" i="60"/>
  <c r="F55" i="60"/>
  <c r="Z53" i="60"/>
  <c r="X53" i="60"/>
  <c r="V53" i="60"/>
  <c r="R53" i="60"/>
  <c r="N53" i="60"/>
  <c r="L53" i="60"/>
  <c r="V51" i="60"/>
  <c r="R51" i="60"/>
  <c r="V49" i="60"/>
  <c r="T49" i="60"/>
  <c r="Z49" i="60" s="1"/>
  <c r="R49" i="60"/>
  <c r="P49" i="60"/>
  <c r="N49" i="60"/>
  <c r="L49" i="60"/>
  <c r="H49" i="60"/>
  <c r="D49" i="60"/>
  <c r="X47" i="60"/>
  <c r="Z47" i="60" s="1"/>
  <c r="V47" i="60"/>
  <c r="R47" i="60"/>
  <c r="N47" i="60"/>
  <c r="L47" i="60"/>
  <c r="J47" i="60"/>
  <c r="F47" i="60"/>
  <c r="B47" i="60"/>
  <c r="Z46" i="60"/>
  <c r="T46" i="60"/>
  <c r="R46" i="60"/>
  <c r="P46" i="60"/>
  <c r="X46" i="60" s="1"/>
  <c r="H46" i="60"/>
  <c r="F46" i="60"/>
  <c r="D46" i="60"/>
  <c r="B46" i="60"/>
  <c r="X45" i="60"/>
  <c r="Z45" i="60" s="1"/>
  <c r="R45" i="60"/>
  <c r="L45" i="60"/>
  <c r="N45" i="60" s="1"/>
  <c r="B45" i="60"/>
  <c r="Z44" i="60"/>
  <c r="V44" i="60"/>
  <c r="T44" i="60"/>
  <c r="X44" i="60" s="1"/>
  <c r="R44" i="60"/>
  <c r="P44" i="60"/>
  <c r="H44" i="60"/>
  <c r="D44" i="60"/>
  <c r="L44" i="60" s="1"/>
  <c r="N44" i="60" s="1"/>
  <c r="B44" i="60"/>
  <c r="X43" i="60"/>
  <c r="Z43" i="60" s="1"/>
  <c r="R43" i="60"/>
  <c r="N43" i="60"/>
  <c r="L43" i="60"/>
  <c r="F43" i="60"/>
  <c r="B43" i="60"/>
  <c r="Z42" i="60"/>
  <c r="X42" i="60"/>
  <c r="V42" i="60"/>
  <c r="N42" i="60"/>
  <c r="L42" i="60"/>
  <c r="B42" i="60"/>
  <c r="X41" i="60"/>
  <c r="Z41" i="60" s="1"/>
  <c r="R41" i="60"/>
  <c r="N41" i="60"/>
  <c r="L41" i="60"/>
  <c r="F41" i="60"/>
  <c r="B41" i="60"/>
  <c r="V40" i="60"/>
  <c r="T40" i="60"/>
  <c r="R40" i="60"/>
  <c r="P40" i="60"/>
  <c r="X40" i="60" s="1"/>
  <c r="N40" i="60"/>
  <c r="L40" i="60"/>
  <c r="J40" i="60"/>
  <c r="H40" i="60"/>
  <c r="F40" i="60"/>
  <c r="D40" i="60"/>
  <c r="B40" i="60"/>
  <c r="X39" i="60"/>
  <c r="Z39" i="60" s="1"/>
  <c r="V39" i="60"/>
  <c r="R39" i="60"/>
  <c r="N39" i="60"/>
  <c r="L39" i="60"/>
  <c r="F39" i="60"/>
  <c r="B39" i="60"/>
  <c r="T38" i="60"/>
  <c r="R38" i="60"/>
  <c r="P38" i="60"/>
  <c r="X38" i="60" s="1"/>
  <c r="Z38" i="60" s="1"/>
  <c r="H38" i="60"/>
  <c r="F38" i="60"/>
  <c r="D38" i="60"/>
  <c r="B38" i="60"/>
  <c r="X37" i="60"/>
  <c r="Z37" i="60" s="1"/>
  <c r="R37" i="60"/>
  <c r="N37" i="60"/>
  <c r="L37" i="60"/>
  <c r="B37" i="60"/>
  <c r="Z36" i="60"/>
  <c r="X36" i="60"/>
  <c r="V36" i="60"/>
  <c r="R36" i="60"/>
  <c r="N36" i="60"/>
  <c r="L36" i="60"/>
  <c r="F36" i="60"/>
  <c r="B36" i="60"/>
  <c r="X35" i="60"/>
  <c r="Z35" i="60" s="1"/>
  <c r="V35" i="60"/>
  <c r="R35" i="60"/>
  <c r="N35" i="60"/>
  <c r="L35" i="60"/>
  <c r="B35" i="60"/>
  <c r="V34" i="60"/>
  <c r="T34" i="60"/>
  <c r="R34" i="60"/>
  <c r="P34" i="60"/>
  <c r="X34" i="60" s="1"/>
  <c r="Z34" i="60" s="1"/>
  <c r="N34" i="60"/>
  <c r="J34" i="60"/>
  <c r="H34" i="60"/>
  <c r="L34" i="60" s="1"/>
  <c r="D34" i="60"/>
  <c r="B34" i="60"/>
  <c r="X33" i="60"/>
  <c r="Z33" i="60" s="1"/>
  <c r="R33" i="60"/>
  <c r="L33" i="60"/>
  <c r="N33" i="60" s="1"/>
  <c r="F33" i="60"/>
  <c r="B33" i="60"/>
  <c r="V32" i="60"/>
  <c r="T32" i="60"/>
  <c r="Z32" i="60" s="1"/>
  <c r="R32" i="60"/>
  <c r="P32" i="60"/>
  <c r="X32" i="60" s="1"/>
  <c r="L32" i="60"/>
  <c r="N32" i="60" s="1"/>
  <c r="J32" i="60"/>
  <c r="H32" i="60"/>
  <c r="F32" i="60"/>
  <c r="D32" i="60"/>
  <c r="B32" i="60"/>
  <c r="X31" i="60"/>
  <c r="Z31" i="60" s="1"/>
  <c r="V31" i="60"/>
  <c r="R31" i="60"/>
  <c r="N31" i="60"/>
  <c r="L31" i="60"/>
  <c r="F31" i="60"/>
  <c r="B31" i="60"/>
  <c r="T30" i="60"/>
  <c r="R30" i="60"/>
  <c r="P30" i="60"/>
  <c r="X30" i="60" s="1"/>
  <c r="Z30" i="60" s="1"/>
  <c r="H30" i="60"/>
  <c r="F30" i="60"/>
  <c r="D30" i="60"/>
  <c r="B30" i="60"/>
  <c r="X29" i="60"/>
  <c r="Z29" i="60" s="1"/>
  <c r="R29" i="60"/>
  <c r="L29" i="60"/>
  <c r="N29" i="60" s="1"/>
  <c r="B29" i="60"/>
  <c r="Z28" i="60"/>
  <c r="V28" i="60"/>
  <c r="T28" i="60"/>
  <c r="X28" i="60" s="1"/>
  <c r="R28" i="60"/>
  <c r="P28" i="60"/>
  <c r="H28" i="60"/>
  <c r="D28" i="60"/>
  <c r="L28" i="60" s="1"/>
  <c r="N28" i="60" s="1"/>
  <c r="B28" i="60"/>
  <c r="X27" i="60"/>
  <c r="Z27" i="60" s="1"/>
  <c r="R27" i="60"/>
  <c r="N27" i="60"/>
  <c r="L27" i="60"/>
  <c r="F27" i="60"/>
  <c r="B27" i="60"/>
  <c r="X26" i="60"/>
  <c r="Z26" i="60" s="1"/>
  <c r="V26" i="60"/>
  <c r="N26" i="60"/>
  <c r="L26" i="60"/>
  <c r="B26" i="60"/>
  <c r="X25" i="60"/>
  <c r="Z25" i="60" s="1"/>
  <c r="R25" i="60"/>
  <c r="L25" i="60"/>
  <c r="N25" i="60" s="1"/>
  <c r="F25" i="60"/>
  <c r="B25" i="60"/>
  <c r="Z24" i="60"/>
  <c r="X24" i="60"/>
  <c r="V24" i="60"/>
  <c r="R24" i="60"/>
  <c r="N24" i="60"/>
  <c r="L24" i="60"/>
  <c r="F24" i="60"/>
  <c r="B24" i="60"/>
  <c r="X23" i="60"/>
  <c r="Z23" i="60" s="1"/>
  <c r="R23" i="60"/>
  <c r="L23" i="60"/>
  <c r="N23" i="60" s="1"/>
  <c r="F23" i="60"/>
  <c r="B23" i="60"/>
  <c r="X22" i="60"/>
  <c r="Z22" i="60" s="1"/>
  <c r="V22" i="60"/>
  <c r="N22" i="60"/>
  <c r="L22" i="60"/>
  <c r="B22" i="60"/>
  <c r="X21" i="60"/>
  <c r="Z21" i="60" s="1"/>
  <c r="R21" i="60"/>
  <c r="L21" i="60"/>
  <c r="N21" i="60" s="1"/>
  <c r="F21" i="60"/>
  <c r="B21" i="60"/>
  <c r="Z20" i="60"/>
  <c r="X20" i="60"/>
  <c r="V20" i="60"/>
  <c r="R20" i="60"/>
  <c r="N20" i="60"/>
  <c r="L20" i="60"/>
  <c r="F20" i="60"/>
  <c r="B20" i="60"/>
  <c r="X19" i="60"/>
  <c r="T19" i="60"/>
  <c r="Z19" i="60" s="1"/>
  <c r="P19" i="60"/>
  <c r="H19" i="60"/>
  <c r="F19" i="60"/>
  <c r="D19" i="60"/>
  <c r="L19" i="60" s="1"/>
  <c r="N19" i="60" s="1"/>
  <c r="B19" i="60"/>
  <c r="T18" i="60"/>
  <c r="R18" i="60"/>
  <c r="P18" i="60"/>
  <c r="H18" i="60"/>
  <c r="L18" i="60" s="1"/>
  <c r="F18" i="60"/>
  <c r="D18" i="60"/>
  <c r="R16" i="60"/>
  <c r="N16" i="60"/>
  <c r="H16" i="60"/>
  <c r="F16" i="60"/>
  <c r="Z14" i="60"/>
  <c r="T14" i="60"/>
  <c r="R14" i="60"/>
  <c r="P14" i="60"/>
  <c r="X14" i="60" s="1"/>
  <c r="H14" i="60"/>
  <c r="L14" i="60" s="1"/>
  <c r="F14" i="60"/>
  <c r="D14" i="60"/>
  <c r="Z12" i="60"/>
  <c r="T12" i="60"/>
  <c r="V43" i="60" s="1"/>
  <c r="P12" i="60"/>
  <c r="R19" i="60" s="1"/>
  <c r="H12" i="60"/>
  <c r="J39" i="60" s="1"/>
  <c r="D12" i="60"/>
  <c r="F51" i="60" s="1"/>
  <c r="D6" i="60"/>
  <c r="D4" i="60"/>
  <c r="V68" i="59"/>
  <c r="J68" i="59"/>
  <c r="V65" i="59"/>
  <c r="J65" i="59"/>
  <c r="Z63" i="59"/>
  <c r="X63" i="59"/>
  <c r="V63" i="59"/>
  <c r="N63" i="59"/>
  <c r="L63" i="59"/>
  <c r="J63" i="59"/>
  <c r="R61" i="59"/>
  <c r="J61" i="59"/>
  <c r="Z59" i="59"/>
  <c r="T59" i="59"/>
  <c r="X59" i="59" s="1"/>
  <c r="R59" i="59"/>
  <c r="P59" i="59"/>
  <c r="N59" i="59"/>
  <c r="J59" i="59"/>
  <c r="H59" i="59"/>
  <c r="F59" i="59"/>
  <c r="D59" i="59"/>
  <c r="L59" i="59" s="1"/>
  <c r="Z57" i="59"/>
  <c r="X57" i="59"/>
  <c r="R57" i="59"/>
  <c r="N57" i="59"/>
  <c r="L57" i="59"/>
  <c r="J57" i="59"/>
  <c r="B57" i="59"/>
  <c r="X56" i="59"/>
  <c r="Z56" i="59" s="1"/>
  <c r="V56" i="59"/>
  <c r="R56" i="59"/>
  <c r="N56" i="59"/>
  <c r="L56" i="59"/>
  <c r="J56" i="59"/>
  <c r="B56" i="59"/>
  <c r="T55" i="59"/>
  <c r="R55" i="59"/>
  <c r="P55" i="59"/>
  <c r="X55" i="59" s="1"/>
  <c r="Z55" i="59" s="1"/>
  <c r="N55" i="59"/>
  <c r="J55" i="59"/>
  <c r="H55" i="59"/>
  <c r="L55" i="59" s="1"/>
  <c r="F55" i="59"/>
  <c r="D55" i="59"/>
  <c r="B55" i="59"/>
  <c r="X54" i="59"/>
  <c r="Z54" i="59" s="1"/>
  <c r="R54" i="59"/>
  <c r="N54" i="59"/>
  <c r="L54" i="59"/>
  <c r="J54" i="59"/>
  <c r="B54" i="59"/>
  <c r="Z53" i="59"/>
  <c r="V53" i="59"/>
  <c r="T53" i="59"/>
  <c r="X53" i="59" s="1"/>
  <c r="P53" i="59"/>
  <c r="N53" i="59"/>
  <c r="J53" i="59"/>
  <c r="H53" i="59"/>
  <c r="D53" i="59"/>
  <c r="L53" i="59" s="1"/>
  <c r="B53" i="59"/>
  <c r="X52" i="59"/>
  <c r="Z52" i="59" s="1"/>
  <c r="L52" i="59"/>
  <c r="N52" i="59" s="1"/>
  <c r="J52" i="59"/>
  <c r="B52" i="59"/>
  <c r="X51" i="59"/>
  <c r="Z51" i="59" s="1"/>
  <c r="V51" i="59"/>
  <c r="N51" i="59"/>
  <c r="L51" i="59"/>
  <c r="J51" i="59"/>
  <c r="B51" i="59"/>
  <c r="T50" i="59"/>
  <c r="R50" i="59"/>
  <c r="P50" i="59"/>
  <c r="X50" i="59" s="1"/>
  <c r="Z50" i="59" s="1"/>
  <c r="J50" i="59"/>
  <c r="H50" i="59"/>
  <c r="D50" i="59"/>
  <c r="L50" i="59" s="1"/>
  <c r="B50" i="59"/>
  <c r="Z49" i="59"/>
  <c r="X49" i="59"/>
  <c r="R49" i="59"/>
  <c r="N49" i="59"/>
  <c r="L49" i="59"/>
  <c r="J49" i="59"/>
  <c r="B49" i="59"/>
  <c r="X48" i="59"/>
  <c r="V48" i="59"/>
  <c r="T48" i="59"/>
  <c r="P48" i="59"/>
  <c r="H48" i="59"/>
  <c r="L48" i="59" s="1"/>
  <c r="N48" i="59" s="1"/>
  <c r="D48" i="59"/>
  <c r="B48" i="59"/>
  <c r="Z47" i="59"/>
  <c r="X47" i="59"/>
  <c r="V47" i="59"/>
  <c r="N47" i="59"/>
  <c r="L47" i="59"/>
  <c r="J47" i="59"/>
  <c r="B47" i="59"/>
  <c r="X46" i="59"/>
  <c r="Z46" i="59" s="1"/>
  <c r="R46" i="59"/>
  <c r="L46" i="59"/>
  <c r="N46" i="59" s="1"/>
  <c r="J46" i="59"/>
  <c r="B46" i="59"/>
  <c r="Z45" i="59"/>
  <c r="X45" i="59"/>
  <c r="V45" i="59"/>
  <c r="N45" i="59"/>
  <c r="L45" i="59"/>
  <c r="J45" i="59"/>
  <c r="B45" i="59"/>
  <c r="V44" i="59"/>
  <c r="T44" i="59"/>
  <c r="P44" i="59"/>
  <c r="X44" i="59" s="1"/>
  <c r="H44" i="59"/>
  <c r="D44" i="59"/>
  <c r="L44" i="59" s="1"/>
  <c r="B44" i="59"/>
  <c r="X43" i="59"/>
  <c r="Z43" i="59" s="1"/>
  <c r="V43" i="59"/>
  <c r="N43" i="59"/>
  <c r="L43" i="59"/>
  <c r="J43" i="59"/>
  <c r="B43" i="59"/>
  <c r="X42" i="59"/>
  <c r="Z42" i="59" s="1"/>
  <c r="T42" i="59"/>
  <c r="R42" i="59"/>
  <c r="P42" i="59"/>
  <c r="L42" i="59"/>
  <c r="J42" i="59"/>
  <c r="H42" i="59"/>
  <c r="D42" i="59"/>
  <c r="B42" i="59"/>
  <c r="Z41" i="59"/>
  <c r="X41" i="59"/>
  <c r="R41" i="59"/>
  <c r="N41" i="59"/>
  <c r="L41" i="59"/>
  <c r="J41" i="59"/>
  <c r="B41" i="59"/>
  <c r="X40" i="59"/>
  <c r="V40" i="59"/>
  <c r="T40" i="59"/>
  <c r="Z40" i="59" s="1"/>
  <c r="P40" i="59"/>
  <c r="N40" i="59"/>
  <c r="L40" i="59"/>
  <c r="H40" i="59"/>
  <c r="D40" i="59"/>
  <c r="B40" i="59"/>
  <c r="Z39" i="59"/>
  <c r="X39" i="59"/>
  <c r="V39" i="59"/>
  <c r="L39" i="59"/>
  <c r="N39" i="59" s="1"/>
  <c r="J39" i="59"/>
  <c r="B39" i="59"/>
  <c r="T38" i="59"/>
  <c r="R38" i="59"/>
  <c r="P38" i="59"/>
  <c r="X38" i="59" s="1"/>
  <c r="J38" i="59"/>
  <c r="H38" i="59"/>
  <c r="D38" i="59"/>
  <c r="B38" i="59"/>
  <c r="Z37" i="59"/>
  <c r="X37" i="59"/>
  <c r="V37" i="59"/>
  <c r="R37" i="59"/>
  <c r="N37" i="59"/>
  <c r="L37" i="59"/>
  <c r="J37" i="59"/>
  <c r="F37" i="59"/>
  <c r="B37" i="59"/>
  <c r="X36" i="59"/>
  <c r="T36" i="59"/>
  <c r="P36" i="59"/>
  <c r="N36" i="59"/>
  <c r="J36" i="59"/>
  <c r="H36" i="59"/>
  <c r="D36" i="59"/>
  <c r="L36" i="59" s="1"/>
  <c r="B36" i="59"/>
  <c r="Z35" i="59"/>
  <c r="X35" i="59"/>
  <c r="N35" i="59"/>
  <c r="L35" i="59"/>
  <c r="J35" i="59"/>
  <c r="B35" i="59"/>
  <c r="X34" i="59"/>
  <c r="Z34" i="59" s="1"/>
  <c r="R34" i="59"/>
  <c r="N34" i="59"/>
  <c r="L34" i="59"/>
  <c r="B34" i="59"/>
  <c r="Z33" i="59"/>
  <c r="X33" i="59"/>
  <c r="R33" i="59"/>
  <c r="N33" i="59"/>
  <c r="L33" i="59"/>
  <c r="J33" i="59"/>
  <c r="B33" i="59"/>
  <c r="X32" i="59"/>
  <c r="Z32" i="59" s="1"/>
  <c r="V32" i="59"/>
  <c r="R32" i="59"/>
  <c r="L32" i="59"/>
  <c r="N32" i="59" s="1"/>
  <c r="J32" i="59"/>
  <c r="B32" i="59"/>
  <c r="Z31" i="59"/>
  <c r="X31" i="59"/>
  <c r="L31" i="59"/>
  <c r="N31" i="59" s="1"/>
  <c r="J31" i="59"/>
  <c r="B31" i="59"/>
  <c r="X30" i="59"/>
  <c r="T30" i="59"/>
  <c r="Z30" i="59" s="1"/>
  <c r="P30" i="59"/>
  <c r="J30" i="59"/>
  <c r="H30" i="59"/>
  <c r="L30" i="59" s="1"/>
  <c r="D30" i="59"/>
  <c r="B30" i="59"/>
  <c r="Z29" i="59"/>
  <c r="X29" i="59"/>
  <c r="V29" i="59"/>
  <c r="N29" i="59"/>
  <c r="L29" i="59"/>
  <c r="J29" i="59"/>
  <c r="F29" i="59"/>
  <c r="B29" i="59"/>
  <c r="X28" i="59"/>
  <c r="Z28" i="59" s="1"/>
  <c r="V28" i="59"/>
  <c r="R28" i="59"/>
  <c r="L28" i="59"/>
  <c r="N28" i="59" s="1"/>
  <c r="J28" i="59"/>
  <c r="B28" i="59"/>
  <c r="X27" i="59"/>
  <c r="Z27" i="59" s="1"/>
  <c r="V27" i="59"/>
  <c r="L27" i="59"/>
  <c r="N27" i="59" s="1"/>
  <c r="J27" i="59"/>
  <c r="B27" i="59"/>
  <c r="X26" i="59"/>
  <c r="Z26" i="59" s="1"/>
  <c r="R26" i="59"/>
  <c r="L26" i="59"/>
  <c r="N26" i="59" s="1"/>
  <c r="J26" i="59"/>
  <c r="B26" i="59"/>
  <c r="Z25" i="59"/>
  <c r="X25" i="59"/>
  <c r="V25" i="59"/>
  <c r="N25" i="59"/>
  <c r="L25" i="59"/>
  <c r="J25" i="59"/>
  <c r="F25" i="59"/>
  <c r="B25" i="59"/>
  <c r="X24" i="59"/>
  <c r="Z24" i="59" s="1"/>
  <c r="V24" i="59"/>
  <c r="R24" i="59"/>
  <c r="L24" i="59"/>
  <c r="N24" i="59" s="1"/>
  <c r="J24" i="59"/>
  <c r="B24" i="59"/>
  <c r="Z23" i="59"/>
  <c r="X23" i="59"/>
  <c r="V23" i="59"/>
  <c r="L23" i="59"/>
  <c r="N23" i="59" s="1"/>
  <c r="J23" i="59"/>
  <c r="B23" i="59"/>
  <c r="X22" i="59"/>
  <c r="Z22" i="59" s="1"/>
  <c r="R22" i="59"/>
  <c r="L22" i="59"/>
  <c r="N22" i="59" s="1"/>
  <c r="J22" i="59"/>
  <c r="B22" i="59"/>
  <c r="Z21" i="59"/>
  <c r="X21" i="59"/>
  <c r="V21" i="59"/>
  <c r="N21" i="59"/>
  <c r="L21" i="59"/>
  <c r="J21" i="59"/>
  <c r="B21" i="59"/>
  <c r="X20" i="59"/>
  <c r="Z20" i="59" s="1"/>
  <c r="V20" i="59"/>
  <c r="R20" i="59"/>
  <c r="L20" i="59"/>
  <c r="N20" i="59" s="1"/>
  <c r="J20" i="59"/>
  <c r="B20" i="59"/>
  <c r="Z19" i="59"/>
  <c r="V19" i="59"/>
  <c r="T19" i="59"/>
  <c r="P19" i="59"/>
  <c r="X19" i="59" s="1"/>
  <c r="N19" i="59"/>
  <c r="J19" i="59"/>
  <c r="H19" i="59"/>
  <c r="D19" i="59"/>
  <c r="L19" i="59" s="1"/>
  <c r="B19" i="59"/>
  <c r="T18" i="59"/>
  <c r="T61" i="59" s="1"/>
  <c r="R18" i="59"/>
  <c r="P18" i="59"/>
  <c r="X18" i="59" s="1"/>
  <c r="Z18" i="59" s="1"/>
  <c r="J18" i="59"/>
  <c r="H18" i="59"/>
  <c r="D18" i="59"/>
  <c r="Z16" i="59"/>
  <c r="R16" i="59"/>
  <c r="J16" i="59"/>
  <c r="Z14" i="59"/>
  <c r="X14" i="59"/>
  <c r="T14" i="59"/>
  <c r="T16" i="59" s="1"/>
  <c r="R14" i="59"/>
  <c r="P14" i="59"/>
  <c r="P16" i="59" s="1"/>
  <c r="L14" i="59"/>
  <c r="J14" i="59"/>
  <c r="H14" i="59"/>
  <c r="H16" i="59" s="1"/>
  <c r="D14" i="59"/>
  <c r="Z12" i="59"/>
  <c r="X12" i="59"/>
  <c r="T12" i="59"/>
  <c r="V52" i="59" s="1"/>
  <c r="P12" i="59"/>
  <c r="R63" i="59" s="1"/>
  <c r="N12" i="59"/>
  <c r="H12" i="59"/>
  <c r="J44" i="59" s="1"/>
  <c r="D12" i="59"/>
  <c r="F36" i="59" s="1"/>
  <c r="D6" i="59"/>
  <c r="D4" i="59"/>
  <c r="V80" i="58"/>
  <c r="V77" i="58"/>
  <c r="Z75" i="58"/>
  <c r="X75" i="58"/>
  <c r="V75" i="58"/>
  <c r="R75" i="58"/>
  <c r="N75" i="58"/>
  <c r="L75" i="58"/>
  <c r="J75" i="58"/>
  <c r="F75" i="58"/>
  <c r="F73" i="58"/>
  <c r="X71" i="58"/>
  <c r="T71" i="58"/>
  <c r="Z71" i="58" s="1"/>
  <c r="P71" i="58"/>
  <c r="N71" i="58"/>
  <c r="L71" i="58"/>
  <c r="H71" i="58"/>
  <c r="F71" i="58"/>
  <c r="D71" i="58"/>
  <c r="X69" i="58"/>
  <c r="Z69" i="58" s="1"/>
  <c r="N69" i="58"/>
  <c r="L69" i="58"/>
  <c r="F69" i="58"/>
  <c r="B69" i="58"/>
  <c r="X68" i="58"/>
  <c r="Z68" i="58" s="1"/>
  <c r="V68" i="58"/>
  <c r="T68" i="58"/>
  <c r="P68" i="58"/>
  <c r="H68" i="58"/>
  <c r="N68" i="58" s="1"/>
  <c r="F68" i="58"/>
  <c r="D68" i="58"/>
  <c r="B68" i="58"/>
  <c r="X67" i="58"/>
  <c r="Z67" i="58" s="1"/>
  <c r="L67" i="58"/>
  <c r="N67" i="58" s="1"/>
  <c r="F67" i="58"/>
  <c r="B67" i="58"/>
  <c r="T66" i="58"/>
  <c r="X66" i="58" s="1"/>
  <c r="R66" i="58"/>
  <c r="P66" i="58"/>
  <c r="H66" i="58"/>
  <c r="F66" i="58"/>
  <c r="D66" i="58"/>
  <c r="L66" i="58" s="1"/>
  <c r="N66" i="58" s="1"/>
  <c r="B66" i="58"/>
  <c r="X65" i="58"/>
  <c r="Z65" i="58" s="1"/>
  <c r="V65" i="58"/>
  <c r="L65" i="58"/>
  <c r="N65" i="58" s="1"/>
  <c r="B65" i="58"/>
  <c r="V64" i="58"/>
  <c r="T64" i="58"/>
  <c r="P64" i="58"/>
  <c r="X64" i="58" s="1"/>
  <c r="Z64" i="58" s="1"/>
  <c r="N64" i="58"/>
  <c r="H64" i="58"/>
  <c r="D64" i="58"/>
  <c r="L64" i="58" s="1"/>
  <c r="B64" i="58"/>
  <c r="X63" i="58"/>
  <c r="Z63" i="58" s="1"/>
  <c r="N63" i="58"/>
  <c r="L63" i="58"/>
  <c r="F63" i="58"/>
  <c r="B63" i="58"/>
  <c r="Z62" i="58"/>
  <c r="X62" i="58"/>
  <c r="V62" i="58"/>
  <c r="R62" i="58"/>
  <c r="N62" i="58"/>
  <c r="L62" i="58"/>
  <c r="F62" i="58"/>
  <c r="B62" i="58"/>
  <c r="X61" i="58"/>
  <c r="Z61" i="58" s="1"/>
  <c r="L61" i="58"/>
  <c r="N61" i="58" s="1"/>
  <c r="F61" i="58"/>
  <c r="B61" i="58"/>
  <c r="Z60" i="58"/>
  <c r="X60" i="58"/>
  <c r="V60" i="58"/>
  <c r="N60" i="58"/>
  <c r="L60" i="58"/>
  <c r="B60" i="58"/>
  <c r="X59" i="58"/>
  <c r="Z59" i="58" s="1"/>
  <c r="T59" i="58"/>
  <c r="P59" i="58"/>
  <c r="L59" i="58"/>
  <c r="H59" i="58"/>
  <c r="N59" i="58" s="1"/>
  <c r="D59" i="58"/>
  <c r="B59" i="58"/>
  <c r="Z58" i="58"/>
  <c r="X58" i="58"/>
  <c r="N58" i="58"/>
  <c r="L58" i="58"/>
  <c r="B58" i="58"/>
  <c r="V57" i="58"/>
  <c r="T57" i="58"/>
  <c r="P57" i="58"/>
  <c r="N57" i="58"/>
  <c r="L57" i="58"/>
  <c r="H57" i="58"/>
  <c r="D57" i="58"/>
  <c r="B57" i="58"/>
  <c r="Z56" i="58"/>
  <c r="X56" i="58"/>
  <c r="V56" i="58"/>
  <c r="L56" i="58"/>
  <c r="N56" i="58" s="1"/>
  <c r="B56" i="58"/>
  <c r="X55" i="58"/>
  <c r="Z55" i="58" s="1"/>
  <c r="R55" i="58"/>
  <c r="N55" i="58"/>
  <c r="L55" i="58"/>
  <c r="B55" i="58"/>
  <c r="Z54" i="58"/>
  <c r="V54" i="58"/>
  <c r="T54" i="58"/>
  <c r="P54" i="58"/>
  <c r="X54" i="58" s="1"/>
  <c r="J54" i="58"/>
  <c r="H54" i="58"/>
  <c r="D54" i="58"/>
  <c r="L54" i="58" s="1"/>
  <c r="N54" i="58" s="1"/>
  <c r="B54" i="58"/>
  <c r="X53" i="58"/>
  <c r="Z53" i="58" s="1"/>
  <c r="N53" i="58"/>
  <c r="L53" i="58"/>
  <c r="F53" i="58"/>
  <c r="B53" i="58"/>
  <c r="X52" i="58"/>
  <c r="Z52" i="58" s="1"/>
  <c r="V52" i="58"/>
  <c r="N52" i="58"/>
  <c r="L52" i="58"/>
  <c r="B52" i="58"/>
  <c r="Z51" i="58"/>
  <c r="X51" i="58"/>
  <c r="N51" i="58"/>
  <c r="L51" i="58"/>
  <c r="F51" i="58"/>
  <c r="B51" i="58"/>
  <c r="V50" i="58"/>
  <c r="T50" i="58"/>
  <c r="P50" i="58"/>
  <c r="X50" i="58" s="1"/>
  <c r="N50" i="58"/>
  <c r="L50" i="58"/>
  <c r="J50" i="58"/>
  <c r="H50" i="58"/>
  <c r="F50" i="58"/>
  <c r="D50" i="58"/>
  <c r="B50" i="58"/>
  <c r="X49" i="58"/>
  <c r="Z49" i="58" s="1"/>
  <c r="V49" i="58"/>
  <c r="L49" i="58"/>
  <c r="N49" i="58" s="1"/>
  <c r="J49" i="58"/>
  <c r="F49" i="58"/>
  <c r="B49" i="58"/>
  <c r="Z48" i="58"/>
  <c r="T48" i="58"/>
  <c r="P48" i="58"/>
  <c r="X48" i="58" s="1"/>
  <c r="N48" i="58"/>
  <c r="H48" i="58"/>
  <c r="L48" i="58" s="1"/>
  <c r="F48" i="58"/>
  <c r="D48" i="58"/>
  <c r="B48" i="58"/>
  <c r="X47" i="58"/>
  <c r="Z47" i="58" s="1"/>
  <c r="N47" i="58"/>
  <c r="L47" i="58"/>
  <c r="B47" i="58"/>
  <c r="V46" i="58"/>
  <c r="T46" i="58"/>
  <c r="X46" i="58" s="1"/>
  <c r="Z46" i="58" s="1"/>
  <c r="P46" i="58"/>
  <c r="N46" i="58"/>
  <c r="L46" i="58"/>
  <c r="H46" i="58"/>
  <c r="D46" i="58"/>
  <c r="B46" i="58"/>
  <c r="X45" i="58"/>
  <c r="Z45" i="58" s="1"/>
  <c r="L45" i="58"/>
  <c r="N45" i="58" s="1"/>
  <c r="F45" i="58"/>
  <c r="B45" i="58"/>
  <c r="X44" i="58"/>
  <c r="Z44" i="58" s="1"/>
  <c r="V44" i="58"/>
  <c r="T44" i="58"/>
  <c r="R44" i="58"/>
  <c r="P44" i="58"/>
  <c r="H44" i="58"/>
  <c r="F44" i="58"/>
  <c r="D44" i="58"/>
  <c r="B44" i="58"/>
  <c r="Z43" i="58"/>
  <c r="X43" i="58"/>
  <c r="N43" i="58"/>
  <c r="L43" i="58"/>
  <c r="F43" i="58"/>
  <c r="B43" i="58"/>
  <c r="T42" i="58"/>
  <c r="R42" i="58"/>
  <c r="P42" i="58"/>
  <c r="N42" i="58"/>
  <c r="H42" i="58"/>
  <c r="F42" i="58"/>
  <c r="D42" i="58"/>
  <c r="L42" i="58" s="1"/>
  <c r="B42" i="58"/>
  <c r="X41" i="58"/>
  <c r="Z41" i="58" s="1"/>
  <c r="V41" i="58"/>
  <c r="R41" i="58"/>
  <c r="N41" i="58"/>
  <c r="L41" i="58"/>
  <c r="B41" i="58"/>
  <c r="X40" i="58"/>
  <c r="Z40" i="58" s="1"/>
  <c r="V40" i="58"/>
  <c r="T40" i="58"/>
  <c r="P40" i="58"/>
  <c r="N40" i="58"/>
  <c r="H40" i="58"/>
  <c r="D40" i="58"/>
  <c r="L40" i="58" s="1"/>
  <c r="B40" i="58"/>
  <c r="Z39" i="58"/>
  <c r="X39" i="58"/>
  <c r="N39" i="58"/>
  <c r="L39" i="58"/>
  <c r="F39" i="58"/>
  <c r="B39" i="58"/>
  <c r="V38" i="58"/>
  <c r="T38" i="58"/>
  <c r="R38" i="58"/>
  <c r="P38" i="58"/>
  <c r="X38" i="58" s="1"/>
  <c r="N38" i="58"/>
  <c r="L38" i="58"/>
  <c r="J38" i="58"/>
  <c r="H38" i="58"/>
  <c r="F38" i="58"/>
  <c r="D38" i="58"/>
  <c r="B38" i="58"/>
  <c r="X37" i="58"/>
  <c r="Z37" i="58" s="1"/>
  <c r="V37" i="58"/>
  <c r="N37" i="58"/>
  <c r="L37" i="58"/>
  <c r="J37" i="58"/>
  <c r="F37" i="58"/>
  <c r="B37" i="58"/>
  <c r="Z36" i="58"/>
  <c r="T36" i="58"/>
  <c r="P36" i="58"/>
  <c r="X36" i="58" s="1"/>
  <c r="N36" i="58"/>
  <c r="H36" i="58"/>
  <c r="L36" i="58" s="1"/>
  <c r="F36" i="58"/>
  <c r="D36" i="58"/>
  <c r="B36" i="58"/>
  <c r="Z35" i="58"/>
  <c r="X35" i="58"/>
  <c r="R35" i="58"/>
  <c r="N35" i="58"/>
  <c r="L35" i="58"/>
  <c r="B35" i="58"/>
  <c r="Z34" i="58"/>
  <c r="X34" i="58"/>
  <c r="V34" i="58"/>
  <c r="N34" i="58"/>
  <c r="L34" i="58"/>
  <c r="F34" i="58"/>
  <c r="B34" i="58"/>
  <c r="X33" i="58"/>
  <c r="Z33" i="58" s="1"/>
  <c r="V33" i="58"/>
  <c r="L33" i="58"/>
  <c r="N33" i="58" s="1"/>
  <c r="F33" i="58"/>
  <c r="B33" i="58"/>
  <c r="X32" i="58"/>
  <c r="Z32" i="58" s="1"/>
  <c r="V32" i="58"/>
  <c r="N32" i="58"/>
  <c r="L32" i="58"/>
  <c r="B32" i="58"/>
  <c r="X31" i="58"/>
  <c r="Z31" i="58" s="1"/>
  <c r="L31" i="58"/>
  <c r="N31" i="58" s="1"/>
  <c r="F31" i="58"/>
  <c r="B31" i="58"/>
  <c r="V30" i="58"/>
  <c r="T30" i="58"/>
  <c r="P30" i="58"/>
  <c r="X30" i="58" s="1"/>
  <c r="Z30" i="58" s="1"/>
  <c r="L30" i="58"/>
  <c r="N30" i="58" s="1"/>
  <c r="J30" i="58"/>
  <c r="H30" i="58"/>
  <c r="F30" i="58"/>
  <c r="D30" i="58"/>
  <c r="B30" i="58"/>
  <c r="X29" i="58"/>
  <c r="Z29" i="58" s="1"/>
  <c r="N29" i="58"/>
  <c r="L29" i="58"/>
  <c r="F29" i="58"/>
  <c r="B29" i="58"/>
  <c r="X28" i="58"/>
  <c r="Z28" i="58" s="1"/>
  <c r="V28" i="58"/>
  <c r="N28" i="58"/>
  <c r="L28" i="58"/>
  <c r="B28" i="58"/>
  <c r="Z27" i="58"/>
  <c r="X27" i="58"/>
  <c r="L27" i="58"/>
  <c r="N27" i="58" s="1"/>
  <c r="F27" i="58"/>
  <c r="B27" i="58"/>
  <c r="Z26" i="58"/>
  <c r="X26" i="58"/>
  <c r="V26" i="58"/>
  <c r="N26" i="58"/>
  <c r="L26" i="58"/>
  <c r="F26" i="58"/>
  <c r="B26" i="58"/>
  <c r="X25" i="58"/>
  <c r="Z25" i="58" s="1"/>
  <c r="N25" i="58"/>
  <c r="L25" i="58"/>
  <c r="J25" i="58"/>
  <c r="F25" i="58"/>
  <c r="B25" i="58"/>
  <c r="X24" i="58"/>
  <c r="Z24" i="58" s="1"/>
  <c r="V24" i="58"/>
  <c r="N24" i="58"/>
  <c r="L24" i="58"/>
  <c r="B24" i="58"/>
  <c r="X23" i="58"/>
  <c r="Z23" i="58" s="1"/>
  <c r="L23" i="58"/>
  <c r="N23" i="58" s="1"/>
  <c r="F23" i="58"/>
  <c r="B23" i="58"/>
  <c r="Z22" i="58"/>
  <c r="X22" i="58"/>
  <c r="V22" i="58"/>
  <c r="N22" i="58"/>
  <c r="L22" i="58"/>
  <c r="F22" i="58"/>
  <c r="B22" i="58"/>
  <c r="X21" i="58"/>
  <c r="Z21" i="58" s="1"/>
  <c r="L21" i="58"/>
  <c r="N21" i="58" s="1"/>
  <c r="J21" i="58"/>
  <c r="F21" i="58"/>
  <c r="B21" i="58"/>
  <c r="X20" i="58"/>
  <c r="Z20" i="58" s="1"/>
  <c r="V20" i="58"/>
  <c r="N20" i="58"/>
  <c r="L20" i="58"/>
  <c r="B20" i="58"/>
  <c r="T19" i="58"/>
  <c r="R19" i="58"/>
  <c r="P19" i="58"/>
  <c r="X19" i="58" s="1"/>
  <c r="Z19" i="58" s="1"/>
  <c r="H19" i="58"/>
  <c r="N19" i="58" s="1"/>
  <c r="D19" i="58"/>
  <c r="L19" i="58" s="1"/>
  <c r="B19" i="58"/>
  <c r="T18" i="58"/>
  <c r="X18" i="58" s="1"/>
  <c r="R18" i="58"/>
  <c r="P18" i="58"/>
  <c r="H18" i="58"/>
  <c r="F18" i="58"/>
  <c r="D18" i="58"/>
  <c r="T16" i="58"/>
  <c r="R16" i="58"/>
  <c r="F16" i="58"/>
  <c r="Z14" i="58"/>
  <c r="T14" i="58"/>
  <c r="X14" i="58" s="1"/>
  <c r="R14" i="58"/>
  <c r="P14" i="58"/>
  <c r="N14" i="58"/>
  <c r="H14" i="58"/>
  <c r="F14" i="58"/>
  <c r="D14" i="58"/>
  <c r="Z12" i="58"/>
  <c r="T12" i="58"/>
  <c r="V73" i="58" s="1"/>
  <c r="P12" i="58"/>
  <c r="R43" i="58" s="1"/>
  <c r="N12" i="58"/>
  <c r="H12" i="58"/>
  <c r="J58" i="58" s="1"/>
  <c r="D12" i="58"/>
  <c r="F80" i="58" s="1"/>
  <c r="D6" i="58"/>
  <c r="D4" i="58"/>
  <c r="V74" i="57"/>
  <c r="J74" i="57"/>
  <c r="Z72" i="57"/>
  <c r="X72" i="57"/>
  <c r="N72" i="57"/>
  <c r="L72" i="57"/>
  <c r="R70" i="57"/>
  <c r="F70" i="57"/>
  <c r="Z68" i="57"/>
  <c r="T68" i="57"/>
  <c r="R68" i="57"/>
  <c r="P68" i="57"/>
  <c r="X68" i="57" s="1"/>
  <c r="N68" i="57"/>
  <c r="H68" i="57"/>
  <c r="L68" i="57" s="1"/>
  <c r="F68" i="57"/>
  <c r="D68" i="57"/>
  <c r="Z66" i="57"/>
  <c r="X66" i="57"/>
  <c r="N66" i="57"/>
  <c r="L66" i="57"/>
  <c r="J66" i="57"/>
  <c r="B66" i="57"/>
  <c r="X65" i="57"/>
  <c r="T65" i="57"/>
  <c r="Z65" i="57" s="1"/>
  <c r="P65" i="57"/>
  <c r="J65" i="57"/>
  <c r="H65" i="57"/>
  <c r="N65" i="57" s="1"/>
  <c r="D65" i="57"/>
  <c r="B65" i="57"/>
  <c r="Z64" i="57"/>
  <c r="X64" i="57"/>
  <c r="V64" i="57"/>
  <c r="N64" i="57"/>
  <c r="L64" i="57"/>
  <c r="J64" i="57"/>
  <c r="F64" i="57"/>
  <c r="B64" i="57"/>
  <c r="V63" i="57"/>
  <c r="T63" i="57"/>
  <c r="P63" i="57"/>
  <c r="H63" i="57"/>
  <c r="N63" i="57" s="1"/>
  <c r="F63" i="57"/>
  <c r="D63" i="57"/>
  <c r="L63" i="57" s="1"/>
  <c r="B63" i="57"/>
  <c r="X62" i="57"/>
  <c r="Z62" i="57" s="1"/>
  <c r="V62" i="57"/>
  <c r="N62" i="57"/>
  <c r="L62" i="57"/>
  <c r="B62" i="57"/>
  <c r="Z61" i="57"/>
  <c r="X61" i="57"/>
  <c r="T61" i="57"/>
  <c r="R61" i="57"/>
  <c r="P61" i="57"/>
  <c r="L61" i="57"/>
  <c r="H61" i="57"/>
  <c r="N61" i="57" s="1"/>
  <c r="D61" i="57"/>
  <c r="B61" i="57"/>
  <c r="Z60" i="57"/>
  <c r="X60" i="57"/>
  <c r="R60" i="57"/>
  <c r="N60" i="57"/>
  <c r="L60" i="57"/>
  <c r="B60" i="57"/>
  <c r="X59" i="57"/>
  <c r="Z59" i="57" s="1"/>
  <c r="V59" i="57"/>
  <c r="R59" i="57"/>
  <c r="L59" i="57"/>
  <c r="N59" i="57" s="1"/>
  <c r="J59" i="57"/>
  <c r="F59" i="57"/>
  <c r="B59" i="57"/>
  <c r="Z58" i="57"/>
  <c r="X58" i="57"/>
  <c r="N58" i="57"/>
  <c r="L58" i="57"/>
  <c r="J58" i="57"/>
  <c r="B58" i="57"/>
  <c r="X57" i="57"/>
  <c r="Z57" i="57" s="1"/>
  <c r="T57" i="57"/>
  <c r="P57" i="57"/>
  <c r="L57" i="57"/>
  <c r="H57" i="57"/>
  <c r="D57" i="57"/>
  <c r="B57" i="57"/>
  <c r="Z56" i="57"/>
  <c r="X56" i="57"/>
  <c r="V56" i="57"/>
  <c r="N56" i="57"/>
  <c r="L56" i="57"/>
  <c r="F56" i="57"/>
  <c r="B56" i="57"/>
  <c r="V55" i="57"/>
  <c r="T55" i="57"/>
  <c r="P55" i="57"/>
  <c r="X55" i="57" s="1"/>
  <c r="H55" i="57"/>
  <c r="N55" i="57" s="1"/>
  <c r="F55" i="57"/>
  <c r="D55" i="57"/>
  <c r="B55" i="57"/>
  <c r="X54" i="57"/>
  <c r="Z54" i="57" s="1"/>
  <c r="V54" i="57"/>
  <c r="N54" i="57"/>
  <c r="L54" i="57"/>
  <c r="B54" i="57"/>
  <c r="X53" i="57"/>
  <c r="Z53" i="57" s="1"/>
  <c r="T53" i="57"/>
  <c r="R53" i="57"/>
  <c r="P53" i="57"/>
  <c r="H53" i="57"/>
  <c r="D53" i="57"/>
  <c r="L53" i="57" s="1"/>
  <c r="B53" i="57"/>
  <c r="Z52" i="57"/>
  <c r="X52" i="57"/>
  <c r="R52" i="57"/>
  <c r="N52" i="57"/>
  <c r="L52" i="57"/>
  <c r="J52" i="57"/>
  <c r="B52" i="57"/>
  <c r="X51" i="57"/>
  <c r="Z51" i="57" s="1"/>
  <c r="V51" i="57"/>
  <c r="R51" i="57"/>
  <c r="L51" i="57"/>
  <c r="N51" i="57" s="1"/>
  <c r="J51" i="57"/>
  <c r="F51" i="57"/>
  <c r="B51" i="57"/>
  <c r="Z50" i="57"/>
  <c r="X50" i="57"/>
  <c r="N50" i="57"/>
  <c r="L50" i="57"/>
  <c r="J50" i="57"/>
  <c r="B50" i="57"/>
  <c r="T49" i="57"/>
  <c r="P49" i="57"/>
  <c r="J49" i="57"/>
  <c r="H49" i="57"/>
  <c r="L49" i="57" s="1"/>
  <c r="D49" i="57"/>
  <c r="B49" i="57"/>
  <c r="Z48" i="57"/>
  <c r="X48" i="57"/>
  <c r="N48" i="57"/>
  <c r="L48" i="57"/>
  <c r="J48" i="57"/>
  <c r="F48" i="57"/>
  <c r="B48" i="57"/>
  <c r="V47" i="57"/>
  <c r="T47" i="57"/>
  <c r="P47" i="57"/>
  <c r="H47" i="57"/>
  <c r="N47" i="57" s="1"/>
  <c r="F47" i="57"/>
  <c r="D47" i="57"/>
  <c r="L47" i="57" s="1"/>
  <c r="B47" i="57"/>
  <c r="X46" i="57"/>
  <c r="Z46" i="57" s="1"/>
  <c r="V46" i="57"/>
  <c r="N46" i="57"/>
  <c r="L46" i="57"/>
  <c r="B46" i="57"/>
  <c r="Z45" i="57"/>
  <c r="X45" i="57"/>
  <c r="T45" i="57"/>
  <c r="R45" i="57"/>
  <c r="P45" i="57"/>
  <c r="L45" i="57"/>
  <c r="H45" i="57"/>
  <c r="D45" i="57"/>
  <c r="B45" i="57"/>
  <c r="Z44" i="57"/>
  <c r="X44" i="57"/>
  <c r="R44" i="57"/>
  <c r="N44" i="57"/>
  <c r="L44" i="57"/>
  <c r="B44" i="57"/>
  <c r="Z43" i="57"/>
  <c r="X43" i="57"/>
  <c r="R43" i="57"/>
  <c r="N43" i="57"/>
  <c r="L43" i="57"/>
  <c r="J43" i="57"/>
  <c r="F43" i="57"/>
  <c r="B43" i="57"/>
  <c r="Z42" i="57"/>
  <c r="T42" i="57"/>
  <c r="R42" i="57"/>
  <c r="P42" i="57"/>
  <c r="X42" i="57" s="1"/>
  <c r="N42" i="57"/>
  <c r="H42" i="57"/>
  <c r="L42" i="57" s="1"/>
  <c r="F42" i="57"/>
  <c r="D42" i="57"/>
  <c r="B42" i="57"/>
  <c r="X41" i="57"/>
  <c r="Z41" i="57" s="1"/>
  <c r="R41" i="57"/>
  <c r="N41" i="57"/>
  <c r="L41" i="57"/>
  <c r="F41" i="57"/>
  <c r="B41" i="57"/>
  <c r="Z40" i="57"/>
  <c r="V40" i="57"/>
  <c r="T40" i="57"/>
  <c r="X40" i="57" s="1"/>
  <c r="P40" i="57"/>
  <c r="J40" i="57"/>
  <c r="H40" i="57"/>
  <c r="F40" i="57"/>
  <c r="D40" i="57"/>
  <c r="L40" i="57" s="1"/>
  <c r="N40" i="57" s="1"/>
  <c r="B40" i="57"/>
  <c r="X39" i="57"/>
  <c r="Z39" i="57" s="1"/>
  <c r="N39" i="57"/>
  <c r="L39" i="57"/>
  <c r="F39" i="57"/>
  <c r="B39" i="57"/>
  <c r="X38" i="57"/>
  <c r="Z38" i="57" s="1"/>
  <c r="V38" i="57"/>
  <c r="T38" i="57"/>
  <c r="R38" i="57"/>
  <c r="P38" i="57"/>
  <c r="H38" i="57"/>
  <c r="N38" i="57" s="1"/>
  <c r="F38" i="57"/>
  <c r="D38" i="57"/>
  <c r="L38" i="57" s="1"/>
  <c r="B38" i="57"/>
  <c r="X37" i="57"/>
  <c r="Z37" i="57" s="1"/>
  <c r="R37" i="57"/>
  <c r="L37" i="57"/>
  <c r="N37" i="57" s="1"/>
  <c r="F37" i="57"/>
  <c r="B37" i="57"/>
  <c r="Z36" i="57"/>
  <c r="T36" i="57"/>
  <c r="X36" i="57" s="1"/>
  <c r="R36" i="57"/>
  <c r="P36" i="57"/>
  <c r="N36" i="57"/>
  <c r="H36" i="57"/>
  <c r="F36" i="57"/>
  <c r="D36" i="57"/>
  <c r="L36" i="57" s="1"/>
  <c r="B36" i="57"/>
  <c r="X35" i="57"/>
  <c r="Z35" i="57" s="1"/>
  <c r="R35" i="57"/>
  <c r="N35" i="57"/>
  <c r="L35" i="57"/>
  <c r="F35" i="57"/>
  <c r="B35" i="57"/>
  <c r="V34" i="57"/>
  <c r="T34" i="57"/>
  <c r="P34" i="57"/>
  <c r="X34" i="57" s="1"/>
  <c r="Z34" i="57" s="1"/>
  <c r="N34" i="57"/>
  <c r="H34" i="57"/>
  <c r="F34" i="57"/>
  <c r="D34" i="57"/>
  <c r="L34" i="57" s="1"/>
  <c r="B34" i="57"/>
  <c r="Z33" i="57"/>
  <c r="X33" i="57"/>
  <c r="N33" i="57"/>
  <c r="L33" i="57"/>
  <c r="F33" i="57"/>
  <c r="B33" i="57"/>
  <c r="Z32" i="57"/>
  <c r="X32" i="57"/>
  <c r="V32" i="57"/>
  <c r="R32" i="57"/>
  <c r="N32" i="57"/>
  <c r="L32" i="57"/>
  <c r="F32" i="57"/>
  <c r="B32" i="57"/>
  <c r="X31" i="57"/>
  <c r="Z31" i="57" s="1"/>
  <c r="N31" i="57"/>
  <c r="L31" i="57"/>
  <c r="J31" i="57"/>
  <c r="F31" i="57"/>
  <c r="B31" i="57"/>
  <c r="X30" i="57"/>
  <c r="Z30" i="57" s="1"/>
  <c r="V30" i="57"/>
  <c r="N30" i="57"/>
  <c r="L30" i="57"/>
  <c r="B30" i="57"/>
  <c r="Z29" i="57"/>
  <c r="X29" i="57"/>
  <c r="L29" i="57"/>
  <c r="N29" i="57" s="1"/>
  <c r="F29" i="57"/>
  <c r="B29" i="57"/>
  <c r="T28" i="57"/>
  <c r="R28" i="57"/>
  <c r="P28" i="57"/>
  <c r="L28" i="57"/>
  <c r="N28" i="57" s="1"/>
  <c r="J28" i="57"/>
  <c r="H28" i="57"/>
  <c r="F28" i="57"/>
  <c r="D28" i="57"/>
  <c r="B28" i="57"/>
  <c r="X27" i="57"/>
  <c r="Z27" i="57" s="1"/>
  <c r="V27" i="57"/>
  <c r="R27" i="57"/>
  <c r="L27" i="57"/>
  <c r="N27" i="57" s="1"/>
  <c r="J27" i="57"/>
  <c r="F27" i="57"/>
  <c r="B27" i="57"/>
  <c r="Z26" i="57"/>
  <c r="X26" i="57"/>
  <c r="L26" i="57"/>
  <c r="N26" i="57" s="1"/>
  <c r="J26" i="57"/>
  <c r="F26" i="57"/>
  <c r="B26" i="57"/>
  <c r="X25" i="57"/>
  <c r="Z25" i="57" s="1"/>
  <c r="R25" i="57"/>
  <c r="L25" i="57"/>
  <c r="N25" i="57" s="1"/>
  <c r="F25" i="57"/>
  <c r="B25" i="57"/>
  <c r="Z24" i="57"/>
  <c r="X24" i="57"/>
  <c r="R24" i="57"/>
  <c r="N24" i="57"/>
  <c r="L24" i="57"/>
  <c r="J24" i="57"/>
  <c r="F24" i="57"/>
  <c r="B24" i="57"/>
  <c r="X23" i="57"/>
  <c r="Z23" i="57" s="1"/>
  <c r="V23" i="57"/>
  <c r="R23" i="57"/>
  <c r="L23" i="57"/>
  <c r="N23" i="57" s="1"/>
  <c r="J23" i="57"/>
  <c r="F23" i="57"/>
  <c r="B23" i="57"/>
  <c r="Z22" i="57"/>
  <c r="X22" i="57"/>
  <c r="N22" i="57"/>
  <c r="L22" i="57"/>
  <c r="J22" i="57"/>
  <c r="F22" i="57"/>
  <c r="B22" i="57"/>
  <c r="X21" i="57"/>
  <c r="Z21" i="57" s="1"/>
  <c r="R21" i="57"/>
  <c r="L21" i="57"/>
  <c r="N21" i="57" s="1"/>
  <c r="F21" i="57"/>
  <c r="B21" i="57"/>
  <c r="Z20" i="57"/>
  <c r="X20" i="57"/>
  <c r="R20" i="57"/>
  <c r="N20" i="57"/>
  <c r="L20" i="57"/>
  <c r="F20" i="57"/>
  <c r="B20" i="57"/>
  <c r="X19" i="57"/>
  <c r="T19" i="57"/>
  <c r="P19" i="57"/>
  <c r="L19" i="57"/>
  <c r="N19" i="57" s="1"/>
  <c r="H19" i="57"/>
  <c r="F19" i="57"/>
  <c r="D19" i="57"/>
  <c r="B19" i="57"/>
  <c r="V18" i="57"/>
  <c r="T18" i="57"/>
  <c r="R18" i="57"/>
  <c r="P18" i="57"/>
  <c r="X18" i="57" s="1"/>
  <c r="Z18" i="57" s="1"/>
  <c r="J18" i="57"/>
  <c r="H18" i="57"/>
  <c r="F18" i="57"/>
  <c r="D18" i="57"/>
  <c r="V16" i="57"/>
  <c r="R16" i="57"/>
  <c r="J16" i="57"/>
  <c r="F16" i="57"/>
  <c r="Z14" i="57"/>
  <c r="V14" i="57"/>
  <c r="T14" i="57"/>
  <c r="R14" i="57"/>
  <c r="P14" i="57"/>
  <c r="P16" i="57" s="1"/>
  <c r="N14" i="57"/>
  <c r="J14" i="57"/>
  <c r="H14" i="57"/>
  <c r="F14" i="57"/>
  <c r="D14" i="57"/>
  <c r="D16" i="57" s="1"/>
  <c r="Z12" i="57"/>
  <c r="X12" i="57"/>
  <c r="T12" i="57"/>
  <c r="P12" i="57"/>
  <c r="R65" i="57" s="1"/>
  <c r="L12" i="57"/>
  <c r="H12" i="57"/>
  <c r="J60" i="57" s="1"/>
  <c r="D12" i="57"/>
  <c r="F60" i="57" s="1"/>
  <c r="D6" i="57"/>
  <c r="D4" i="57"/>
  <c r="R77" i="56"/>
  <c r="J77" i="56"/>
  <c r="V74" i="56"/>
  <c r="R74" i="56"/>
  <c r="Z72" i="56"/>
  <c r="X72" i="56"/>
  <c r="V72" i="56"/>
  <c r="N72" i="56"/>
  <c r="L72" i="56"/>
  <c r="Z68" i="56"/>
  <c r="V68" i="56"/>
  <c r="T68" i="56"/>
  <c r="R68" i="56"/>
  <c r="P68" i="56"/>
  <c r="X68" i="56" s="1"/>
  <c r="N68" i="56"/>
  <c r="H68" i="56"/>
  <c r="D68" i="56"/>
  <c r="L68" i="56" s="1"/>
  <c r="Z66" i="56"/>
  <c r="X66" i="56"/>
  <c r="V66" i="56"/>
  <c r="N66" i="56"/>
  <c r="L66" i="56"/>
  <c r="B66" i="56"/>
  <c r="T65" i="56"/>
  <c r="P65" i="56"/>
  <c r="N65" i="56"/>
  <c r="L65" i="56"/>
  <c r="H65" i="56"/>
  <c r="D65" i="56"/>
  <c r="B65" i="56"/>
  <c r="X64" i="56"/>
  <c r="Z64" i="56" s="1"/>
  <c r="N64" i="56"/>
  <c r="L64" i="56"/>
  <c r="B64" i="56"/>
  <c r="T63" i="56"/>
  <c r="X63" i="56" s="1"/>
  <c r="Z63" i="56" s="1"/>
  <c r="R63" i="56"/>
  <c r="P63" i="56"/>
  <c r="H63" i="56"/>
  <c r="N63" i="56" s="1"/>
  <c r="D63" i="56"/>
  <c r="L63" i="56" s="1"/>
  <c r="B63" i="56"/>
  <c r="Z62" i="56"/>
  <c r="X62" i="56"/>
  <c r="R62" i="56"/>
  <c r="N62" i="56"/>
  <c r="L62" i="56"/>
  <c r="B62" i="56"/>
  <c r="V61" i="56"/>
  <c r="T61" i="56"/>
  <c r="R61" i="56"/>
  <c r="P61" i="56"/>
  <c r="X61" i="56" s="1"/>
  <c r="H61" i="56"/>
  <c r="D61" i="56"/>
  <c r="B61" i="56"/>
  <c r="Z60" i="56"/>
  <c r="X60" i="56"/>
  <c r="V60" i="56"/>
  <c r="N60" i="56"/>
  <c r="L60" i="56"/>
  <c r="B60" i="56"/>
  <c r="Z59" i="56"/>
  <c r="X59" i="56"/>
  <c r="N59" i="56"/>
  <c r="L59" i="56"/>
  <c r="B59" i="56"/>
  <c r="Z58" i="56"/>
  <c r="X58" i="56"/>
  <c r="R58" i="56"/>
  <c r="N58" i="56"/>
  <c r="L58" i="56"/>
  <c r="B58" i="56"/>
  <c r="X57" i="56"/>
  <c r="Z57" i="56" s="1"/>
  <c r="R57" i="56"/>
  <c r="L57" i="56"/>
  <c r="N57" i="56" s="1"/>
  <c r="B57" i="56"/>
  <c r="T56" i="56"/>
  <c r="R56" i="56"/>
  <c r="P56" i="56"/>
  <c r="X56" i="56" s="1"/>
  <c r="Z56" i="56" s="1"/>
  <c r="J56" i="56"/>
  <c r="H56" i="56"/>
  <c r="D56" i="56"/>
  <c r="B56" i="56"/>
  <c r="Z55" i="56"/>
  <c r="X55" i="56"/>
  <c r="R55" i="56"/>
  <c r="N55" i="56"/>
  <c r="L55" i="56"/>
  <c r="B55" i="56"/>
  <c r="Z54" i="56"/>
  <c r="T54" i="56"/>
  <c r="R54" i="56"/>
  <c r="P54" i="56"/>
  <c r="X54" i="56" s="1"/>
  <c r="N54" i="56"/>
  <c r="L54" i="56"/>
  <c r="H54" i="56"/>
  <c r="D54" i="56"/>
  <c r="B54" i="56"/>
  <c r="X53" i="56"/>
  <c r="Z53" i="56" s="1"/>
  <c r="R53" i="56"/>
  <c r="N53" i="56"/>
  <c r="L53" i="56"/>
  <c r="B53" i="56"/>
  <c r="X52" i="56"/>
  <c r="Z52" i="56" s="1"/>
  <c r="N52" i="56"/>
  <c r="L52" i="56"/>
  <c r="B52" i="56"/>
  <c r="Z51" i="56"/>
  <c r="X51" i="56"/>
  <c r="R51" i="56"/>
  <c r="N51" i="56"/>
  <c r="L51" i="56"/>
  <c r="B51" i="56"/>
  <c r="Z50" i="56"/>
  <c r="X50" i="56"/>
  <c r="T50" i="56"/>
  <c r="R50" i="56"/>
  <c r="P50" i="56"/>
  <c r="L50" i="56"/>
  <c r="N50" i="56" s="1"/>
  <c r="H50" i="56"/>
  <c r="D50" i="56"/>
  <c r="B50" i="56"/>
  <c r="Z49" i="56"/>
  <c r="X49" i="56"/>
  <c r="R49" i="56"/>
  <c r="N49" i="56"/>
  <c r="L49" i="56"/>
  <c r="B49" i="56"/>
  <c r="Z48" i="56"/>
  <c r="X48" i="56"/>
  <c r="V48" i="56"/>
  <c r="R48" i="56"/>
  <c r="N48" i="56"/>
  <c r="L48" i="56"/>
  <c r="J48" i="56"/>
  <c r="B48" i="56"/>
  <c r="X47" i="56"/>
  <c r="Z47" i="56" s="1"/>
  <c r="R47" i="56"/>
  <c r="N47" i="56"/>
  <c r="L47" i="56"/>
  <c r="B47" i="56"/>
  <c r="T46" i="56"/>
  <c r="R46" i="56"/>
  <c r="P46" i="56"/>
  <c r="H46" i="56"/>
  <c r="N46" i="56" s="1"/>
  <c r="D46" i="56"/>
  <c r="B46" i="56"/>
  <c r="X45" i="56"/>
  <c r="Z45" i="56" s="1"/>
  <c r="R45" i="56"/>
  <c r="N45" i="56"/>
  <c r="L45" i="56"/>
  <c r="B45" i="56"/>
  <c r="Z44" i="56"/>
  <c r="V44" i="56"/>
  <c r="T44" i="56"/>
  <c r="P44" i="56"/>
  <c r="X44" i="56" s="1"/>
  <c r="N44" i="56"/>
  <c r="L44" i="56"/>
  <c r="H44" i="56"/>
  <c r="D44" i="56"/>
  <c r="B44" i="56"/>
  <c r="X43" i="56"/>
  <c r="Z43" i="56" s="1"/>
  <c r="R43" i="56"/>
  <c r="N43" i="56"/>
  <c r="L43" i="56"/>
  <c r="J43" i="56"/>
  <c r="B43" i="56"/>
  <c r="T42" i="56"/>
  <c r="P42" i="56"/>
  <c r="N42" i="56"/>
  <c r="H42" i="56"/>
  <c r="L42" i="56" s="1"/>
  <c r="D42" i="56"/>
  <c r="B42" i="56"/>
  <c r="Z41" i="56"/>
  <c r="X41" i="56"/>
  <c r="V41" i="56"/>
  <c r="N41" i="56"/>
  <c r="L41" i="56"/>
  <c r="B41" i="56"/>
  <c r="T40" i="56"/>
  <c r="R40" i="56"/>
  <c r="P40" i="56"/>
  <c r="X40" i="56" s="1"/>
  <c r="Z40" i="56" s="1"/>
  <c r="L40" i="56"/>
  <c r="J40" i="56"/>
  <c r="H40" i="56"/>
  <c r="N40" i="56" s="1"/>
  <c r="D40" i="56"/>
  <c r="B40" i="56"/>
  <c r="X39" i="56"/>
  <c r="Z39" i="56" s="1"/>
  <c r="R39" i="56"/>
  <c r="N39" i="56"/>
  <c r="L39" i="56"/>
  <c r="J39" i="56"/>
  <c r="B39" i="56"/>
  <c r="X38" i="56"/>
  <c r="Z38" i="56" s="1"/>
  <c r="T38" i="56"/>
  <c r="R38" i="56"/>
  <c r="P38" i="56"/>
  <c r="H38" i="56"/>
  <c r="D38" i="56"/>
  <c r="B38" i="56"/>
  <c r="Z37" i="56"/>
  <c r="X37" i="56"/>
  <c r="R37" i="56"/>
  <c r="N37" i="56"/>
  <c r="L37" i="56"/>
  <c r="J37" i="56"/>
  <c r="B37" i="56"/>
  <c r="T36" i="56"/>
  <c r="X36" i="56" s="1"/>
  <c r="Z36" i="56" s="1"/>
  <c r="R36" i="56"/>
  <c r="P36" i="56"/>
  <c r="H36" i="56"/>
  <c r="N36" i="56" s="1"/>
  <c r="D36" i="56"/>
  <c r="L36" i="56" s="1"/>
  <c r="B36" i="56"/>
  <c r="X35" i="56"/>
  <c r="Z35" i="56" s="1"/>
  <c r="V35" i="56"/>
  <c r="R35" i="56"/>
  <c r="L35" i="56"/>
  <c r="N35" i="56" s="1"/>
  <c r="B35" i="56"/>
  <c r="X34" i="56"/>
  <c r="V34" i="56"/>
  <c r="T34" i="56"/>
  <c r="R34" i="56"/>
  <c r="P34" i="56"/>
  <c r="H34" i="56"/>
  <c r="D34" i="56"/>
  <c r="L34" i="56" s="1"/>
  <c r="N34" i="56" s="1"/>
  <c r="B34" i="56"/>
  <c r="Z33" i="56"/>
  <c r="X33" i="56"/>
  <c r="R33" i="56"/>
  <c r="N33" i="56"/>
  <c r="L33" i="56"/>
  <c r="B33" i="56"/>
  <c r="T32" i="56"/>
  <c r="R32" i="56"/>
  <c r="P32" i="56"/>
  <c r="N32" i="56"/>
  <c r="L32" i="56"/>
  <c r="J32" i="56"/>
  <c r="H32" i="56"/>
  <c r="D32" i="56"/>
  <c r="B32" i="56"/>
  <c r="Z31" i="56"/>
  <c r="X31" i="56"/>
  <c r="V31" i="56"/>
  <c r="R31" i="56"/>
  <c r="N31" i="56"/>
  <c r="L31" i="56"/>
  <c r="J31" i="56"/>
  <c r="B31" i="56"/>
  <c r="X30" i="56"/>
  <c r="Z30" i="56" s="1"/>
  <c r="R30" i="56"/>
  <c r="L30" i="56"/>
  <c r="N30" i="56" s="1"/>
  <c r="J30" i="56"/>
  <c r="B30" i="56"/>
  <c r="Z29" i="56"/>
  <c r="X29" i="56"/>
  <c r="R29" i="56"/>
  <c r="N29" i="56"/>
  <c r="L29" i="56"/>
  <c r="J29" i="56"/>
  <c r="B29" i="56"/>
  <c r="T28" i="56"/>
  <c r="X28" i="56" s="1"/>
  <c r="Z28" i="56" s="1"/>
  <c r="R28" i="56"/>
  <c r="P28" i="56"/>
  <c r="H28" i="56"/>
  <c r="D28" i="56"/>
  <c r="B28" i="56"/>
  <c r="X27" i="56"/>
  <c r="Z27" i="56" s="1"/>
  <c r="V27" i="56"/>
  <c r="R27" i="56"/>
  <c r="N27" i="56"/>
  <c r="L27" i="56"/>
  <c r="B27" i="56"/>
  <c r="X26" i="56"/>
  <c r="Z26" i="56" s="1"/>
  <c r="V26" i="56"/>
  <c r="R26" i="56"/>
  <c r="L26" i="56"/>
  <c r="N26" i="56" s="1"/>
  <c r="J26" i="56"/>
  <c r="B26" i="56"/>
  <c r="Z25" i="56"/>
  <c r="X25" i="56"/>
  <c r="V25" i="56"/>
  <c r="N25" i="56"/>
  <c r="L25" i="56"/>
  <c r="B25" i="56"/>
  <c r="Z24" i="56"/>
  <c r="X24" i="56"/>
  <c r="R24" i="56"/>
  <c r="L24" i="56"/>
  <c r="N24" i="56" s="1"/>
  <c r="F24" i="56"/>
  <c r="B24" i="56"/>
  <c r="X23" i="56"/>
  <c r="Z23" i="56" s="1"/>
  <c r="V23" i="56"/>
  <c r="R23" i="56"/>
  <c r="L23" i="56"/>
  <c r="N23" i="56" s="1"/>
  <c r="B23" i="56"/>
  <c r="X22" i="56"/>
  <c r="Z22" i="56" s="1"/>
  <c r="V22" i="56"/>
  <c r="R22" i="56"/>
  <c r="L22" i="56"/>
  <c r="N22" i="56" s="1"/>
  <c r="J22" i="56"/>
  <c r="B22" i="56"/>
  <c r="Z21" i="56"/>
  <c r="X21" i="56"/>
  <c r="V21" i="56"/>
  <c r="N21" i="56"/>
  <c r="L21" i="56"/>
  <c r="B21" i="56"/>
  <c r="Z20" i="56"/>
  <c r="X20" i="56"/>
  <c r="R20" i="56"/>
  <c r="L20" i="56"/>
  <c r="N20" i="56" s="1"/>
  <c r="F20" i="56"/>
  <c r="B20" i="56"/>
  <c r="V19" i="56"/>
  <c r="T19" i="56"/>
  <c r="P19" i="56"/>
  <c r="J19" i="56"/>
  <c r="H19" i="56"/>
  <c r="F19" i="56"/>
  <c r="D19" i="56"/>
  <c r="L19" i="56" s="1"/>
  <c r="N19" i="56" s="1"/>
  <c r="B19" i="56"/>
  <c r="T18" i="56"/>
  <c r="R18" i="56"/>
  <c r="P18" i="56"/>
  <c r="X18" i="56" s="1"/>
  <c r="Z18" i="56" s="1"/>
  <c r="H18" i="56"/>
  <c r="D18" i="56"/>
  <c r="L18" i="56" s="1"/>
  <c r="R16" i="56"/>
  <c r="Z14" i="56"/>
  <c r="X14" i="56"/>
  <c r="T14" i="56"/>
  <c r="R14" i="56"/>
  <c r="P14" i="56"/>
  <c r="P16" i="56" s="1"/>
  <c r="H14" i="56"/>
  <c r="D14" i="56"/>
  <c r="X12" i="56"/>
  <c r="T12" i="56"/>
  <c r="V77" i="56" s="1"/>
  <c r="P12" i="56"/>
  <c r="R72" i="56" s="1"/>
  <c r="H12" i="56"/>
  <c r="J64" i="56" s="1"/>
  <c r="D12" i="56"/>
  <c r="F59" i="56" s="1"/>
  <c r="D6" i="56"/>
  <c r="D4" i="56"/>
  <c r="R40" i="55"/>
  <c r="J40" i="55"/>
  <c r="R37" i="55"/>
  <c r="J37" i="55"/>
  <c r="Z35" i="55"/>
  <c r="X35" i="55"/>
  <c r="R35" i="55"/>
  <c r="N35" i="55"/>
  <c r="L35" i="55"/>
  <c r="J35" i="55"/>
  <c r="F35" i="55"/>
  <c r="R33" i="55"/>
  <c r="J33" i="55"/>
  <c r="T31" i="55"/>
  <c r="Z31" i="55" s="1"/>
  <c r="R31" i="55"/>
  <c r="P31" i="55"/>
  <c r="N31" i="55"/>
  <c r="L31" i="55"/>
  <c r="J31" i="55"/>
  <c r="H31" i="55"/>
  <c r="D31" i="55"/>
  <c r="X29" i="55"/>
  <c r="Z29" i="55" s="1"/>
  <c r="R29" i="55"/>
  <c r="N29" i="55"/>
  <c r="L29" i="55"/>
  <c r="J29" i="55"/>
  <c r="F29" i="55"/>
  <c r="B29" i="55"/>
  <c r="X28" i="55"/>
  <c r="Z28" i="55" s="1"/>
  <c r="R28" i="55"/>
  <c r="N28" i="55"/>
  <c r="L28" i="55"/>
  <c r="J28" i="55"/>
  <c r="F28" i="55"/>
  <c r="B28" i="55"/>
  <c r="X27" i="55"/>
  <c r="Z27" i="55" s="1"/>
  <c r="T27" i="55"/>
  <c r="R27" i="55"/>
  <c r="P27" i="55"/>
  <c r="H27" i="55"/>
  <c r="N27" i="55" s="1"/>
  <c r="F27" i="55"/>
  <c r="D27" i="55"/>
  <c r="B27" i="55"/>
  <c r="Z26" i="55"/>
  <c r="X26" i="55"/>
  <c r="R26" i="55"/>
  <c r="N26" i="55"/>
  <c r="L26" i="55"/>
  <c r="J26" i="55"/>
  <c r="B26" i="55"/>
  <c r="T25" i="55"/>
  <c r="X25" i="55" s="1"/>
  <c r="Z25" i="55" s="1"/>
  <c r="R25" i="55"/>
  <c r="P25" i="55"/>
  <c r="J25" i="55"/>
  <c r="H25" i="55"/>
  <c r="N25" i="55" s="1"/>
  <c r="D25" i="55"/>
  <c r="L25" i="55" s="1"/>
  <c r="B25" i="55"/>
  <c r="X24" i="55"/>
  <c r="Z24" i="55" s="1"/>
  <c r="R24" i="55"/>
  <c r="L24" i="55"/>
  <c r="N24" i="55" s="1"/>
  <c r="J24" i="55"/>
  <c r="B24" i="55"/>
  <c r="X23" i="55"/>
  <c r="T23" i="55"/>
  <c r="Z23" i="55" s="1"/>
  <c r="R23" i="55"/>
  <c r="P23" i="55"/>
  <c r="J23" i="55"/>
  <c r="H23" i="55"/>
  <c r="D23" i="55"/>
  <c r="L23" i="55" s="1"/>
  <c r="N23" i="55" s="1"/>
  <c r="B23" i="55"/>
  <c r="Z22" i="55"/>
  <c r="X22" i="55"/>
  <c r="R22" i="55"/>
  <c r="N22" i="55"/>
  <c r="L22" i="55"/>
  <c r="B22" i="55"/>
  <c r="T21" i="55"/>
  <c r="R21" i="55"/>
  <c r="P21" i="55"/>
  <c r="L21" i="55"/>
  <c r="N21" i="55" s="1"/>
  <c r="J21" i="55"/>
  <c r="H21" i="55"/>
  <c r="D21" i="55"/>
  <c r="B21" i="55"/>
  <c r="Z20" i="55"/>
  <c r="X20" i="55"/>
  <c r="V20" i="55"/>
  <c r="R20" i="55"/>
  <c r="L20" i="55"/>
  <c r="N20" i="55" s="1"/>
  <c r="J20" i="55"/>
  <c r="F20" i="55"/>
  <c r="B20" i="55"/>
  <c r="T19" i="55"/>
  <c r="P19" i="55"/>
  <c r="J19" i="55"/>
  <c r="H19" i="55"/>
  <c r="L19" i="55" s="1"/>
  <c r="N19" i="55" s="1"/>
  <c r="F19" i="55"/>
  <c r="D19" i="55"/>
  <c r="B19" i="55"/>
  <c r="T18" i="55"/>
  <c r="R18" i="55"/>
  <c r="P18" i="55"/>
  <c r="J18" i="55"/>
  <c r="H18" i="55"/>
  <c r="D18" i="55"/>
  <c r="V16" i="55"/>
  <c r="R16" i="55"/>
  <c r="J16" i="55"/>
  <c r="Z14" i="55"/>
  <c r="V14" i="55"/>
  <c r="T14" i="55"/>
  <c r="R14" i="55"/>
  <c r="P14" i="55"/>
  <c r="P16" i="55" s="1"/>
  <c r="J14" i="55"/>
  <c r="H14" i="55"/>
  <c r="N14" i="55" s="1"/>
  <c r="D14" i="55"/>
  <c r="T12" i="55"/>
  <c r="V18" i="55" s="1"/>
  <c r="P12" i="55"/>
  <c r="R19" i="55" s="1"/>
  <c r="N12" i="55"/>
  <c r="L12" i="55"/>
  <c r="H12" i="55"/>
  <c r="J22" i="55" s="1"/>
  <c r="D12" i="55"/>
  <c r="F18" i="55" s="1"/>
  <c r="D6" i="55"/>
  <c r="D4" i="55"/>
  <c r="R31" i="54"/>
  <c r="F31" i="54"/>
  <c r="T29" i="54"/>
  <c r="R29" i="54"/>
  <c r="P29" i="54"/>
  <c r="N29" i="54"/>
  <c r="L29" i="54"/>
  <c r="H29" i="54"/>
  <c r="F29" i="54"/>
  <c r="D29" i="54"/>
  <c r="T28" i="54"/>
  <c r="R28" i="54"/>
  <c r="P28" i="54"/>
  <c r="N28" i="54"/>
  <c r="L28" i="54"/>
  <c r="H28" i="54"/>
  <c r="F28" i="54"/>
  <c r="D28" i="54"/>
  <c r="R26" i="54"/>
  <c r="F26" i="54"/>
  <c r="Z24" i="54"/>
  <c r="X24" i="54"/>
  <c r="N24" i="54"/>
  <c r="L24" i="54"/>
  <c r="J24" i="54"/>
  <c r="F24" i="54"/>
  <c r="J22" i="54"/>
  <c r="F22" i="54"/>
  <c r="T20" i="54"/>
  <c r="Z20" i="54" s="1"/>
  <c r="P20" i="54"/>
  <c r="N20" i="54"/>
  <c r="J20" i="54"/>
  <c r="H20" i="54"/>
  <c r="F20" i="54"/>
  <c r="D20" i="54"/>
  <c r="L20" i="54" s="1"/>
  <c r="T18" i="54"/>
  <c r="Z18" i="54" s="1"/>
  <c r="P18" i="54"/>
  <c r="N18" i="54"/>
  <c r="J18" i="54"/>
  <c r="H18" i="54"/>
  <c r="F18" i="54"/>
  <c r="D18" i="54"/>
  <c r="L18" i="54" s="1"/>
  <c r="J16" i="54"/>
  <c r="F16" i="54"/>
  <c r="T14" i="54"/>
  <c r="Z14" i="54" s="1"/>
  <c r="P14" i="54"/>
  <c r="N14" i="54"/>
  <c r="J14" i="54"/>
  <c r="H14" i="54"/>
  <c r="F14" i="54"/>
  <c r="D14" i="54"/>
  <c r="D16" i="54" s="1"/>
  <c r="T12" i="54"/>
  <c r="Z12" i="54" s="1"/>
  <c r="P12" i="54"/>
  <c r="X12" i="54" s="1"/>
  <c r="H12" i="54"/>
  <c r="J31" i="54" s="1"/>
  <c r="D12" i="54"/>
  <c r="L12" i="54" s="1"/>
  <c r="D6" i="54"/>
  <c r="D4" i="54"/>
  <c r="X116" i="51"/>
  <c r="Z116" i="51" s="1"/>
  <c r="L116" i="51"/>
  <c r="N116" i="51" s="1"/>
  <c r="Z112" i="51"/>
  <c r="V112" i="51"/>
  <c r="T112" i="51"/>
  <c r="P112" i="51"/>
  <c r="X112" i="51" s="1"/>
  <c r="N112" i="51"/>
  <c r="L112" i="51"/>
  <c r="H112" i="51"/>
  <c r="D112" i="51"/>
  <c r="B112" i="51"/>
  <c r="X111" i="51"/>
  <c r="T111" i="51"/>
  <c r="P111" i="51"/>
  <c r="H111" i="51"/>
  <c r="D111" i="51"/>
  <c r="B111" i="51"/>
  <c r="Z110" i="51"/>
  <c r="X110" i="51"/>
  <c r="T110" i="51"/>
  <c r="P110" i="51"/>
  <c r="P108" i="51" s="1"/>
  <c r="H110" i="51"/>
  <c r="N110" i="51" s="1"/>
  <c r="D110" i="51"/>
  <c r="B110" i="51"/>
  <c r="T109" i="51"/>
  <c r="X109" i="51" s="1"/>
  <c r="Z109" i="51" s="1"/>
  <c r="P109" i="51"/>
  <c r="H109" i="51"/>
  <c r="D109" i="51"/>
  <c r="B109" i="51"/>
  <c r="X106" i="51"/>
  <c r="Z106" i="51" s="1"/>
  <c r="N106" i="51"/>
  <c r="L106" i="51"/>
  <c r="B106" i="51"/>
  <c r="X105" i="51"/>
  <c r="T105" i="51"/>
  <c r="P105" i="51"/>
  <c r="N105" i="51"/>
  <c r="H105" i="51"/>
  <c r="D105" i="51"/>
  <c r="L105" i="51" s="1"/>
  <c r="B105" i="51"/>
  <c r="Z104" i="51"/>
  <c r="X104" i="51"/>
  <c r="N104" i="51"/>
  <c r="L104" i="51"/>
  <c r="B104" i="51"/>
  <c r="T103" i="51"/>
  <c r="P103" i="51"/>
  <c r="N103" i="51"/>
  <c r="L103" i="51"/>
  <c r="H103" i="51"/>
  <c r="D103" i="51"/>
  <c r="B103" i="51"/>
  <c r="Z102" i="51"/>
  <c r="X102" i="51"/>
  <c r="V102" i="51"/>
  <c r="L102" i="51"/>
  <c r="N102" i="51" s="1"/>
  <c r="B102" i="51"/>
  <c r="T101" i="51"/>
  <c r="P101" i="51"/>
  <c r="H101" i="51"/>
  <c r="L101" i="51" s="1"/>
  <c r="D101" i="51"/>
  <c r="B101" i="51"/>
  <c r="X100" i="51"/>
  <c r="Z100" i="51" s="1"/>
  <c r="N100" i="51"/>
  <c r="L100" i="51"/>
  <c r="B100" i="51"/>
  <c r="Z99" i="51"/>
  <c r="X99" i="51"/>
  <c r="N99" i="51"/>
  <c r="L99" i="51"/>
  <c r="B99" i="51"/>
  <c r="X98" i="51"/>
  <c r="Z98" i="51" s="1"/>
  <c r="L98" i="51"/>
  <c r="N98" i="51" s="1"/>
  <c r="B98" i="51"/>
  <c r="Z97" i="51"/>
  <c r="X97" i="51"/>
  <c r="N97" i="51"/>
  <c r="L97" i="51"/>
  <c r="B97" i="51"/>
  <c r="Z96" i="51"/>
  <c r="X96" i="51"/>
  <c r="N96" i="51"/>
  <c r="L96" i="51"/>
  <c r="B96" i="51"/>
  <c r="T95" i="51"/>
  <c r="P95" i="51"/>
  <c r="X95" i="51" s="1"/>
  <c r="Z95" i="51" s="1"/>
  <c r="H95" i="51"/>
  <c r="D95" i="51"/>
  <c r="L95" i="51" s="1"/>
  <c r="B95" i="51"/>
  <c r="Z94" i="51"/>
  <c r="X94" i="51"/>
  <c r="N94" i="51"/>
  <c r="L94" i="51"/>
  <c r="B94" i="51"/>
  <c r="X93" i="51"/>
  <c r="Z93" i="51" s="1"/>
  <c r="N93" i="51"/>
  <c r="L93" i="51"/>
  <c r="B93" i="51"/>
  <c r="Z92" i="51"/>
  <c r="X92" i="51"/>
  <c r="T92" i="51"/>
  <c r="P92" i="51"/>
  <c r="H92" i="51"/>
  <c r="N92" i="51" s="1"/>
  <c r="D92" i="51"/>
  <c r="B92" i="51"/>
  <c r="Z91" i="51"/>
  <c r="X91" i="51"/>
  <c r="N91" i="51"/>
  <c r="L91" i="51"/>
  <c r="B91" i="51"/>
  <c r="Z90" i="51"/>
  <c r="X90" i="51"/>
  <c r="N90" i="51"/>
  <c r="L90" i="51"/>
  <c r="B90" i="51"/>
  <c r="T89" i="51"/>
  <c r="P89" i="51"/>
  <c r="H89" i="51"/>
  <c r="L89" i="51" s="1"/>
  <c r="D89" i="51"/>
  <c r="B89" i="51"/>
  <c r="Z88" i="51"/>
  <c r="X88" i="51"/>
  <c r="N88" i="51"/>
  <c r="L88" i="51"/>
  <c r="B88" i="51"/>
  <c r="Z87" i="51"/>
  <c r="T87" i="51"/>
  <c r="P87" i="51"/>
  <c r="X87" i="51" s="1"/>
  <c r="H87" i="51"/>
  <c r="N87" i="51" s="1"/>
  <c r="D87" i="51"/>
  <c r="L87" i="51" s="1"/>
  <c r="B87" i="51"/>
  <c r="X86" i="51"/>
  <c r="Z86" i="51" s="1"/>
  <c r="N86" i="51"/>
  <c r="L86" i="51"/>
  <c r="B86" i="51"/>
  <c r="X85" i="51"/>
  <c r="Z85" i="51" s="1"/>
  <c r="T85" i="51"/>
  <c r="P85" i="51"/>
  <c r="L85" i="51"/>
  <c r="H85" i="51"/>
  <c r="D85" i="51"/>
  <c r="B85" i="51"/>
  <c r="Z84" i="51"/>
  <c r="X84" i="51"/>
  <c r="N84" i="51"/>
  <c r="L84" i="51"/>
  <c r="B84" i="51"/>
  <c r="Z83" i="51"/>
  <c r="X83" i="51"/>
  <c r="N83" i="51"/>
  <c r="L83" i="51"/>
  <c r="B83" i="51"/>
  <c r="T82" i="51"/>
  <c r="P82" i="51"/>
  <c r="N82" i="51"/>
  <c r="L82" i="51"/>
  <c r="H82" i="51"/>
  <c r="D82" i="51"/>
  <c r="B82" i="51"/>
  <c r="X81" i="51"/>
  <c r="Z81" i="51" s="1"/>
  <c r="L81" i="51"/>
  <c r="N81" i="51" s="1"/>
  <c r="B81" i="51"/>
  <c r="T80" i="51"/>
  <c r="P80" i="51"/>
  <c r="X80" i="51" s="1"/>
  <c r="Z80" i="51" s="1"/>
  <c r="H80" i="51"/>
  <c r="D80" i="51"/>
  <c r="B80" i="51"/>
  <c r="X79" i="51"/>
  <c r="Z79" i="51" s="1"/>
  <c r="N79" i="51"/>
  <c r="L79" i="51"/>
  <c r="B79" i="51"/>
  <c r="T78" i="51"/>
  <c r="P78" i="51"/>
  <c r="N78" i="51"/>
  <c r="L78" i="51"/>
  <c r="H78" i="51"/>
  <c r="D78" i="51"/>
  <c r="B78" i="51"/>
  <c r="X77" i="51"/>
  <c r="Z77" i="51" s="1"/>
  <c r="N77" i="51"/>
  <c r="L77" i="51"/>
  <c r="B77" i="51"/>
  <c r="Z76" i="51"/>
  <c r="X76" i="51"/>
  <c r="T76" i="51"/>
  <c r="P76" i="51"/>
  <c r="H76" i="51"/>
  <c r="N76" i="51" s="1"/>
  <c r="D76" i="51"/>
  <c r="L76" i="51" s="1"/>
  <c r="B76" i="51"/>
  <c r="Z75" i="51"/>
  <c r="X75" i="51"/>
  <c r="N75" i="51"/>
  <c r="L75" i="51"/>
  <c r="B75" i="51"/>
  <c r="X74" i="51"/>
  <c r="Z74" i="51" s="1"/>
  <c r="N74" i="51"/>
  <c r="L74" i="51"/>
  <c r="B74" i="51"/>
  <c r="X73" i="51"/>
  <c r="Z73" i="51" s="1"/>
  <c r="N73" i="51"/>
  <c r="L73" i="51"/>
  <c r="B73" i="51"/>
  <c r="X72" i="51"/>
  <c r="Z72" i="51" s="1"/>
  <c r="L72" i="51"/>
  <c r="N72" i="51" s="1"/>
  <c r="B72" i="51"/>
  <c r="Z71" i="51"/>
  <c r="X71" i="51"/>
  <c r="L71" i="51"/>
  <c r="N71" i="51" s="1"/>
  <c r="B71" i="51"/>
  <c r="T70" i="51"/>
  <c r="P70" i="51"/>
  <c r="H70" i="51"/>
  <c r="D70" i="51"/>
  <c r="L70" i="51" s="1"/>
  <c r="N70" i="51" s="1"/>
  <c r="B70" i="51"/>
  <c r="X69" i="51"/>
  <c r="Z69" i="51" s="1"/>
  <c r="L69" i="51"/>
  <c r="N69" i="51" s="1"/>
  <c r="B69" i="51"/>
  <c r="Z68" i="51"/>
  <c r="X68" i="51"/>
  <c r="N68" i="51"/>
  <c r="L68" i="51"/>
  <c r="B68" i="51"/>
  <c r="X67" i="51"/>
  <c r="Z67" i="51" s="1"/>
  <c r="N67" i="51"/>
  <c r="L67" i="51"/>
  <c r="B67" i="51"/>
  <c r="X66" i="51"/>
  <c r="Z66" i="51" s="1"/>
  <c r="N66" i="51"/>
  <c r="L66" i="51"/>
  <c r="B66" i="51"/>
  <c r="X65" i="51"/>
  <c r="Z65" i="51" s="1"/>
  <c r="L65" i="51"/>
  <c r="N65" i="51" s="1"/>
  <c r="B65" i="51"/>
  <c r="Z64" i="51"/>
  <c r="X64" i="51"/>
  <c r="N64" i="51"/>
  <c r="L64" i="51"/>
  <c r="B64" i="51"/>
  <c r="X63" i="51"/>
  <c r="Z63" i="51" s="1"/>
  <c r="N63" i="51"/>
  <c r="L63" i="51"/>
  <c r="B63" i="51"/>
  <c r="X62" i="51"/>
  <c r="Z62" i="51" s="1"/>
  <c r="N62" i="51"/>
  <c r="L62" i="51"/>
  <c r="B62" i="51"/>
  <c r="X61" i="51"/>
  <c r="Z61" i="51" s="1"/>
  <c r="L61" i="51"/>
  <c r="N61" i="51" s="1"/>
  <c r="B61" i="51"/>
  <c r="T60" i="51"/>
  <c r="P60" i="51"/>
  <c r="X60" i="51" s="1"/>
  <c r="Z60" i="51" s="1"/>
  <c r="H60" i="51"/>
  <c r="D60" i="51"/>
  <c r="B60" i="51"/>
  <c r="T59" i="51"/>
  <c r="P59" i="51"/>
  <c r="H59" i="51"/>
  <c r="D59" i="51"/>
  <c r="L59" i="51" s="1"/>
  <c r="Z55" i="51"/>
  <c r="X55" i="51"/>
  <c r="N55" i="51"/>
  <c r="L55" i="51"/>
  <c r="B55" i="51"/>
  <c r="Z54" i="51"/>
  <c r="X54" i="51"/>
  <c r="V54" i="51"/>
  <c r="L54" i="51"/>
  <c r="N54" i="51" s="1"/>
  <c r="B54" i="51"/>
  <c r="X53" i="51"/>
  <c r="Z53" i="51" s="1"/>
  <c r="N53" i="51"/>
  <c r="L53" i="51"/>
  <c r="B53" i="51"/>
  <c r="Z52" i="51"/>
  <c r="X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X49" i="51"/>
  <c r="Z49" i="51" s="1"/>
  <c r="R49" i="51"/>
  <c r="L49" i="51"/>
  <c r="N49" i="51" s="1"/>
  <c r="B49" i="51"/>
  <c r="Z48" i="51"/>
  <c r="X48" i="51"/>
  <c r="L48" i="51"/>
  <c r="N48" i="51" s="1"/>
  <c r="B48" i="51"/>
  <c r="Z47" i="51"/>
  <c r="X47" i="51"/>
  <c r="N47" i="51"/>
  <c r="L47" i="51"/>
  <c r="B47" i="51"/>
  <c r="Z46" i="51"/>
  <c r="X46" i="51"/>
  <c r="L46" i="51"/>
  <c r="N46" i="51" s="1"/>
  <c r="B46" i="51"/>
  <c r="X45" i="51"/>
  <c r="Z45" i="51" s="1"/>
  <c r="R45" i="51"/>
  <c r="L45" i="51"/>
  <c r="N45" i="51" s="1"/>
  <c r="B45" i="51"/>
  <c r="Z44" i="51"/>
  <c r="X44" i="51"/>
  <c r="N44" i="51"/>
  <c r="L44" i="51"/>
  <c r="B44" i="51"/>
  <c r="Z43" i="51"/>
  <c r="X43" i="51"/>
  <c r="R43" i="51"/>
  <c r="N43" i="51"/>
  <c r="L43" i="51"/>
  <c r="B43" i="51"/>
  <c r="Z42" i="51"/>
  <c r="X42" i="51"/>
  <c r="L42" i="51"/>
  <c r="N42" i="51" s="1"/>
  <c r="B42" i="51"/>
  <c r="X41" i="51"/>
  <c r="Z41" i="51" s="1"/>
  <c r="L41" i="51"/>
  <c r="N41" i="51" s="1"/>
  <c r="B41" i="51"/>
  <c r="Z40" i="51"/>
  <c r="X40" i="51"/>
  <c r="N40" i="51"/>
  <c r="L40" i="51"/>
  <c r="B40" i="51"/>
  <c r="T39" i="51"/>
  <c r="P39" i="51"/>
  <c r="H39" i="51"/>
  <c r="D39" i="51"/>
  <c r="L39" i="51" s="1"/>
  <c r="T37" i="51"/>
  <c r="P37" i="51"/>
  <c r="X37" i="51" s="1"/>
  <c r="Z37" i="51" s="1"/>
  <c r="N37" i="51"/>
  <c r="H37" i="51"/>
  <c r="D37" i="51"/>
  <c r="L37" i="51" s="1"/>
  <c r="B37" i="51"/>
  <c r="Z36" i="51"/>
  <c r="T36" i="51"/>
  <c r="P36" i="51"/>
  <c r="X36" i="51" s="1"/>
  <c r="H36" i="51"/>
  <c r="N36" i="51" s="1"/>
  <c r="D36" i="51"/>
  <c r="L36" i="51" s="1"/>
  <c r="B36" i="51"/>
  <c r="T35" i="51"/>
  <c r="P35" i="51"/>
  <c r="X35" i="51" s="1"/>
  <c r="L35" i="51"/>
  <c r="H35" i="51"/>
  <c r="N35" i="51" s="1"/>
  <c r="D35" i="51"/>
  <c r="B35" i="51"/>
  <c r="Z34" i="51"/>
  <c r="X34" i="51"/>
  <c r="T34" i="51"/>
  <c r="P34" i="51"/>
  <c r="H34" i="51"/>
  <c r="D34" i="51"/>
  <c r="B34" i="51"/>
  <c r="Z33" i="51"/>
  <c r="T33" i="51"/>
  <c r="P33" i="51"/>
  <c r="X33" i="51" s="1"/>
  <c r="N33" i="51"/>
  <c r="H33" i="51"/>
  <c r="D33" i="51"/>
  <c r="L33" i="51" s="1"/>
  <c r="B33" i="51"/>
  <c r="Z32" i="51"/>
  <c r="T32" i="51"/>
  <c r="P32" i="51"/>
  <c r="X32" i="51" s="1"/>
  <c r="H32" i="51"/>
  <c r="N32" i="51" s="1"/>
  <c r="D32" i="51"/>
  <c r="L32" i="51" s="1"/>
  <c r="B32" i="51"/>
  <c r="T31" i="51"/>
  <c r="Z31" i="51" s="1"/>
  <c r="P31" i="51"/>
  <c r="X31" i="51" s="1"/>
  <c r="L31" i="51"/>
  <c r="H31" i="51"/>
  <c r="N31" i="51" s="1"/>
  <c r="D31" i="51"/>
  <c r="B31" i="51"/>
  <c r="Z30" i="51"/>
  <c r="X30" i="51"/>
  <c r="T30" i="51"/>
  <c r="P30" i="51"/>
  <c r="H30" i="51"/>
  <c r="D30" i="51"/>
  <c r="B30" i="51"/>
  <c r="Z29" i="51"/>
  <c r="T29" i="51"/>
  <c r="P29" i="51"/>
  <c r="X29" i="51" s="1"/>
  <c r="N29" i="51"/>
  <c r="H29" i="51"/>
  <c r="D29" i="51"/>
  <c r="L29" i="51" s="1"/>
  <c r="B29" i="51"/>
  <c r="T28" i="51"/>
  <c r="P28" i="51"/>
  <c r="X28" i="51" s="1"/>
  <c r="Z28" i="51" s="1"/>
  <c r="H28" i="51"/>
  <c r="D28" i="51"/>
  <c r="B28" i="51"/>
  <c r="T27" i="51"/>
  <c r="Z27" i="51" s="1"/>
  <c r="P27" i="51"/>
  <c r="X27" i="51" s="1"/>
  <c r="L27" i="51"/>
  <c r="H27" i="51"/>
  <c r="D27" i="51"/>
  <c r="B27" i="51"/>
  <c r="Z26" i="51"/>
  <c r="X26" i="51"/>
  <c r="T26" i="51"/>
  <c r="P26" i="51"/>
  <c r="H26" i="51"/>
  <c r="D26" i="51"/>
  <c r="B26" i="51"/>
  <c r="T25" i="51"/>
  <c r="P25" i="51"/>
  <c r="X25" i="51" s="1"/>
  <c r="Z25" i="51" s="1"/>
  <c r="N25" i="51"/>
  <c r="H25" i="51"/>
  <c r="D25" i="51"/>
  <c r="L25" i="51" s="1"/>
  <c r="B25" i="51"/>
  <c r="T24" i="51"/>
  <c r="P24" i="51"/>
  <c r="H24" i="51"/>
  <c r="N24" i="51" s="1"/>
  <c r="D24" i="51"/>
  <c r="L24" i="51" s="1"/>
  <c r="B24" i="51"/>
  <c r="T23" i="51"/>
  <c r="Z23" i="51" s="1"/>
  <c r="P23" i="51"/>
  <c r="X23" i="51" s="1"/>
  <c r="L23" i="51"/>
  <c r="H23" i="51"/>
  <c r="D23" i="51"/>
  <c r="B23" i="51"/>
  <c r="X22" i="51"/>
  <c r="Z22" i="51" s="1"/>
  <c r="T22" i="51"/>
  <c r="P22" i="51"/>
  <c r="H22" i="51"/>
  <c r="D22" i="51"/>
  <c r="B22" i="51"/>
  <c r="Z21" i="51"/>
  <c r="T21" i="51"/>
  <c r="P21" i="51"/>
  <c r="X21" i="51" s="1"/>
  <c r="H21" i="51"/>
  <c r="D21" i="51"/>
  <c r="L21" i="51" s="1"/>
  <c r="N21" i="51" s="1"/>
  <c r="B21" i="51"/>
  <c r="Z20" i="51"/>
  <c r="T20" i="51"/>
  <c r="P20" i="51"/>
  <c r="X20" i="51" s="1"/>
  <c r="H20" i="51"/>
  <c r="D20" i="51"/>
  <c r="L20" i="51" s="1"/>
  <c r="B20" i="51"/>
  <c r="T19" i="51"/>
  <c r="Z19" i="51" s="1"/>
  <c r="P19" i="51"/>
  <c r="X19" i="51" s="1"/>
  <c r="L19" i="51"/>
  <c r="H19" i="51"/>
  <c r="D19" i="51"/>
  <c r="B19" i="51"/>
  <c r="Z18" i="51"/>
  <c r="X18" i="51"/>
  <c r="T18" i="51"/>
  <c r="P18" i="51"/>
  <c r="H18" i="51"/>
  <c r="D18" i="51"/>
  <c r="B18" i="51"/>
  <c r="Z17" i="51"/>
  <c r="T17" i="51"/>
  <c r="P17" i="51"/>
  <c r="X17" i="51" s="1"/>
  <c r="N17" i="51"/>
  <c r="H17" i="51"/>
  <c r="D17" i="51"/>
  <c r="L17" i="51" s="1"/>
  <c r="B17" i="51"/>
  <c r="T16" i="51"/>
  <c r="P16" i="51"/>
  <c r="X16" i="51" s="1"/>
  <c r="Z16" i="51" s="1"/>
  <c r="H16" i="51"/>
  <c r="D16" i="51"/>
  <c r="B16" i="51"/>
  <c r="T15" i="51"/>
  <c r="Z15" i="51" s="1"/>
  <c r="P15" i="51"/>
  <c r="X15" i="51" s="1"/>
  <c r="H15" i="51"/>
  <c r="D15" i="51"/>
  <c r="B15" i="51"/>
  <c r="Z14" i="51"/>
  <c r="X14" i="51"/>
  <c r="T14" i="51"/>
  <c r="P14" i="51"/>
  <c r="H14" i="51"/>
  <c r="D14" i="51"/>
  <c r="B14" i="51"/>
  <c r="Z13" i="51"/>
  <c r="T13" i="51"/>
  <c r="P13" i="51"/>
  <c r="X13" i="51" s="1"/>
  <c r="N13" i="51"/>
  <c r="H13" i="51"/>
  <c r="D13" i="51"/>
  <c r="L13" i="51" s="1"/>
  <c r="B13" i="51"/>
  <c r="T12" i="51"/>
  <c r="P12" i="51"/>
  <c r="R90" i="51" s="1"/>
  <c r="D4" i="51"/>
  <c r="Z71" i="48"/>
  <c r="X71" i="48"/>
  <c r="N71" i="48"/>
  <c r="L71" i="48"/>
  <c r="F71" i="48"/>
  <c r="T67" i="48"/>
  <c r="P67" i="48"/>
  <c r="L67" i="48"/>
  <c r="H67" i="48"/>
  <c r="D67" i="48"/>
  <c r="B67" i="48"/>
  <c r="T66" i="48"/>
  <c r="H66" i="48"/>
  <c r="D66" i="48"/>
  <c r="L66" i="48" s="1"/>
  <c r="N66" i="48" s="1"/>
  <c r="X64" i="48"/>
  <c r="Z64" i="48" s="1"/>
  <c r="N64" i="48"/>
  <c r="L64" i="48"/>
  <c r="J64" i="48"/>
  <c r="F64" i="48"/>
  <c r="B64" i="48"/>
  <c r="X63" i="48"/>
  <c r="Z63" i="48" s="1"/>
  <c r="T63" i="48"/>
  <c r="P63" i="48"/>
  <c r="N63" i="48"/>
  <c r="L63" i="48"/>
  <c r="H63" i="48"/>
  <c r="F63" i="48"/>
  <c r="D63" i="48"/>
  <c r="B63" i="48"/>
  <c r="X62" i="48"/>
  <c r="Z62" i="48" s="1"/>
  <c r="L62" i="48"/>
  <c r="N62" i="48" s="1"/>
  <c r="B62" i="48"/>
  <c r="T61" i="48"/>
  <c r="X61" i="48" s="1"/>
  <c r="P61" i="48"/>
  <c r="H61" i="48"/>
  <c r="D61" i="48"/>
  <c r="L61" i="48" s="1"/>
  <c r="B61" i="48"/>
  <c r="X60" i="48"/>
  <c r="Z60" i="48" s="1"/>
  <c r="N60" i="48"/>
  <c r="L60" i="48"/>
  <c r="F60" i="48"/>
  <c r="B60" i="48"/>
  <c r="X59" i="48"/>
  <c r="Z59" i="48" s="1"/>
  <c r="L59" i="48"/>
  <c r="N59" i="48" s="1"/>
  <c r="J59" i="48"/>
  <c r="B59" i="48"/>
  <c r="X58" i="48"/>
  <c r="Z58" i="48" s="1"/>
  <c r="N58" i="48"/>
  <c r="L58" i="48"/>
  <c r="B58" i="48"/>
  <c r="Z57" i="48"/>
  <c r="T57" i="48"/>
  <c r="P57" i="48"/>
  <c r="X57" i="48" s="1"/>
  <c r="J57" i="48"/>
  <c r="H57" i="48"/>
  <c r="D57" i="48"/>
  <c r="L57" i="48" s="1"/>
  <c r="B57" i="48"/>
  <c r="X56" i="48"/>
  <c r="Z56" i="48" s="1"/>
  <c r="N56" i="48"/>
  <c r="L56" i="48"/>
  <c r="J56" i="48"/>
  <c r="F56" i="48"/>
  <c r="B56" i="48"/>
  <c r="X55" i="48"/>
  <c r="Z55" i="48" s="1"/>
  <c r="T55" i="48"/>
  <c r="P55" i="48"/>
  <c r="N55" i="48"/>
  <c r="L55" i="48"/>
  <c r="H55" i="48"/>
  <c r="F55" i="48"/>
  <c r="D55" i="48"/>
  <c r="B55" i="48"/>
  <c r="X54" i="48"/>
  <c r="Z54" i="48" s="1"/>
  <c r="N54" i="48"/>
  <c r="L54" i="48"/>
  <c r="J54" i="48"/>
  <c r="B54" i="48"/>
  <c r="Z53" i="48"/>
  <c r="X53" i="48"/>
  <c r="N53" i="48"/>
  <c r="L53" i="48"/>
  <c r="B53" i="48"/>
  <c r="Z52" i="48"/>
  <c r="X52" i="48"/>
  <c r="N52" i="48"/>
  <c r="L52" i="48"/>
  <c r="B52" i="48"/>
  <c r="T51" i="48"/>
  <c r="P51" i="48"/>
  <c r="H51" i="48"/>
  <c r="F51" i="48"/>
  <c r="D51" i="48"/>
  <c r="B51" i="48"/>
  <c r="X50" i="48"/>
  <c r="Z50" i="48" s="1"/>
  <c r="L50" i="48"/>
  <c r="N50" i="48" s="1"/>
  <c r="F50" i="48"/>
  <c r="B50" i="48"/>
  <c r="T49" i="48"/>
  <c r="R49" i="48"/>
  <c r="P49" i="48"/>
  <c r="X49" i="48" s="1"/>
  <c r="Z49" i="48" s="1"/>
  <c r="L49" i="48"/>
  <c r="H49" i="48"/>
  <c r="D49" i="48"/>
  <c r="B49" i="48"/>
  <c r="X48" i="48"/>
  <c r="Z48" i="48" s="1"/>
  <c r="N48" i="48"/>
  <c r="L48" i="48"/>
  <c r="J48" i="48"/>
  <c r="F48" i="48"/>
  <c r="B48" i="48"/>
  <c r="Z47" i="48"/>
  <c r="X47" i="48"/>
  <c r="T47" i="48"/>
  <c r="P47" i="48"/>
  <c r="H47" i="48"/>
  <c r="L47" i="48" s="1"/>
  <c r="N47" i="48" s="1"/>
  <c r="D47" i="48"/>
  <c r="B47" i="48"/>
  <c r="Z46" i="48"/>
  <c r="X46" i="48"/>
  <c r="N46" i="48"/>
  <c r="L46" i="48"/>
  <c r="J46" i="48"/>
  <c r="B46" i="48"/>
  <c r="Z45" i="48"/>
  <c r="T45" i="48"/>
  <c r="X45" i="48" s="1"/>
  <c r="P45" i="48"/>
  <c r="H45" i="48"/>
  <c r="D45" i="48"/>
  <c r="B45" i="48"/>
  <c r="Z44" i="48"/>
  <c r="X44" i="48"/>
  <c r="N44" i="48"/>
  <c r="L44" i="48"/>
  <c r="B44" i="48"/>
  <c r="Z43" i="48"/>
  <c r="X43" i="48"/>
  <c r="N43" i="48"/>
  <c r="L43" i="48"/>
  <c r="J43" i="48"/>
  <c r="B43" i="48"/>
  <c r="Z42" i="48"/>
  <c r="T42" i="48"/>
  <c r="R42" i="48"/>
  <c r="P42" i="48"/>
  <c r="X42" i="48" s="1"/>
  <c r="L42" i="48"/>
  <c r="H42" i="48"/>
  <c r="N42" i="48" s="1"/>
  <c r="D42" i="48"/>
  <c r="B42" i="48"/>
  <c r="Z41" i="48"/>
  <c r="X41" i="48"/>
  <c r="N41" i="48"/>
  <c r="L41" i="48"/>
  <c r="J41" i="48"/>
  <c r="F41" i="48"/>
  <c r="B41" i="48"/>
  <c r="T40" i="48"/>
  <c r="P40" i="48"/>
  <c r="N40" i="48"/>
  <c r="L40" i="48"/>
  <c r="H40" i="48"/>
  <c r="D40" i="48"/>
  <c r="F40" i="48" s="1"/>
  <c r="B40" i="48"/>
  <c r="X39" i="48"/>
  <c r="Z39" i="48" s="1"/>
  <c r="R39" i="48"/>
  <c r="L39" i="48"/>
  <c r="N39" i="48" s="1"/>
  <c r="B39" i="48"/>
  <c r="X38" i="48"/>
  <c r="Z38" i="48" s="1"/>
  <c r="T38" i="48"/>
  <c r="P38" i="48"/>
  <c r="H38" i="48"/>
  <c r="D38" i="48"/>
  <c r="B38" i="48"/>
  <c r="Z37" i="48"/>
  <c r="X37" i="48"/>
  <c r="L37" i="48"/>
  <c r="N37" i="48" s="1"/>
  <c r="F37" i="48"/>
  <c r="B37" i="48"/>
  <c r="X36" i="48"/>
  <c r="T36" i="48"/>
  <c r="P36" i="48"/>
  <c r="L36" i="48"/>
  <c r="N36" i="48" s="1"/>
  <c r="J36" i="48"/>
  <c r="H36" i="48"/>
  <c r="F36" i="48"/>
  <c r="D36" i="48"/>
  <c r="B36" i="48"/>
  <c r="Z35" i="48"/>
  <c r="X35" i="48"/>
  <c r="N35" i="48"/>
  <c r="L35" i="48"/>
  <c r="J35" i="48"/>
  <c r="F35" i="48"/>
  <c r="B35" i="48"/>
  <c r="Z34" i="48"/>
  <c r="X34" i="48"/>
  <c r="N34" i="48"/>
  <c r="L34" i="48"/>
  <c r="B34" i="48"/>
  <c r="X33" i="48"/>
  <c r="Z33" i="48" s="1"/>
  <c r="N33" i="48"/>
  <c r="L33" i="48"/>
  <c r="J33" i="48"/>
  <c r="F33" i="48"/>
  <c r="B33" i="48"/>
  <c r="X32" i="48"/>
  <c r="Z32" i="48" s="1"/>
  <c r="N32" i="48"/>
  <c r="L32" i="48"/>
  <c r="F32" i="48"/>
  <c r="B32" i="48"/>
  <c r="Z31" i="48"/>
  <c r="X31" i="48"/>
  <c r="V31" i="48"/>
  <c r="N31" i="48"/>
  <c r="L31" i="48"/>
  <c r="F31" i="48"/>
  <c r="B31" i="48"/>
  <c r="T30" i="48"/>
  <c r="P30" i="48"/>
  <c r="X30" i="48" s="1"/>
  <c r="Z30" i="48" s="1"/>
  <c r="H30" i="48"/>
  <c r="F30" i="48"/>
  <c r="D30" i="48"/>
  <c r="B30" i="48"/>
  <c r="Z29" i="48"/>
  <c r="X29" i="48"/>
  <c r="N29" i="48"/>
  <c r="L29" i="48"/>
  <c r="B29" i="48"/>
  <c r="Z28" i="48"/>
  <c r="X28" i="48"/>
  <c r="L28" i="48"/>
  <c r="N28" i="48" s="1"/>
  <c r="F28" i="48"/>
  <c r="B28" i="48"/>
  <c r="X27" i="48"/>
  <c r="Z27" i="48" s="1"/>
  <c r="L27" i="48"/>
  <c r="N27" i="48" s="1"/>
  <c r="J27" i="48"/>
  <c r="B27" i="48"/>
  <c r="Z26" i="48"/>
  <c r="X26" i="48"/>
  <c r="N26" i="48"/>
  <c r="L26" i="48"/>
  <c r="J26" i="48"/>
  <c r="B26" i="48"/>
  <c r="Z25" i="48"/>
  <c r="X25" i="48"/>
  <c r="N25" i="48"/>
  <c r="L25" i="48"/>
  <c r="B25" i="48"/>
  <c r="Z24" i="48"/>
  <c r="X24" i="48"/>
  <c r="L24" i="48"/>
  <c r="N24" i="48" s="1"/>
  <c r="J24" i="48"/>
  <c r="F24" i="48"/>
  <c r="B24" i="48"/>
  <c r="X23" i="48"/>
  <c r="Z23" i="48" s="1"/>
  <c r="V23" i="48"/>
  <c r="R23" i="48"/>
  <c r="L23" i="48"/>
  <c r="N23" i="48" s="1"/>
  <c r="B23" i="48"/>
  <c r="X22" i="48"/>
  <c r="Z22" i="48" s="1"/>
  <c r="L22" i="48"/>
  <c r="N22" i="48" s="1"/>
  <c r="J22" i="48"/>
  <c r="B22" i="48"/>
  <c r="Z21" i="48"/>
  <c r="X21" i="48"/>
  <c r="R21" i="48"/>
  <c r="N21" i="48"/>
  <c r="L21" i="48"/>
  <c r="B21" i="48"/>
  <c r="T20" i="48"/>
  <c r="P20" i="48"/>
  <c r="H20" i="48"/>
  <c r="D20" i="48"/>
  <c r="L20" i="48" s="1"/>
  <c r="N20" i="48" s="1"/>
  <c r="B20" i="48"/>
  <c r="T19" i="48"/>
  <c r="P19" i="48"/>
  <c r="X19" i="48" s="1"/>
  <c r="H19" i="48"/>
  <c r="D19" i="48"/>
  <c r="L19" i="48" s="1"/>
  <c r="N19" i="48" s="1"/>
  <c r="P17" i="48"/>
  <c r="D17" i="48"/>
  <c r="X15" i="48"/>
  <c r="T15" i="48"/>
  <c r="Z15" i="48" s="1"/>
  <c r="P15" i="48"/>
  <c r="N15" i="48"/>
  <c r="H15" i="48"/>
  <c r="F15" i="48"/>
  <c r="D15" i="48"/>
  <c r="X13" i="48"/>
  <c r="T13" i="48"/>
  <c r="P13" i="48"/>
  <c r="P12" i="48" s="1"/>
  <c r="N13" i="48"/>
  <c r="L13" i="48"/>
  <c r="H13" i="48"/>
  <c r="H12" i="48" s="1"/>
  <c r="J61" i="48" s="1"/>
  <c r="D13" i="48"/>
  <c r="B13" i="48"/>
  <c r="T12" i="48"/>
  <c r="V28" i="48" s="1"/>
  <c r="L12" i="48"/>
  <c r="D12" i="48"/>
  <c r="F47" i="48" s="1"/>
  <c r="D4" i="48"/>
  <c r="Z98" i="45"/>
  <c r="X98" i="45"/>
  <c r="N98" i="45"/>
  <c r="L98" i="45"/>
  <c r="T94" i="45"/>
  <c r="Z94" i="45" s="1"/>
  <c r="P94" i="45"/>
  <c r="X94" i="45" s="1"/>
  <c r="H94" i="45"/>
  <c r="N94" i="45" s="1"/>
  <c r="D94" i="45"/>
  <c r="L94" i="45" s="1"/>
  <c r="Z92" i="45"/>
  <c r="X92" i="45"/>
  <c r="N92" i="45"/>
  <c r="L92" i="45"/>
  <c r="B92" i="45"/>
  <c r="X91" i="45"/>
  <c r="Z91" i="45" s="1"/>
  <c r="N91" i="45"/>
  <c r="L91" i="45"/>
  <c r="B91" i="45"/>
  <c r="T90" i="45"/>
  <c r="Z90" i="45" s="1"/>
  <c r="P90" i="45"/>
  <c r="X90" i="45" s="1"/>
  <c r="H90" i="45"/>
  <c r="N90" i="45" s="1"/>
  <c r="D90" i="45"/>
  <c r="L90" i="45" s="1"/>
  <c r="B90" i="45"/>
  <c r="X89" i="45"/>
  <c r="Z89" i="45" s="1"/>
  <c r="N89" i="45"/>
  <c r="L89" i="45"/>
  <c r="B89" i="45"/>
  <c r="T88" i="45"/>
  <c r="P88" i="45"/>
  <c r="X88" i="45" s="1"/>
  <c r="Z88" i="45" s="1"/>
  <c r="N88" i="45"/>
  <c r="H88" i="45"/>
  <c r="D88" i="45"/>
  <c r="L88" i="45" s="1"/>
  <c r="B88" i="45"/>
  <c r="X87" i="45"/>
  <c r="Z87" i="45" s="1"/>
  <c r="L87" i="45"/>
  <c r="N87" i="45" s="1"/>
  <c r="B87" i="45"/>
  <c r="Z86" i="45"/>
  <c r="X86" i="45"/>
  <c r="T86" i="45"/>
  <c r="P86" i="45"/>
  <c r="N86" i="45"/>
  <c r="L86" i="45"/>
  <c r="H86" i="45"/>
  <c r="D86" i="45"/>
  <c r="B86" i="45"/>
  <c r="Z85" i="45"/>
  <c r="X85" i="45"/>
  <c r="N85" i="45"/>
  <c r="L85" i="45"/>
  <c r="B85" i="45"/>
  <c r="Z84" i="45"/>
  <c r="X84" i="45"/>
  <c r="N84" i="45"/>
  <c r="L84" i="45"/>
  <c r="B84" i="45"/>
  <c r="X83" i="45"/>
  <c r="Z83" i="45" s="1"/>
  <c r="N83" i="45"/>
  <c r="L83" i="45"/>
  <c r="B83" i="45"/>
  <c r="Z82" i="45"/>
  <c r="X82" i="45"/>
  <c r="N82" i="45"/>
  <c r="L82" i="45"/>
  <c r="B82" i="45"/>
  <c r="Z81" i="45"/>
  <c r="X81" i="45"/>
  <c r="L81" i="45"/>
  <c r="N81" i="45" s="1"/>
  <c r="B81" i="45"/>
  <c r="Z80" i="45"/>
  <c r="X80" i="45"/>
  <c r="N80" i="45"/>
  <c r="L80" i="45"/>
  <c r="B80" i="45"/>
  <c r="X79" i="45"/>
  <c r="Z79" i="45" s="1"/>
  <c r="L79" i="45"/>
  <c r="N79" i="45" s="1"/>
  <c r="B79" i="45"/>
  <c r="Z78" i="45"/>
  <c r="X78" i="45"/>
  <c r="V78" i="45"/>
  <c r="N78" i="45"/>
  <c r="L78" i="45"/>
  <c r="B78" i="45"/>
  <c r="Z77" i="45"/>
  <c r="X77" i="45"/>
  <c r="N77" i="45"/>
  <c r="L77" i="45"/>
  <c r="B77" i="45"/>
  <c r="T76" i="45"/>
  <c r="Z76" i="45" s="1"/>
  <c r="P76" i="45"/>
  <c r="X76" i="45" s="1"/>
  <c r="H76" i="45"/>
  <c r="N76" i="45" s="1"/>
  <c r="D76" i="45"/>
  <c r="L76" i="45" s="1"/>
  <c r="B76" i="45"/>
  <c r="Z75" i="45"/>
  <c r="X75" i="45"/>
  <c r="N75" i="45"/>
  <c r="L75" i="45"/>
  <c r="B75" i="45"/>
  <c r="Z74" i="45"/>
  <c r="T74" i="45"/>
  <c r="P74" i="45"/>
  <c r="X74" i="45" s="1"/>
  <c r="N74" i="45"/>
  <c r="H74" i="45"/>
  <c r="D74" i="45"/>
  <c r="L74" i="45" s="1"/>
  <c r="B74" i="45"/>
  <c r="Z73" i="45"/>
  <c r="X73" i="45"/>
  <c r="N73" i="45"/>
  <c r="L73" i="45"/>
  <c r="B73" i="45"/>
  <c r="Z72" i="45"/>
  <c r="X72" i="45"/>
  <c r="N72" i="45"/>
  <c r="L72" i="45"/>
  <c r="B72" i="45"/>
  <c r="Z71" i="45"/>
  <c r="X71" i="45"/>
  <c r="N71" i="45"/>
  <c r="L71" i="45"/>
  <c r="B71" i="45"/>
  <c r="Z70" i="45"/>
  <c r="X70" i="45"/>
  <c r="N70" i="45"/>
  <c r="L70" i="45"/>
  <c r="B70" i="45"/>
  <c r="T69" i="45"/>
  <c r="P69" i="45"/>
  <c r="X69" i="45" s="1"/>
  <c r="H69" i="45"/>
  <c r="D69" i="45"/>
  <c r="L69" i="45" s="1"/>
  <c r="B69" i="45"/>
  <c r="Z68" i="45"/>
  <c r="X68" i="45"/>
  <c r="N68" i="45"/>
  <c r="L68" i="45"/>
  <c r="B68" i="45"/>
  <c r="X67" i="45"/>
  <c r="Z67" i="45" s="1"/>
  <c r="L67" i="45"/>
  <c r="N67" i="45" s="1"/>
  <c r="B67" i="45"/>
  <c r="Z66" i="45"/>
  <c r="X66" i="45"/>
  <c r="V66" i="45"/>
  <c r="N66" i="45"/>
  <c r="L66" i="45"/>
  <c r="B66" i="45"/>
  <c r="T65" i="45"/>
  <c r="P65" i="45"/>
  <c r="X65" i="45" s="1"/>
  <c r="Z65" i="45" s="1"/>
  <c r="L65" i="45"/>
  <c r="N65" i="45" s="1"/>
  <c r="H65" i="45"/>
  <c r="D65" i="45"/>
  <c r="B65" i="45"/>
  <c r="Z64" i="45"/>
  <c r="X64" i="45"/>
  <c r="N64" i="45"/>
  <c r="L64" i="45"/>
  <c r="B64" i="45"/>
  <c r="X63" i="45"/>
  <c r="T63" i="45"/>
  <c r="Z63" i="45" s="1"/>
  <c r="P63" i="45"/>
  <c r="H63" i="45"/>
  <c r="D63" i="45"/>
  <c r="B63" i="45"/>
  <c r="Z62" i="45"/>
  <c r="X62" i="45"/>
  <c r="N62" i="45"/>
  <c r="L62" i="45"/>
  <c r="B62" i="45"/>
  <c r="T61" i="45"/>
  <c r="Z61" i="45" s="1"/>
  <c r="P61" i="45"/>
  <c r="X61" i="45" s="1"/>
  <c r="H61" i="45"/>
  <c r="D61" i="45"/>
  <c r="L61" i="45" s="1"/>
  <c r="B61" i="45"/>
  <c r="Z60" i="45"/>
  <c r="X60" i="45"/>
  <c r="N60" i="45"/>
  <c r="L60" i="45"/>
  <c r="B60" i="45"/>
  <c r="X59" i="45"/>
  <c r="Z59" i="45" s="1"/>
  <c r="T59" i="45"/>
  <c r="P59" i="45"/>
  <c r="N59" i="45"/>
  <c r="H59" i="45"/>
  <c r="D59" i="45"/>
  <c r="L59" i="45" s="1"/>
  <c r="B59" i="45"/>
  <c r="Z58" i="45"/>
  <c r="X58" i="45"/>
  <c r="N58" i="45"/>
  <c r="L58" i="45"/>
  <c r="B58" i="45"/>
  <c r="X57" i="45"/>
  <c r="T57" i="45"/>
  <c r="P57" i="45"/>
  <c r="L57" i="45"/>
  <c r="H57" i="45"/>
  <c r="N57" i="45" s="1"/>
  <c r="D57" i="45"/>
  <c r="B57" i="45"/>
  <c r="Z56" i="45"/>
  <c r="X56" i="45"/>
  <c r="V56" i="45"/>
  <c r="N56" i="45"/>
  <c r="L56" i="45"/>
  <c r="B56" i="45"/>
  <c r="T55" i="45"/>
  <c r="P55" i="45"/>
  <c r="H55" i="45"/>
  <c r="N55" i="45" s="1"/>
  <c r="D55" i="45"/>
  <c r="L55" i="45" s="1"/>
  <c r="B55" i="45"/>
  <c r="Z54" i="45"/>
  <c r="X54" i="45"/>
  <c r="N54" i="45"/>
  <c r="L54" i="45"/>
  <c r="B54" i="45"/>
  <c r="T53" i="45"/>
  <c r="P53" i="45"/>
  <c r="X53" i="45" s="1"/>
  <c r="Z53" i="45" s="1"/>
  <c r="L53" i="45"/>
  <c r="N53" i="45" s="1"/>
  <c r="H53" i="45"/>
  <c r="D53" i="45"/>
  <c r="B53" i="45"/>
  <c r="Z52" i="45"/>
  <c r="X52" i="45"/>
  <c r="N52" i="45"/>
  <c r="L52" i="45"/>
  <c r="B52" i="45"/>
  <c r="X51" i="45"/>
  <c r="T51" i="45"/>
  <c r="Z51" i="45" s="1"/>
  <c r="P51" i="45"/>
  <c r="H51" i="45"/>
  <c r="D51" i="45"/>
  <c r="B51" i="45"/>
  <c r="Z50" i="45"/>
  <c r="X50" i="45"/>
  <c r="N50" i="45"/>
  <c r="L50" i="45"/>
  <c r="B50" i="45"/>
  <c r="T49" i="45"/>
  <c r="Z49" i="45" s="1"/>
  <c r="P49" i="45"/>
  <c r="X49" i="45" s="1"/>
  <c r="H49" i="45"/>
  <c r="D49" i="45"/>
  <c r="L49" i="45" s="1"/>
  <c r="B49" i="45"/>
  <c r="Z48" i="45"/>
  <c r="X48" i="45"/>
  <c r="N48" i="45"/>
  <c r="L48" i="45"/>
  <c r="B48" i="45"/>
  <c r="X47" i="45"/>
  <c r="Z47" i="45" s="1"/>
  <c r="T47" i="45"/>
  <c r="P47" i="45"/>
  <c r="N47" i="45"/>
  <c r="H47" i="45"/>
  <c r="D47" i="45"/>
  <c r="L47" i="45" s="1"/>
  <c r="B47" i="45"/>
  <c r="Z46" i="45"/>
  <c r="X46" i="45"/>
  <c r="N46" i="45"/>
  <c r="L46" i="45"/>
  <c r="B46" i="45"/>
  <c r="T45" i="45"/>
  <c r="P45" i="45"/>
  <c r="L45" i="45"/>
  <c r="H45" i="45"/>
  <c r="N45" i="45" s="1"/>
  <c r="D45" i="45"/>
  <c r="B45" i="45"/>
  <c r="Z44" i="45"/>
  <c r="X44" i="45"/>
  <c r="N44" i="45"/>
  <c r="L44" i="45"/>
  <c r="B44" i="45"/>
  <c r="Z43" i="45"/>
  <c r="X43" i="45"/>
  <c r="N43" i="45"/>
  <c r="L43" i="45"/>
  <c r="B43" i="45"/>
  <c r="Z42" i="45"/>
  <c r="X42" i="45"/>
  <c r="N42" i="45"/>
  <c r="L42" i="45"/>
  <c r="B42" i="45"/>
  <c r="Z41" i="45"/>
  <c r="X41" i="45"/>
  <c r="N41" i="45"/>
  <c r="L41" i="45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N38" i="45"/>
  <c r="L38" i="45"/>
  <c r="B38" i="45"/>
  <c r="T37" i="45"/>
  <c r="P37" i="45"/>
  <c r="H37" i="45"/>
  <c r="D37" i="45"/>
  <c r="B37" i="45"/>
  <c r="Z36" i="45"/>
  <c r="X36" i="45"/>
  <c r="N36" i="45"/>
  <c r="L36" i="45"/>
  <c r="B36" i="45"/>
  <c r="X35" i="45"/>
  <c r="Z35" i="45" s="1"/>
  <c r="L35" i="45"/>
  <c r="N35" i="45" s="1"/>
  <c r="B35" i="45"/>
  <c r="Z34" i="45"/>
  <c r="X34" i="45"/>
  <c r="N34" i="45"/>
  <c r="L34" i="45"/>
  <c r="B34" i="45"/>
  <c r="Z33" i="45"/>
  <c r="X33" i="45"/>
  <c r="L33" i="45"/>
  <c r="N33" i="45" s="1"/>
  <c r="B33" i="45"/>
  <c r="Z32" i="45"/>
  <c r="X32" i="45"/>
  <c r="N32" i="45"/>
  <c r="L32" i="45"/>
  <c r="B32" i="45"/>
  <c r="X31" i="45"/>
  <c r="Z31" i="45" s="1"/>
  <c r="L31" i="45"/>
  <c r="N31" i="45" s="1"/>
  <c r="B31" i="45"/>
  <c r="Z30" i="45"/>
  <c r="X30" i="45"/>
  <c r="V30" i="45"/>
  <c r="N30" i="45"/>
  <c r="L30" i="45"/>
  <c r="B30" i="45"/>
  <c r="Z29" i="45"/>
  <c r="X29" i="45"/>
  <c r="L29" i="45"/>
  <c r="N29" i="45" s="1"/>
  <c r="B29" i="45"/>
  <c r="Z28" i="45"/>
  <c r="X28" i="45"/>
  <c r="N28" i="45"/>
  <c r="L28" i="45"/>
  <c r="B28" i="45"/>
  <c r="T27" i="45"/>
  <c r="P27" i="45"/>
  <c r="X27" i="45" s="1"/>
  <c r="Z27" i="45" s="1"/>
  <c r="H27" i="45"/>
  <c r="D27" i="45"/>
  <c r="L27" i="45" s="1"/>
  <c r="N27" i="45" s="1"/>
  <c r="B27" i="45"/>
  <c r="T26" i="45"/>
  <c r="P26" i="45"/>
  <c r="X26" i="45" s="1"/>
  <c r="Z26" i="45" s="1"/>
  <c r="H26" i="45"/>
  <c r="D26" i="45"/>
  <c r="L26" i="45" s="1"/>
  <c r="N26" i="45" s="1"/>
  <c r="Z22" i="45"/>
  <c r="X22" i="45"/>
  <c r="N22" i="45"/>
  <c r="L22" i="45"/>
  <c r="B22" i="45"/>
  <c r="X21" i="45"/>
  <c r="Z21" i="45" s="1"/>
  <c r="N21" i="45"/>
  <c r="L21" i="45"/>
  <c r="B21" i="45"/>
  <c r="T20" i="45"/>
  <c r="P20" i="45"/>
  <c r="X20" i="45" s="1"/>
  <c r="Z20" i="45" s="1"/>
  <c r="H20" i="45"/>
  <c r="D20" i="45"/>
  <c r="L20" i="45" s="1"/>
  <c r="N20" i="45" s="1"/>
  <c r="Z18" i="45"/>
  <c r="X18" i="45"/>
  <c r="T18" i="45"/>
  <c r="P18" i="45"/>
  <c r="H18" i="45"/>
  <c r="D18" i="45"/>
  <c r="B18" i="45"/>
  <c r="X17" i="45"/>
  <c r="T17" i="45"/>
  <c r="P17" i="45"/>
  <c r="N17" i="45"/>
  <c r="H17" i="45"/>
  <c r="D17" i="45"/>
  <c r="L17" i="45" s="1"/>
  <c r="B17" i="45"/>
  <c r="Z16" i="45"/>
  <c r="X16" i="45"/>
  <c r="T16" i="45"/>
  <c r="P16" i="45"/>
  <c r="N16" i="45"/>
  <c r="L16" i="45"/>
  <c r="H16" i="45"/>
  <c r="D16" i="45"/>
  <c r="B16" i="45"/>
  <c r="X15" i="45"/>
  <c r="T15" i="45"/>
  <c r="P15" i="45"/>
  <c r="H15" i="45"/>
  <c r="D15" i="45"/>
  <c r="L15" i="45" s="1"/>
  <c r="N15" i="45" s="1"/>
  <c r="B15" i="45"/>
  <c r="Z14" i="45"/>
  <c r="X14" i="45"/>
  <c r="T14" i="45"/>
  <c r="P14" i="45"/>
  <c r="N14" i="45"/>
  <c r="H14" i="45"/>
  <c r="D14" i="45"/>
  <c r="B14" i="45"/>
  <c r="X13" i="45"/>
  <c r="T13" i="45"/>
  <c r="T12" i="45" s="1"/>
  <c r="V28" i="45" s="1"/>
  <c r="P13" i="45"/>
  <c r="P12" i="45" s="1"/>
  <c r="R89" i="45" s="1"/>
  <c r="H13" i="45"/>
  <c r="D13" i="45"/>
  <c r="B13" i="45"/>
  <c r="D4" i="45"/>
  <c r="Z126" i="42"/>
  <c r="X126" i="42"/>
  <c r="L126" i="42"/>
  <c r="N126" i="42" s="1"/>
  <c r="T122" i="42"/>
  <c r="P122" i="42"/>
  <c r="X122" i="42" s="1"/>
  <c r="H122" i="42"/>
  <c r="D122" i="42"/>
  <c r="B122" i="42"/>
  <c r="T121" i="42"/>
  <c r="P121" i="42"/>
  <c r="X121" i="42" s="1"/>
  <c r="H121" i="42"/>
  <c r="N121" i="42" s="1"/>
  <c r="D121" i="42"/>
  <c r="B121" i="42"/>
  <c r="X120" i="42"/>
  <c r="T120" i="42"/>
  <c r="P120" i="42"/>
  <c r="L120" i="42"/>
  <c r="H120" i="42"/>
  <c r="N120" i="42" s="1"/>
  <c r="D120" i="42"/>
  <c r="D119" i="42" s="1"/>
  <c r="B120" i="42"/>
  <c r="X117" i="42"/>
  <c r="Z117" i="42" s="1"/>
  <c r="N117" i="42"/>
  <c r="L117" i="42"/>
  <c r="B117" i="42"/>
  <c r="T116" i="42"/>
  <c r="R116" i="42"/>
  <c r="P116" i="42"/>
  <c r="X116" i="42" s="1"/>
  <c r="H116" i="42"/>
  <c r="D116" i="42"/>
  <c r="B116" i="42"/>
  <c r="Z115" i="42"/>
  <c r="X115" i="42"/>
  <c r="N115" i="42"/>
  <c r="L115" i="42"/>
  <c r="B115" i="42"/>
  <c r="Z114" i="42"/>
  <c r="X114" i="42"/>
  <c r="N114" i="42"/>
  <c r="L114" i="42"/>
  <c r="B114" i="42"/>
  <c r="Z113" i="42"/>
  <c r="X113" i="42"/>
  <c r="N113" i="42"/>
  <c r="L113" i="42"/>
  <c r="B113" i="42"/>
  <c r="X112" i="42"/>
  <c r="Z112" i="42" s="1"/>
  <c r="T112" i="42"/>
  <c r="P112" i="42"/>
  <c r="N112" i="42"/>
  <c r="H112" i="42"/>
  <c r="D112" i="42"/>
  <c r="L112" i="42" s="1"/>
  <c r="B112" i="42"/>
  <c r="Z111" i="42"/>
  <c r="X111" i="42"/>
  <c r="N111" i="42"/>
  <c r="L111" i="42"/>
  <c r="B111" i="42"/>
  <c r="T110" i="42"/>
  <c r="P110" i="42"/>
  <c r="H110" i="42"/>
  <c r="D110" i="42"/>
  <c r="B110" i="42"/>
  <c r="X109" i="42"/>
  <c r="Z109" i="42" s="1"/>
  <c r="N109" i="42"/>
  <c r="L109" i="42"/>
  <c r="B109" i="42"/>
  <c r="T108" i="42"/>
  <c r="P108" i="42"/>
  <c r="X108" i="42" s="1"/>
  <c r="H108" i="42"/>
  <c r="D108" i="42"/>
  <c r="B108" i="42"/>
  <c r="Z107" i="42"/>
  <c r="X107" i="42"/>
  <c r="N107" i="42"/>
  <c r="L107" i="42"/>
  <c r="B107" i="42"/>
  <c r="Z106" i="42"/>
  <c r="X106" i="42"/>
  <c r="N106" i="42"/>
  <c r="L106" i="42"/>
  <c r="B106" i="42"/>
  <c r="Z105" i="42"/>
  <c r="X105" i="42"/>
  <c r="N105" i="42"/>
  <c r="L105" i="42"/>
  <c r="B105" i="42"/>
  <c r="X104" i="42"/>
  <c r="Z104" i="42" s="1"/>
  <c r="N104" i="42"/>
  <c r="L104" i="42"/>
  <c r="B104" i="42"/>
  <c r="Z103" i="42"/>
  <c r="X103" i="42"/>
  <c r="N103" i="42"/>
  <c r="L103" i="42"/>
  <c r="B103" i="42"/>
  <c r="Z102" i="42"/>
  <c r="X102" i="42"/>
  <c r="N102" i="42"/>
  <c r="L102" i="42"/>
  <c r="B102" i="42"/>
  <c r="Z101" i="42"/>
  <c r="X101" i="42"/>
  <c r="N101" i="42"/>
  <c r="L101" i="42"/>
  <c r="B101" i="42"/>
  <c r="X100" i="42"/>
  <c r="Z100" i="42" s="1"/>
  <c r="L100" i="42"/>
  <c r="N100" i="42" s="1"/>
  <c r="B100" i="42"/>
  <c r="Z99" i="42"/>
  <c r="X99" i="42"/>
  <c r="N99" i="42"/>
  <c r="L99" i="42"/>
  <c r="B99" i="42"/>
  <c r="X98" i="42"/>
  <c r="Z98" i="42" s="1"/>
  <c r="N98" i="42"/>
  <c r="L98" i="42"/>
  <c r="J98" i="42"/>
  <c r="B98" i="42"/>
  <c r="T97" i="42"/>
  <c r="P97" i="42"/>
  <c r="H97" i="42"/>
  <c r="D97" i="42"/>
  <c r="L97" i="42" s="1"/>
  <c r="B97" i="42"/>
  <c r="X96" i="42"/>
  <c r="Z96" i="42" s="1"/>
  <c r="N96" i="42"/>
  <c r="L96" i="42"/>
  <c r="B96" i="42"/>
  <c r="Z95" i="42"/>
  <c r="X95" i="42"/>
  <c r="N95" i="42"/>
  <c r="L95" i="42"/>
  <c r="B95" i="42"/>
  <c r="X94" i="42"/>
  <c r="T94" i="42"/>
  <c r="P94" i="42"/>
  <c r="H94" i="42"/>
  <c r="N94" i="42" s="1"/>
  <c r="D94" i="42"/>
  <c r="B94" i="42"/>
  <c r="Z93" i="42"/>
  <c r="X93" i="42"/>
  <c r="N93" i="42"/>
  <c r="L93" i="42"/>
  <c r="B93" i="42"/>
  <c r="X92" i="42"/>
  <c r="Z92" i="42" s="1"/>
  <c r="N92" i="42"/>
  <c r="L92" i="42"/>
  <c r="B92" i="42"/>
  <c r="X91" i="42"/>
  <c r="Z91" i="42" s="1"/>
  <c r="N91" i="42"/>
  <c r="L91" i="42"/>
  <c r="B91" i="42"/>
  <c r="Z90" i="42"/>
  <c r="X90" i="42"/>
  <c r="N90" i="42"/>
  <c r="L90" i="42"/>
  <c r="B90" i="42"/>
  <c r="Z89" i="42"/>
  <c r="X89" i="42"/>
  <c r="N89" i="42"/>
  <c r="L89" i="42"/>
  <c r="B89" i="42"/>
  <c r="T88" i="42"/>
  <c r="P88" i="42"/>
  <c r="H88" i="42"/>
  <c r="D88" i="42"/>
  <c r="B88" i="42"/>
  <c r="Z87" i="42"/>
  <c r="X87" i="42"/>
  <c r="N87" i="42"/>
  <c r="L87" i="42"/>
  <c r="B87" i="42"/>
  <c r="X86" i="42"/>
  <c r="Z86" i="42" s="1"/>
  <c r="N86" i="42"/>
  <c r="L86" i="42"/>
  <c r="B86" i="42"/>
  <c r="T85" i="42"/>
  <c r="P85" i="42"/>
  <c r="X85" i="42" s="1"/>
  <c r="H85" i="42"/>
  <c r="N85" i="42" s="1"/>
  <c r="F85" i="42"/>
  <c r="D85" i="42"/>
  <c r="L85" i="42" s="1"/>
  <c r="B85" i="42"/>
  <c r="X84" i="42"/>
  <c r="Z84" i="42" s="1"/>
  <c r="N84" i="42"/>
  <c r="L84" i="42"/>
  <c r="B84" i="42"/>
  <c r="Z83" i="42"/>
  <c r="X83" i="42"/>
  <c r="N83" i="42"/>
  <c r="L83" i="42"/>
  <c r="B83" i="42"/>
  <c r="X82" i="42"/>
  <c r="Z82" i="42" s="1"/>
  <c r="N82" i="42"/>
  <c r="L82" i="42"/>
  <c r="B82" i="42"/>
  <c r="Z81" i="42"/>
  <c r="X81" i="42"/>
  <c r="N81" i="42"/>
  <c r="L81" i="42"/>
  <c r="B81" i="42"/>
  <c r="T80" i="42"/>
  <c r="P80" i="42"/>
  <c r="L80" i="42"/>
  <c r="H80" i="42"/>
  <c r="D80" i="42"/>
  <c r="B80" i="42"/>
  <c r="X79" i="42"/>
  <c r="Z79" i="42" s="1"/>
  <c r="N79" i="42"/>
  <c r="L79" i="42"/>
  <c r="B79" i="42"/>
  <c r="T78" i="42"/>
  <c r="P78" i="42"/>
  <c r="H78" i="42"/>
  <c r="D78" i="42"/>
  <c r="L78" i="42" s="1"/>
  <c r="B78" i="42"/>
  <c r="Z77" i="42"/>
  <c r="X77" i="42"/>
  <c r="N77" i="42"/>
  <c r="L77" i="42"/>
  <c r="B77" i="42"/>
  <c r="T76" i="42"/>
  <c r="P76" i="42"/>
  <c r="X76" i="42" s="1"/>
  <c r="Z76" i="42" s="1"/>
  <c r="H76" i="42"/>
  <c r="D76" i="42"/>
  <c r="B76" i="42"/>
  <c r="X75" i="42"/>
  <c r="Z75" i="42" s="1"/>
  <c r="L75" i="42"/>
  <c r="N75" i="42" s="1"/>
  <c r="B75" i="42"/>
  <c r="T74" i="42"/>
  <c r="X74" i="42" s="1"/>
  <c r="P74" i="42"/>
  <c r="H74" i="42"/>
  <c r="D74" i="42"/>
  <c r="L74" i="42" s="1"/>
  <c r="B74" i="42"/>
  <c r="Z73" i="42"/>
  <c r="X73" i="42"/>
  <c r="N73" i="42"/>
  <c r="L73" i="42"/>
  <c r="B73" i="42"/>
  <c r="T72" i="42"/>
  <c r="P72" i="42"/>
  <c r="N72" i="42"/>
  <c r="L72" i="42"/>
  <c r="H72" i="42"/>
  <c r="D72" i="42"/>
  <c r="B72" i="42"/>
  <c r="Z71" i="42"/>
  <c r="X71" i="42"/>
  <c r="N71" i="42"/>
  <c r="L71" i="42"/>
  <c r="J71" i="42"/>
  <c r="B71" i="42"/>
  <c r="Z70" i="42"/>
  <c r="X70" i="42"/>
  <c r="N70" i="42"/>
  <c r="L70" i="42"/>
  <c r="B70" i="42"/>
  <c r="T69" i="42"/>
  <c r="P69" i="42"/>
  <c r="H69" i="42"/>
  <c r="D69" i="42"/>
  <c r="L69" i="42" s="1"/>
  <c r="N69" i="42" s="1"/>
  <c r="B69" i="42"/>
  <c r="X68" i="42"/>
  <c r="Z68" i="42" s="1"/>
  <c r="N68" i="42"/>
  <c r="L68" i="42"/>
  <c r="B68" i="42"/>
  <c r="T67" i="42"/>
  <c r="P67" i="42"/>
  <c r="X67" i="42" s="1"/>
  <c r="Z67" i="42" s="1"/>
  <c r="L67" i="42"/>
  <c r="N67" i="42" s="1"/>
  <c r="H67" i="42"/>
  <c r="D67" i="42"/>
  <c r="B67" i="42"/>
  <c r="X66" i="42"/>
  <c r="Z66" i="42" s="1"/>
  <c r="L66" i="42"/>
  <c r="N66" i="42" s="1"/>
  <c r="F66" i="42"/>
  <c r="B66" i="42"/>
  <c r="T65" i="42"/>
  <c r="X65" i="42" s="1"/>
  <c r="Z65" i="42" s="1"/>
  <c r="P65" i="42"/>
  <c r="L65" i="42"/>
  <c r="N65" i="42" s="1"/>
  <c r="H65" i="42"/>
  <c r="F65" i="42"/>
  <c r="D65" i="42"/>
  <c r="B65" i="42"/>
  <c r="X64" i="42"/>
  <c r="Z64" i="42" s="1"/>
  <c r="N64" i="42"/>
  <c r="L64" i="42"/>
  <c r="B64" i="42"/>
  <c r="Z63" i="42"/>
  <c r="T63" i="42"/>
  <c r="P63" i="42"/>
  <c r="X63" i="42" s="1"/>
  <c r="H63" i="42"/>
  <c r="N63" i="42" s="1"/>
  <c r="D63" i="42"/>
  <c r="L63" i="42" s="1"/>
  <c r="B63" i="42"/>
  <c r="X62" i="42"/>
  <c r="Z62" i="42" s="1"/>
  <c r="N62" i="42"/>
  <c r="L62" i="42"/>
  <c r="B62" i="42"/>
  <c r="X61" i="42"/>
  <c r="Z61" i="42" s="1"/>
  <c r="T61" i="42"/>
  <c r="P61" i="42"/>
  <c r="N61" i="42"/>
  <c r="L61" i="42"/>
  <c r="H61" i="42"/>
  <c r="D61" i="42"/>
  <c r="B61" i="42"/>
  <c r="X60" i="42"/>
  <c r="Z60" i="42" s="1"/>
  <c r="N60" i="42"/>
  <c r="L60" i="42"/>
  <c r="J60" i="42"/>
  <c r="B60" i="42"/>
  <c r="X59" i="42"/>
  <c r="T59" i="42"/>
  <c r="Z59" i="42" s="1"/>
  <c r="P59" i="42"/>
  <c r="H59" i="42"/>
  <c r="D59" i="42"/>
  <c r="B59" i="42"/>
  <c r="Z58" i="42"/>
  <c r="X58" i="42"/>
  <c r="N58" i="42"/>
  <c r="L58" i="42"/>
  <c r="B58" i="42"/>
  <c r="Z57" i="42"/>
  <c r="X57" i="42"/>
  <c r="N57" i="42"/>
  <c r="L57" i="42"/>
  <c r="B57" i="42"/>
  <c r="Z56" i="42"/>
  <c r="X56" i="42"/>
  <c r="N56" i="42"/>
  <c r="L56" i="42"/>
  <c r="B56" i="42"/>
  <c r="T55" i="42"/>
  <c r="Z55" i="42" s="1"/>
  <c r="P55" i="42"/>
  <c r="X55" i="42" s="1"/>
  <c r="H55" i="42"/>
  <c r="L55" i="42" s="1"/>
  <c r="N55" i="42" s="1"/>
  <c r="D55" i="42"/>
  <c r="B55" i="42"/>
  <c r="X54" i="42"/>
  <c r="Z54" i="42" s="1"/>
  <c r="N54" i="42"/>
  <c r="L54" i="42"/>
  <c r="B54" i="42"/>
  <c r="T53" i="42"/>
  <c r="P53" i="42"/>
  <c r="X53" i="42" s="1"/>
  <c r="L53" i="42"/>
  <c r="H53" i="42"/>
  <c r="N53" i="42" s="1"/>
  <c r="D53" i="42"/>
  <c r="B53" i="42"/>
  <c r="X52" i="42"/>
  <c r="Z52" i="42" s="1"/>
  <c r="N52" i="42"/>
  <c r="L52" i="42"/>
  <c r="J52" i="42"/>
  <c r="B52" i="42"/>
  <c r="T51" i="42"/>
  <c r="P51" i="42"/>
  <c r="X51" i="42" s="1"/>
  <c r="H51" i="42"/>
  <c r="D51" i="42"/>
  <c r="B51" i="42"/>
  <c r="Z50" i="42"/>
  <c r="X50" i="42"/>
  <c r="L50" i="42"/>
  <c r="N50" i="42" s="1"/>
  <c r="B50" i="42"/>
  <c r="T49" i="42"/>
  <c r="X49" i="42" s="1"/>
  <c r="Z49" i="42" s="1"/>
  <c r="P49" i="42"/>
  <c r="H49" i="42"/>
  <c r="N49" i="42" s="1"/>
  <c r="D49" i="42"/>
  <c r="L49" i="42" s="1"/>
  <c r="B49" i="42"/>
  <c r="Z48" i="42"/>
  <c r="X48" i="42"/>
  <c r="N48" i="42"/>
  <c r="L48" i="42"/>
  <c r="B48" i="42"/>
  <c r="X47" i="42"/>
  <c r="Z47" i="42" s="1"/>
  <c r="N47" i="42"/>
  <c r="L47" i="42"/>
  <c r="B47" i="42"/>
  <c r="X46" i="42"/>
  <c r="Z46" i="42" s="1"/>
  <c r="N46" i="42"/>
  <c r="L46" i="42"/>
  <c r="B46" i="42"/>
  <c r="X45" i="42"/>
  <c r="Z45" i="42" s="1"/>
  <c r="N45" i="42"/>
  <c r="L45" i="42"/>
  <c r="F45" i="42"/>
  <c r="B45" i="42"/>
  <c r="Z44" i="42"/>
  <c r="X44" i="42"/>
  <c r="L44" i="42"/>
  <c r="N44" i="42" s="1"/>
  <c r="B44" i="42"/>
  <c r="X43" i="42"/>
  <c r="Z43" i="42" s="1"/>
  <c r="L43" i="42"/>
  <c r="N43" i="42" s="1"/>
  <c r="B43" i="42"/>
  <c r="X42" i="42"/>
  <c r="Z42" i="42" s="1"/>
  <c r="N42" i="42"/>
  <c r="L42" i="42"/>
  <c r="B42" i="42"/>
  <c r="T41" i="42"/>
  <c r="Z41" i="42" s="1"/>
  <c r="P41" i="42"/>
  <c r="X41" i="42" s="1"/>
  <c r="L41" i="42"/>
  <c r="H41" i="42"/>
  <c r="D41" i="42"/>
  <c r="B41" i="42"/>
  <c r="X40" i="42"/>
  <c r="Z40" i="42" s="1"/>
  <c r="N40" i="42"/>
  <c r="L40" i="42"/>
  <c r="J40" i="42"/>
  <c r="B40" i="42"/>
  <c r="X39" i="42"/>
  <c r="Z39" i="42" s="1"/>
  <c r="L39" i="42"/>
  <c r="N39" i="42" s="1"/>
  <c r="B39" i="42"/>
  <c r="Z38" i="42"/>
  <c r="X38" i="42"/>
  <c r="N38" i="42"/>
  <c r="L38" i="42"/>
  <c r="B38" i="42"/>
  <c r="Z37" i="42"/>
  <c r="X37" i="42"/>
  <c r="R37" i="42"/>
  <c r="N37" i="42"/>
  <c r="L37" i="42"/>
  <c r="B37" i="42"/>
  <c r="X36" i="42"/>
  <c r="Z36" i="42" s="1"/>
  <c r="N36" i="42"/>
  <c r="L36" i="42"/>
  <c r="J36" i="42"/>
  <c r="B36" i="42"/>
  <c r="X35" i="42"/>
  <c r="Z35" i="42" s="1"/>
  <c r="L35" i="42"/>
  <c r="N35" i="42" s="1"/>
  <c r="B35" i="42"/>
  <c r="Z34" i="42"/>
  <c r="X34" i="42"/>
  <c r="N34" i="42"/>
  <c r="L34" i="42"/>
  <c r="B34" i="42"/>
  <c r="Z33" i="42"/>
  <c r="X33" i="42"/>
  <c r="N33" i="42"/>
  <c r="L33" i="42"/>
  <c r="B33" i="42"/>
  <c r="X32" i="42"/>
  <c r="Z32" i="42" s="1"/>
  <c r="N32" i="42"/>
  <c r="L32" i="42"/>
  <c r="J32" i="42"/>
  <c r="B32" i="42"/>
  <c r="T31" i="42"/>
  <c r="Z31" i="42" s="1"/>
  <c r="P31" i="42"/>
  <c r="X31" i="42" s="1"/>
  <c r="H31" i="42"/>
  <c r="D31" i="42"/>
  <c r="B31" i="42"/>
  <c r="T30" i="42"/>
  <c r="P30" i="42"/>
  <c r="X30" i="42" s="1"/>
  <c r="J30" i="42"/>
  <c r="H30" i="42"/>
  <c r="D30" i="42"/>
  <c r="J28" i="42"/>
  <c r="Z26" i="42"/>
  <c r="X26" i="42"/>
  <c r="L26" i="42"/>
  <c r="N26" i="42" s="1"/>
  <c r="B26" i="42"/>
  <c r="Z25" i="42"/>
  <c r="X25" i="42"/>
  <c r="N25" i="42"/>
  <c r="L25" i="42"/>
  <c r="B25" i="42"/>
  <c r="T24" i="42"/>
  <c r="P24" i="42"/>
  <c r="X24" i="42" s="1"/>
  <c r="Z24" i="42" s="1"/>
  <c r="H24" i="42"/>
  <c r="N24" i="42" s="1"/>
  <c r="D24" i="42"/>
  <c r="L24" i="42" s="1"/>
  <c r="T22" i="42"/>
  <c r="P22" i="42"/>
  <c r="X22" i="42" s="1"/>
  <c r="H22" i="42"/>
  <c r="N22" i="42" s="1"/>
  <c r="D22" i="42"/>
  <c r="B22" i="42"/>
  <c r="T21" i="42"/>
  <c r="P21" i="42"/>
  <c r="X21" i="42" s="1"/>
  <c r="L21" i="42"/>
  <c r="H21" i="42"/>
  <c r="N21" i="42" s="1"/>
  <c r="D21" i="42"/>
  <c r="B21" i="42"/>
  <c r="T20" i="42"/>
  <c r="P20" i="42"/>
  <c r="X20" i="42" s="1"/>
  <c r="Z20" i="42" s="1"/>
  <c r="L20" i="42"/>
  <c r="H20" i="42"/>
  <c r="N20" i="42" s="1"/>
  <c r="D20" i="42"/>
  <c r="B20" i="42"/>
  <c r="T19" i="42"/>
  <c r="P19" i="42"/>
  <c r="X19" i="42" s="1"/>
  <c r="Z19" i="42" s="1"/>
  <c r="H19" i="42"/>
  <c r="N19" i="42" s="1"/>
  <c r="D19" i="42"/>
  <c r="L19" i="42" s="1"/>
  <c r="B19" i="42"/>
  <c r="T18" i="42"/>
  <c r="P18" i="42"/>
  <c r="H18" i="42"/>
  <c r="N18" i="42" s="1"/>
  <c r="D18" i="42"/>
  <c r="B18" i="42"/>
  <c r="T17" i="42"/>
  <c r="P17" i="42"/>
  <c r="X17" i="42" s="1"/>
  <c r="L17" i="42"/>
  <c r="H17" i="42"/>
  <c r="N17" i="42" s="1"/>
  <c r="D17" i="42"/>
  <c r="B17" i="42"/>
  <c r="T16" i="42"/>
  <c r="P16" i="42"/>
  <c r="X16" i="42" s="1"/>
  <c r="Z16" i="42" s="1"/>
  <c r="L16" i="42"/>
  <c r="H16" i="42"/>
  <c r="N16" i="42" s="1"/>
  <c r="D16" i="42"/>
  <c r="B16" i="42"/>
  <c r="T15" i="42"/>
  <c r="P15" i="42"/>
  <c r="X15" i="42" s="1"/>
  <c r="Z15" i="42" s="1"/>
  <c r="H15" i="42"/>
  <c r="N15" i="42" s="1"/>
  <c r="D15" i="42"/>
  <c r="L15" i="42" s="1"/>
  <c r="B15" i="42"/>
  <c r="T14" i="42"/>
  <c r="P14" i="42"/>
  <c r="X14" i="42" s="1"/>
  <c r="H14" i="42"/>
  <c r="N14" i="42" s="1"/>
  <c r="D14" i="42"/>
  <c r="B14" i="42"/>
  <c r="T13" i="42"/>
  <c r="P13" i="42"/>
  <c r="P12" i="42" s="1"/>
  <c r="L13" i="42"/>
  <c r="H13" i="42"/>
  <c r="N13" i="42" s="1"/>
  <c r="D13" i="42"/>
  <c r="D12" i="42" s="1"/>
  <c r="B13" i="42"/>
  <c r="L12" i="42"/>
  <c r="H12" i="42"/>
  <c r="J110" i="42" s="1"/>
  <c r="D4" i="42"/>
  <c r="X134" i="39"/>
  <c r="Z134" i="39" s="1"/>
  <c r="L134" i="39"/>
  <c r="N134" i="39" s="1"/>
  <c r="X130" i="39"/>
  <c r="T130" i="39"/>
  <c r="P130" i="39"/>
  <c r="H130" i="39"/>
  <c r="D130" i="39"/>
  <c r="L130" i="39" s="1"/>
  <c r="B130" i="39"/>
  <c r="Z129" i="39"/>
  <c r="X129" i="39"/>
  <c r="T129" i="39"/>
  <c r="P129" i="39"/>
  <c r="H129" i="39"/>
  <c r="F129" i="39"/>
  <c r="D129" i="39"/>
  <c r="B129" i="39"/>
  <c r="T128" i="39"/>
  <c r="X128" i="39" s="1"/>
  <c r="Z128" i="39" s="1"/>
  <c r="P128" i="39"/>
  <c r="H128" i="39"/>
  <c r="D128" i="39"/>
  <c r="B128" i="39"/>
  <c r="P127" i="39"/>
  <c r="Z125" i="39"/>
  <c r="X125" i="39"/>
  <c r="L125" i="39"/>
  <c r="N125" i="39" s="1"/>
  <c r="B125" i="39"/>
  <c r="X124" i="39"/>
  <c r="T124" i="39"/>
  <c r="Z124" i="39" s="1"/>
  <c r="P124" i="39"/>
  <c r="H124" i="39"/>
  <c r="N124" i="39" s="1"/>
  <c r="D124" i="39"/>
  <c r="L124" i="39" s="1"/>
  <c r="B124" i="39"/>
  <c r="Z123" i="39"/>
  <c r="X123" i="39"/>
  <c r="N123" i="39"/>
  <c r="L123" i="39"/>
  <c r="B123" i="39"/>
  <c r="X122" i="39"/>
  <c r="Z122" i="39" s="1"/>
  <c r="N122" i="39"/>
  <c r="L122" i="39"/>
  <c r="B122" i="39"/>
  <c r="X121" i="39"/>
  <c r="Z121" i="39" s="1"/>
  <c r="N121" i="39"/>
  <c r="L121" i="39"/>
  <c r="B121" i="39"/>
  <c r="T120" i="39"/>
  <c r="P120" i="39"/>
  <c r="X120" i="39" s="1"/>
  <c r="Z120" i="39" s="1"/>
  <c r="L120" i="39"/>
  <c r="H120" i="39"/>
  <c r="N120" i="39" s="1"/>
  <c r="D120" i="39"/>
  <c r="B120" i="39"/>
  <c r="Z119" i="39"/>
  <c r="X119" i="39"/>
  <c r="N119" i="39"/>
  <c r="L119" i="39"/>
  <c r="B119" i="39"/>
  <c r="T118" i="39"/>
  <c r="X118" i="39" s="1"/>
  <c r="Z118" i="39" s="1"/>
  <c r="P118" i="39"/>
  <c r="H118" i="39"/>
  <c r="N118" i="39" s="1"/>
  <c r="D118" i="39"/>
  <c r="L118" i="39" s="1"/>
  <c r="B118" i="39"/>
  <c r="Z117" i="39"/>
  <c r="X117" i="39"/>
  <c r="L117" i="39"/>
  <c r="N117" i="39" s="1"/>
  <c r="B117" i="39"/>
  <c r="X116" i="39"/>
  <c r="T116" i="39"/>
  <c r="P116" i="39"/>
  <c r="H116" i="39"/>
  <c r="D116" i="39"/>
  <c r="L116" i="39" s="1"/>
  <c r="B116" i="39"/>
  <c r="Z115" i="39"/>
  <c r="X115" i="39"/>
  <c r="N115" i="39"/>
  <c r="L115" i="39"/>
  <c r="B115" i="39"/>
  <c r="Z114" i="39"/>
  <c r="X114" i="39"/>
  <c r="N114" i="39"/>
  <c r="L114" i="39"/>
  <c r="B114" i="39"/>
  <c r="X113" i="39"/>
  <c r="Z113" i="39" s="1"/>
  <c r="N113" i="39"/>
  <c r="L113" i="39"/>
  <c r="F113" i="39"/>
  <c r="B113" i="39"/>
  <c r="X112" i="39"/>
  <c r="Z112" i="39" s="1"/>
  <c r="N112" i="39"/>
  <c r="L112" i="39"/>
  <c r="F112" i="39"/>
  <c r="B112" i="39"/>
  <c r="Z111" i="39"/>
  <c r="X111" i="39"/>
  <c r="N111" i="39"/>
  <c r="L111" i="39"/>
  <c r="B111" i="39"/>
  <c r="Z110" i="39"/>
  <c r="X110" i="39"/>
  <c r="N110" i="39"/>
  <c r="L110" i="39"/>
  <c r="B110" i="39"/>
  <c r="X109" i="39"/>
  <c r="Z109" i="39" s="1"/>
  <c r="N109" i="39"/>
  <c r="L109" i="39"/>
  <c r="F109" i="39"/>
  <c r="B109" i="39"/>
  <c r="X108" i="39"/>
  <c r="Z108" i="39" s="1"/>
  <c r="L108" i="39"/>
  <c r="N108" i="39" s="1"/>
  <c r="B108" i="39"/>
  <c r="Z107" i="39"/>
  <c r="X107" i="39"/>
  <c r="N107" i="39"/>
  <c r="L107" i="39"/>
  <c r="B107" i="39"/>
  <c r="X106" i="39"/>
  <c r="Z106" i="39" s="1"/>
  <c r="N106" i="39"/>
  <c r="L106" i="39"/>
  <c r="B106" i="39"/>
  <c r="T105" i="39"/>
  <c r="P105" i="39"/>
  <c r="L105" i="39"/>
  <c r="N105" i="39" s="1"/>
  <c r="H105" i="39"/>
  <c r="D105" i="39"/>
  <c r="B105" i="39"/>
  <c r="X104" i="39"/>
  <c r="Z104" i="39" s="1"/>
  <c r="N104" i="39"/>
  <c r="L104" i="39"/>
  <c r="B104" i="39"/>
  <c r="Z103" i="39"/>
  <c r="X103" i="39"/>
  <c r="N103" i="39"/>
  <c r="L103" i="39"/>
  <c r="B103" i="39"/>
  <c r="Z102" i="39"/>
  <c r="T102" i="39"/>
  <c r="X102" i="39" s="1"/>
  <c r="P102" i="39"/>
  <c r="H102" i="39"/>
  <c r="N102" i="39" s="1"/>
  <c r="D102" i="39"/>
  <c r="B102" i="39"/>
  <c r="Z101" i="39"/>
  <c r="X101" i="39"/>
  <c r="L101" i="39"/>
  <c r="N101" i="39" s="1"/>
  <c r="F101" i="39"/>
  <c r="B101" i="39"/>
  <c r="X100" i="39"/>
  <c r="Z100" i="39" s="1"/>
  <c r="L100" i="39"/>
  <c r="N100" i="39" s="1"/>
  <c r="B100" i="39"/>
  <c r="X99" i="39"/>
  <c r="Z99" i="39" s="1"/>
  <c r="L99" i="39"/>
  <c r="N99" i="39" s="1"/>
  <c r="B99" i="39"/>
  <c r="Z98" i="39"/>
  <c r="X98" i="39"/>
  <c r="N98" i="39"/>
  <c r="L98" i="39"/>
  <c r="B98" i="39"/>
  <c r="Z97" i="39"/>
  <c r="X97" i="39"/>
  <c r="L97" i="39"/>
  <c r="N97" i="39" s="1"/>
  <c r="B97" i="39"/>
  <c r="X96" i="39"/>
  <c r="T96" i="39"/>
  <c r="Z96" i="39" s="1"/>
  <c r="P96" i="39"/>
  <c r="H96" i="39"/>
  <c r="N96" i="39" s="1"/>
  <c r="D96" i="39"/>
  <c r="L96" i="39" s="1"/>
  <c r="B96" i="39"/>
  <c r="Z95" i="39"/>
  <c r="X95" i="39"/>
  <c r="N95" i="39"/>
  <c r="L95" i="39"/>
  <c r="B95" i="39"/>
  <c r="X94" i="39"/>
  <c r="Z94" i="39" s="1"/>
  <c r="N94" i="39"/>
  <c r="L94" i="39"/>
  <c r="B94" i="39"/>
  <c r="T93" i="39"/>
  <c r="P93" i="39"/>
  <c r="N93" i="39"/>
  <c r="L93" i="39"/>
  <c r="H93" i="39"/>
  <c r="D93" i="39"/>
  <c r="B93" i="39"/>
  <c r="X92" i="39"/>
  <c r="Z92" i="39" s="1"/>
  <c r="L92" i="39"/>
  <c r="N92" i="39" s="1"/>
  <c r="B92" i="39"/>
  <c r="Z91" i="39"/>
  <c r="X91" i="39"/>
  <c r="L91" i="39"/>
  <c r="N91" i="39" s="1"/>
  <c r="B91" i="39"/>
  <c r="Z90" i="39"/>
  <c r="X90" i="39"/>
  <c r="N90" i="39"/>
  <c r="L90" i="39"/>
  <c r="B90" i="39"/>
  <c r="Z89" i="39"/>
  <c r="X89" i="39"/>
  <c r="N89" i="39"/>
  <c r="L89" i="39"/>
  <c r="B89" i="39"/>
  <c r="T88" i="39"/>
  <c r="P88" i="39"/>
  <c r="X88" i="39" s="1"/>
  <c r="H88" i="39"/>
  <c r="L88" i="39" s="1"/>
  <c r="N88" i="39" s="1"/>
  <c r="D88" i="39"/>
  <c r="B88" i="39"/>
  <c r="X87" i="39"/>
  <c r="Z87" i="39" s="1"/>
  <c r="N87" i="39"/>
  <c r="L87" i="39"/>
  <c r="B87" i="39"/>
  <c r="T86" i="39"/>
  <c r="Z86" i="39" s="1"/>
  <c r="P86" i="39"/>
  <c r="X86" i="39" s="1"/>
  <c r="L86" i="39"/>
  <c r="H86" i="39"/>
  <c r="N86" i="39" s="1"/>
  <c r="D86" i="39"/>
  <c r="B86" i="39"/>
  <c r="X85" i="39"/>
  <c r="Z85" i="39" s="1"/>
  <c r="N85" i="39"/>
  <c r="L85" i="39"/>
  <c r="B85" i="39"/>
  <c r="T84" i="39"/>
  <c r="P84" i="39"/>
  <c r="X84" i="39" s="1"/>
  <c r="Z84" i="39" s="1"/>
  <c r="N84" i="39"/>
  <c r="L84" i="39"/>
  <c r="H84" i="39"/>
  <c r="D84" i="39"/>
  <c r="B84" i="39"/>
  <c r="Z83" i="39"/>
  <c r="X83" i="39"/>
  <c r="L83" i="39"/>
  <c r="N83" i="39" s="1"/>
  <c r="B83" i="39"/>
  <c r="T82" i="39"/>
  <c r="X82" i="39" s="1"/>
  <c r="Z82" i="39" s="1"/>
  <c r="P82" i="39"/>
  <c r="H82" i="39"/>
  <c r="D82" i="39"/>
  <c r="L82" i="39" s="1"/>
  <c r="B82" i="39"/>
  <c r="Z81" i="39"/>
  <c r="X81" i="39"/>
  <c r="L81" i="39"/>
  <c r="N81" i="39" s="1"/>
  <c r="F81" i="39"/>
  <c r="B81" i="39"/>
  <c r="X80" i="39"/>
  <c r="T80" i="39"/>
  <c r="Z80" i="39" s="1"/>
  <c r="P80" i="39"/>
  <c r="H80" i="39"/>
  <c r="D80" i="39"/>
  <c r="L80" i="39" s="1"/>
  <c r="B80" i="39"/>
  <c r="Z79" i="39"/>
  <c r="X79" i="39"/>
  <c r="N79" i="39"/>
  <c r="L79" i="39"/>
  <c r="B79" i="39"/>
  <c r="Z78" i="39"/>
  <c r="X78" i="39"/>
  <c r="N78" i="39"/>
  <c r="L78" i="39"/>
  <c r="B78" i="39"/>
  <c r="T77" i="39"/>
  <c r="P77" i="39"/>
  <c r="N77" i="39"/>
  <c r="L77" i="39"/>
  <c r="H77" i="39"/>
  <c r="D77" i="39"/>
  <c r="B77" i="39"/>
  <c r="X76" i="39"/>
  <c r="Z76" i="39" s="1"/>
  <c r="L76" i="39"/>
  <c r="N76" i="39" s="1"/>
  <c r="B76" i="39"/>
  <c r="Z75" i="39"/>
  <c r="X75" i="39"/>
  <c r="N75" i="39"/>
  <c r="L75" i="39"/>
  <c r="B75" i="39"/>
  <c r="Z74" i="39"/>
  <c r="T74" i="39"/>
  <c r="X74" i="39" s="1"/>
  <c r="P74" i="39"/>
  <c r="H74" i="39"/>
  <c r="D74" i="39"/>
  <c r="L74" i="39" s="1"/>
  <c r="B74" i="39"/>
  <c r="Z73" i="39"/>
  <c r="X73" i="39"/>
  <c r="L73" i="39"/>
  <c r="N73" i="39" s="1"/>
  <c r="F73" i="39"/>
  <c r="B73" i="39"/>
  <c r="X72" i="39"/>
  <c r="T72" i="39"/>
  <c r="P72" i="39"/>
  <c r="H72" i="39"/>
  <c r="N72" i="39" s="1"/>
  <c r="F72" i="39"/>
  <c r="D72" i="39"/>
  <c r="L72" i="39" s="1"/>
  <c r="B72" i="39"/>
  <c r="X71" i="39"/>
  <c r="Z71" i="39" s="1"/>
  <c r="N71" i="39"/>
  <c r="L71" i="39"/>
  <c r="B71" i="39"/>
  <c r="X70" i="39"/>
  <c r="T70" i="39"/>
  <c r="Z70" i="39" s="1"/>
  <c r="P70" i="39"/>
  <c r="H70" i="39"/>
  <c r="N70" i="39" s="1"/>
  <c r="D70" i="39"/>
  <c r="L70" i="39" s="1"/>
  <c r="B70" i="39"/>
  <c r="Z69" i="39"/>
  <c r="X69" i="39"/>
  <c r="N69" i="39"/>
  <c r="L69" i="39"/>
  <c r="B69" i="39"/>
  <c r="T68" i="39"/>
  <c r="P68" i="39"/>
  <c r="N68" i="39"/>
  <c r="H68" i="39"/>
  <c r="L68" i="39" s="1"/>
  <c r="D68" i="39"/>
  <c r="B68" i="39"/>
  <c r="X67" i="39"/>
  <c r="Z67" i="39" s="1"/>
  <c r="N67" i="39"/>
  <c r="L67" i="39"/>
  <c r="B67" i="39"/>
  <c r="T66" i="39"/>
  <c r="Z66" i="39" s="1"/>
  <c r="P66" i="39"/>
  <c r="X66" i="39" s="1"/>
  <c r="L66" i="39"/>
  <c r="H66" i="39"/>
  <c r="N66" i="39" s="1"/>
  <c r="D66" i="39"/>
  <c r="B66" i="39"/>
  <c r="X65" i="39"/>
  <c r="Z65" i="39" s="1"/>
  <c r="N65" i="39"/>
  <c r="L65" i="39"/>
  <c r="F65" i="39"/>
  <c r="B65" i="39"/>
  <c r="X64" i="39"/>
  <c r="Z64" i="39" s="1"/>
  <c r="L64" i="39"/>
  <c r="N64" i="39" s="1"/>
  <c r="F64" i="39"/>
  <c r="B64" i="39"/>
  <c r="Z63" i="39"/>
  <c r="X63" i="39"/>
  <c r="N63" i="39"/>
  <c r="L63" i="39"/>
  <c r="B63" i="39"/>
  <c r="Z62" i="39"/>
  <c r="T62" i="39"/>
  <c r="X62" i="39" s="1"/>
  <c r="P62" i="39"/>
  <c r="H62" i="39"/>
  <c r="N62" i="39" s="1"/>
  <c r="D62" i="39"/>
  <c r="L62" i="39" s="1"/>
  <c r="B62" i="39"/>
  <c r="Z61" i="39"/>
  <c r="X61" i="39"/>
  <c r="N61" i="39"/>
  <c r="L61" i="39"/>
  <c r="B61" i="39"/>
  <c r="T60" i="39"/>
  <c r="P60" i="39"/>
  <c r="X60" i="39" s="1"/>
  <c r="N60" i="39"/>
  <c r="H60" i="39"/>
  <c r="L60" i="39" s="1"/>
  <c r="D60" i="39"/>
  <c r="B60" i="39"/>
  <c r="X59" i="39"/>
  <c r="Z59" i="39" s="1"/>
  <c r="N59" i="39"/>
  <c r="L59" i="39"/>
  <c r="B59" i="39"/>
  <c r="T58" i="39"/>
  <c r="P58" i="39"/>
  <c r="X58" i="39" s="1"/>
  <c r="L58" i="39"/>
  <c r="H58" i="39"/>
  <c r="N58" i="39" s="1"/>
  <c r="D58" i="39"/>
  <c r="B58" i="39"/>
  <c r="X57" i="39"/>
  <c r="Z57" i="39" s="1"/>
  <c r="N57" i="39"/>
  <c r="L57" i="39"/>
  <c r="B57" i="39"/>
  <c r="T56" i="39"/>
  <c r="Z56" i="39" s="1"/>
  <c r="P56" i="39"/>
  <c r="X56" i="39" s="1"/>
  <c r="H56" i="39"/>
  <c r="F56" i="39"/>
  <c r="D56" i="39"/>
  <c r="B56" i="39"/>
  <c r="Z55" i="39"/>
  <c r="X55" i="39"/>
  <c r="N55" i="39"/>
  <c r="L55" i="39"/>
  <c r="B55" i="39"/>
  <c r="Z54" i="39"/>
  <c r="X54" i="39"/>
  <c r="N54" i="39"/>
  <c r="L54" i="39"/>
  <c r="B54" i="39"/>
  <c r="Z53" i="39"/>
  <c r="X53" i="39"/>
  <c r="N53" i="39"/>
  <c r="L53" i="39"/>
  <c r="B53" i="39"/>
  <c r="X52" i="39"/>
  <c r="Z52" i="39" s="1"/>
  <c r="N52" i="39"/>
  <c r="L52" i="39"/>
  <c r="B52" i="39"/>
  <c r="Z51" i="39"/>
  <c r="X51" i="39"/>
  <c r="L51" i="39"/>
  <c r="N51" i="39" s="1"/>
  <c r="B51" i="39"/>
  <c r="Z50" i="39"/>
  <c r="X50" i="39"/>
  <c r="L50" i="39"/>
  <c r="N50" i="39" s="1"/>
  <c r="B50" i="39"/>
  <c r="Z49" i="39"/>
  <c r="X49" i="39"/>
  <c r="N49" i="39"/>
  <c r="L49" i="39"/>
  <c r="B49" i="39"/>
  <c r="T48" i="39"/>
  <c r="P48" i="39"/>
  <c r="X48" i="39" s="1"/>
  <c r="H48" i="39"/>
  <c r="L48" i="39" s="1"/>
  <c r="N48" i="39" s="1"/>
  <c r="D48" i="39"/>
  <c r="B48" i="39"/>
  <c r="X47" i="39"/>
  <c r="Z47" i="39" s="1"/>
  <c r="L47" i="39"/>
  <c r="N47" i="39" s="1"/>
  <c r="B47" i="39"/>
  <c r="X46" i="39"/>
  <c r="Z46" i="39" s="1"/>
  <c r="L46" i="39"/>
  <c r="N46" i="39" s="1"/>
  <c r="B46" i="39"/>
  <c r="Z45" i="39"/>
  <c r="X45" i="39"/>
  <c r="L45" i="39"/>
  <c r="N45" i="39" s="1"/>
  <c r="B45" i="39"/>
  <c r="X44" i="39"/>
  <c r="Z44" i="39" s="1"/>
  <c r="N44" i="39"/>
  <c r="L44" i="39"/>
  <c r="B44" i="39"/>
  <c r="X43" i="39"/>
  <c r="Z43" i="39" s="1"/>
  <c r="N43" i="39"/>
  <c r="L43" i="39"/>
  <c r="B43" i="39"/>
  <c r="X42" i="39"/>
  <c r="Z42" i="39" s="1"/>
  <c r="L42" i="39"/>
  <c r="N42" i="39" s="1"/>
  <c r="F42" i="39"/>
  <c r="B42" i="39"/>
  <c r="Z41" i="39"/>
  <c r="X41" i="39"/>
  <c r="L41" i="39"/>
  <c r="N41" i="39" s="1"/>
  <c r="F41" i="39"/>
  <c r="B41" i="39"/>
  <c r="X40" i="39"/>
  <c r="Z40" i="39" s="1"/>
  <c r="L40" i="39"/>
  <c r="N40" i="39" s="1"/>
  <c r="B40" i="39"/>
  <c r="X39" i="39"/>
  <c r="Z39" i="39" s="1"/>
  <c r="N39" i="39"/>
  <c r="L39" i="39"/>
  <c r="B39" i="39"/>
  <c r="T38" i="39"/>
  <c r="P38" i="39"/>
  <c r="X38" i="39" s="1"/>
  <c r="L38" i="39"/>
  <c r="H38" i="39"/>
  <c r="N38" i="39" s="1"/>
  <c r="D38" i="39"/>
  <c r="B38" i="39"/>
  <c r="T37" i="39"/>
  <c r="P37" i="39"/>
  <c r="H37" i="39"/>
  <c r="D37" i="39"/>
  <c r="L37" i="39" s="1"/>
  <c r="N37" i="39" s="1"/>
  <c r="X33" i="39"/>
  <c r="Z33" i="39" s="1"/>
  <c r="N33" i="39"/>
  <c r="L33" i="39"/>
  <c r="B33" i="39"/>
  <c r="X32" i="39"/>
  <c r="Z32" i="39" s="1"/>
  <c r="L32" i="39"/>
  <c r="N32" i="39" s="1"/>
  <c r="B32" i="39"/>
  <c r="Z31" i="39"/>
  <c r="X31" i="39"/>
  <c r="T31" i="39"/>
  <c r="P31" i="39"/>
  <c r="H31" i="39"/>
  <c r="D31" i="39"/>
  <c r="L31" i="39" s="1"/>
  <c r="Z29" i="39"/>
  <c r="X29" i="39"/>
  <c r="T29" i="39"/>
  <c r="P29" i="39"/>
  <c r="N29" i="39"/>
  <c r="L29" i="39"/>
  <c r="H29" i="39"/>
  <c r="D29" i="39"/>
  <c r="B29" i="39"/>
  <c r="T28" i="39"/>
  <c r="P28" i="39"/>
  <c r="X28" i="39" s="1"/>
  <c r="Z28" i="39" s="1"/>
  <c r="N28" i="39"/>
  <c r="H28" i="39"/>
  <c r="D28" i="39"/>
  <c r="L28" i="39" s="1"/>
  <c r="B28" i="39"/>
  <c r="T27" i="39"/>
  <c r="Z27" i="39" s="1"/>
  <c r="P27" i="39"/>
  <c r="X27" i="39" s="1"/>
  <c r="N27" i="39"/>
  <c r="H27" i="39"/>
  <c r="D27" i="39"/>
  <c r="L27" i="39" s="1"/>
  <c r="B27" i="39"/>
  <c r="Z26" i="39"/>
  <c r="X26" i="39"/>
  <c r="T26" i="39"/>
  <c r="P26" i="39"/>
  <c r="H26" i="39"/>
  <c r="N26" i="39" s="1"/>
  <c r="D26" i="39"/>
  <c r="L26" i="39" s="1"/>
  <c r="B26" i="39"/>
  <c r="Z25" i="39"/>
  <c r="X25" i="39"/>
  <c r="T25" i="39"/>
  <c r="P25" i="39"/>
  <c r="N25" i="39"/>
  <c r="L25" i="39"/>
  <c r="H25" i="39"/>
  <c r="D25" i="39"/>
  <c r="B25" i="39"/>
  <c r="T24" i="39"/>
  <c r="P24" i="39"/>
  <c r="X24" i="39" s="1"/>
  <c r="Z24" i="39" s="1"/>
  <c r="N24" i="39"/>
  <c r="H24" i="39"/>
  <c r="D24" i="39"/>
  <c r="L24" i="39" s="1"/>
  <c r="B24" i="39"/>
  <c r="T23" i="39"/>
  <c r="P23" i="39"/>
  <c r="X23" i="39" s="1"/>
  <c r="H23" i="39"/>
  <c r="D23" i="39"/>
  <c r="B23" i="39"/>
  <c r="T22" i="39"/>
  <c r="P22" i="39"/>
  <c r="H22" i="39"/>
  <c r="N22" i="39" s="1"/>
  <c r="D22" i="39"/>
  <c r="B22" i="39"/>
  <c r="X21" i="39"/>
  <c r="Z21" i="39" s="1"/>
  <c r="T21" i="39"/>
  <c r="P21" i="39"/>
  <c r="N21" i="39"/>
  <c r="L21" i="39"/>
  <c r="H21" i="39"/>
  <c r="D21" i="39"/>
  <c r="B21" i="39"/>
  <c r="T20" i="39"/>
  <c r="P20" i="39"/>
  <c r="X20" i="39" s="1"/>
  <c r="Z20" i="39" s="1"/>
  <c r="N20" i="39"/>
  <c r="H20" i="39"/>
  <c r="D20" i="39"/>
  <c r="L20" i="39" s="1"/>
  <c r="B20" i="39"/>
  <c r="T19" i="39"/>
  <c r="P19" i="39"/>
  <c r="X19" i="39" s="1"/>
  <c r="N19" i="39"/>
  <c r="H19" i="39"/>
  <c r="D19" i="39"/>
  <c r="B19" i="39"/>
  <c r="T18" i="39"/>
  <c r="P18" i="39"/>
  <c r="H18" i="39"/>
  <c r="D18" i="39"/>
  <c r="B18" i="39"/>
  <c r="X17" i="39"/>
  <c r="Z17" i="39" s="1"/>
  <c r="T17" i="39"/>
  <c r="P17" i="39"/>
  <c r="N17" i="39"/>
  <c r="L17" i="39"/>
  <c r="H17" i="39"/>
  <c r="D17" i="39"/>
  <c r="B17" i="39"/>
  <c r="T16" i="39"/>
  <c r="P16" i="39"/>
  <c r="N16" i="39"/>
  <c r="H16" i="39"/>
  <c r="D16" i="39"/>
  <c r="L16" i="39" s="1"/>
  <c r="B16" i="39"/>
  <c r="T15" i="39"/>
  <c r="P15" i="39"/>
  <c r="X15" i="39" s="1"/>
  <c r="H15" i="39"/>
  <c r="D15" i="39"/>
  <c r="B15" i="39"/>
  <c r="T14" i="39"/>
  <c r="T12" i="39" s="1"/>
  <c r="V40" i="39" s="1"/>
  <c r="P14" i="39"/>
  <c r="L14" i="39"/>
  <c r="H14" i="39"/>
  <c r="D14" i="39"/>
  <c r="D12" i="39" s="1"/>
  <c r="F97" i="39" s="1"/>
  <c r="B14" i="39"/>
  <c r="Z13" i="39"/>
  <c r="X13" i="39"/>
  <c r="T13" i="39"/>
  <c r="P13" i="39"/>
  <c r="N13" i="39"/>
  <c r="L13" i="39"/>
  <c r="H13" i="39"/>
  <c r="D13" i="39"/>
  <c r="B13" i="39"/>
  <c r="D4" i="39"/>
  <c r="Z129" i="36"/>
  <c r="X129" i="36"/>
  <c r="L129" i="36"/>
  <c r="N129" i="36" s="1"/>
  <c r="T125" i="36"/>
  <c r="R125" i="36"/>
  <c r="P125" i="36"/>
  <c r="H125" i="36"/>
  <c r="D125" i="36"/>
  <c r="L125" i="36" s="1"/>
  <c r="N125" i="36" s="1"/>
  <c r="B125" i="36"/>
  <c r="T124" i="36"/>
  <c r="T122" i="36" s="1"/>
  <c r="P124" i="36"/>
  <c r="H124" i="36"/>
  <c r="N124" i="36" s="1"/>
  <c r="D124" i="36"/>
  <c r="B124" i="36"/>
  <c r="X123" i="36"/>
  <c r="Z123" i="36" s="1"/>
  <c r="V123" i="36"/>
  <c r="T123" i="36"/>
  <c r="P123" i="36"/>
  <c r="L123" i="36"/>
  <c r="H123" i="36"/>
  <c r="N123" i="36" s="1"/>
  <c r="D123" i="36"/>
  <c r="B123" i="36"/>
  <c r="D122" i="36"/>
  <c r="Z120" i="36"/>
  <c r="X120" i="36"/>
  <c r="L120" i="36"/>
  <c r="N120" i="36" s="1"/>
  <c r="B120" i="36"/>
  <c r="T119" i="36"/>
  <c r="P119" i="36"/>
  <c r="N119" i="36"/>
  <c r="H119" i="36"/>
  <c r="D119" i="36"/>
  <c r="L119" i="36" s="1"/>
  <c r="B119" i="36"/>
  <c r="X118" i="36"/>
  <c r="Z118" i="36" s="1"/>
  <c r="N118" i="36"/>
  <c r="L118" i="36"/>
  <c r="B118" i="36"/>
  <c r="Z117" i="36"/>
  <c r="X117" i="36"/>
  <c r="N117" i="36"/>
  <c r="L117" i="36"/>
  <c r="J117" i="36"/>
  <c r="B117" i="36"/>
  <c r="X116" i="36"/>
  <c r="Z116" i="36" s="1"/>
  <c r="N116" i="36"/>
  <c r="L116" i="36"/>
  <c r="B116" i="36"/>
  <c r="T115" i="36"/>
  <c r="P115" i="36"/>
  <c r="X115" i="36" s="1"/>
  <c r="Z115" i="36" s="1"/>
  <c r="N115" i="36"/>
  <c r="H115" i="36"/>
  <c r="D115" i="36"/>
  <c r="L115" i="36" s="1"/>
  <c r="B115" i="36"/>
  <c r="X114" i="36"/>
  <c r="Z114" i="36" s="1"/>
  <c r="N114" i="36"/>
  <c r="L114" i="36"/>
  <c r="B114" i="36"/>
  <c r="X113" i="36"/>
  <c r="Z113" i="36" s="1"/>
  <c r="T113" i="36"/>
  <c r="P113" i="36"/>
  <c r="L113" i="36"/>
  <c r="H113" i="36"/>
  <c r="N113" i="36" s="1"/>
  <c r="D113" i="36"/>
  <c r="B113" i="36"/>
  <c r="X112" i="36"/>
  <c r="Z112" i="36" s="1"/>
  <c r="N112" i="36"/>
  <c r="L112" i="36"/>
  <c r="B112" i="36"/>
  <c r="T111" i="36"/>
  <c r="P111" i="36"/>
  <c r="H111" i="36"/>
  <c r="D111" i="36"/>
  <c r="L111" i="36" s="1"/>
  <c r="N111" i="36" s="1"/>
  <c r="B111" i="36"/>
  <c r="Z110" i="36"/>
  <c r="X110" i="36"/>
  <c r="N110" i="36"/>
  <c r="L110" i="36"/>
  <c r="B110" i="36"/>
  <c r="Z109" i="36"/>
  <c r="X109" i="36"/>
  <c r="N109" i="36"/>
  <c r="L109" i="36"/>
  <c r="J109" i="36"/>
  <c r="B109" i="36"/>
  <c r="Z108" i="36"/>
  <c r="X108" i="36"/>
  <c r="N108" i="36"/>
  <c r="L108" i="36"/>
  <c r="B108" i="36"/>
  <c r="Z107" i="36"/>
  <c r="X107" i="36"/>
  <c r="N107" i="36"/>
  <c r="L107" i="36"/>
  <c r="B107" i="36"/>
  <c r="Z106" i="36"/>
  <c r="X106" i="36"/>
  <c r="L106" i="36"/>
  <c r="N106" i="36" s="1"/>
  <c r="B106" i="36"/>
  <c r="Z105" i="36"/>
  <c r="X105" i="36"/>
  <c r="L105" i="36"/>
  <c r="N105" i="36" s="1"/>
  <c r="J105" i="36"/>
  <c r="B105" i="36"/>
  <c r="X104" i="36"/>
  <c r="Z104" i="36" s="1"/>
  <c r="N104" i="36"/>
  <c r="L104" i="36"/>
  <c r="B104" i="36"/>
  <c r="Z103" i="36"/>
  <c r="X103" i="36"/>
  <c r="L103" i="36"/>
  <c r="N103" i="36" s="1"/>
  <c r="B103" i="36"/>
  <c r="Z102" i="36"/>
  <c r="X102" i="36"/>
  <c r="V102" i="36"/>
  <c r="L102" i="36"/>
  <c r="N102" i="36" s="1"/>
  <c r="B102" i="36"/>
  <c r="Z101" i="36"/>
  <c r="X101" i="36"/>
  <c r="N101" i="36"/>
  <c r="L101" i="36"/>
  <c r="J101" i="36"/>
  <c r="B101" i="36"/>
  <c r="T100" i="36"/>
  <c r="P100" i="36"/>
  <c r="J100" i="36"/>
  <c r="H100" i="36"/>
  <c r="D100" i="36"/>
  <c r="L100" i="36" s="1"/>
  <c r="B100" i="36"/>
  <c r="X99" i="36"/>
  <c r="Z99" i="36" s="1"/>
  <c r="N99" i="36"/>
  <c r="L99" i="36"/>
  <c r="B99" i="36"/>
  <c r="X98" i="36"/>
  <c r="Z98" i="36" s="1"/>
  <c r="N98" i="36"/>
  <c r="L98" i="36"/>
  <c r="B98" i="36"/>
  <c r="X97" i="36"/>
  <c r="Z97" i="36" s="1"/>
  <c r="T97" i="36"/>
  <c r="P97" i="36"/>
  <c r="L97" i="36"/>
  <c r="H97" i="36"/>
  <c r="N97" i="36" s="1"/>
  <c r="D97" i="36"/>
  <c r="B97" i="36"/>
  <c r="X96" i="36"/>
  <c r="Z96" i="36" s="1"/>
  <c r="R96" i="36"/>
  <c r="N96" i="36"/>
  <c r="L96" i="36"/>
  <c r="B96" i="36"/>
  <c r="X95" i="36"/>
  <c r="Z95" i="36" s="1"/>
  <c r="N95" i="36"/>
  <c r="L95" i="36"/>
  <c r="J95" i="36"/>
  <c r="B95" i="36"/>
  <c r="Z94" i="36"/>
  <c r="X94" i="36"/>
  <c r="N94" i="36"/>
  <c r="L94" i="36"/>
  <c r="J94" i="36"/>
  <c r="B94" i="36"/>
  <c r="Z93" i="36"/>
  <c r="X93" i="36"/>
  <c r="N93" i="36"/>
  <c r="L93" i="36"/>
  <c r="B93" i="36"/>
  <c r="X92" i="36"/>
  <c r="Z92" i="36" s="1"/>
  <c r="R92" i="36"/>
  <c r="L92" i="36"/>
  <c r="N92" i="36" s="1"/>
  <c r="B92" i="36"/>
  <c r="T91" i="36"/>
  <c r="P91" i="36"/>
  <c r="N91" i="36"/>
  <c r="H91" i="36"/>
  <c r="D91" i="36"/>
  <c r="L91" i="36" s="1"/>
  <c r="B91" i="36"/>
  <c r="Z90" i="36"/>
  <c r="X90" i="36"/>
  <c r="V90" i="36"/>
  <c r="N90" i="36"/>
  <c r="L90" i="36"/>
  <c r="B90" i="36"/>
  <c r="Z89" i="36"/>
  <c r="X89" i="36"/>
  <c r="N89" i="36"/>
  <c r="L89" i="36"/>
  <c r="J89" i="36"/>
  <c r="B89" i="36"/>
  <c r="T88" i="36"/>
  <c r="P88" i="36"/>
  <c r="H88" i="36"/>
  <c r="N88" i="36" s="1"/>
  <c r="D88" i="36"/>
  <c r="B88" i="36"/>
  <c r="X87" i="36"/>
  <c r="Z87" i="36" s="1"/>
  <c r="L87" i="36"/>
  <c r="N87" i="36" s="1"/>
  <c r="B87" i="36"/>
  <c r="X86" i="36"/>
  <c r="Z86" i="36" s="1"/>
  <c r="N86" i="36"/>
  <c r="L86" i="36"/>
  <c r="B86" i="36"/>
  <c r="X85" i="36"/>
  <c r="Z85" i="36" s="1"/>
  <c r="N85" i="36"/>
  <c r="L85" i="36"/>
  <c r="B85" i="36"/>
  <c r="Z84" i="36"/>
  <c r="X84" i="36"/>
  <c r="N84" i="36"/>
  <c r="L84" i="36"/>
  <c r="B84" i="36"/>
  <c r="X83" i="36"/>
  <c r="T83" i="36"/>
  <c r="Z83" i="36" s="1"/>
  <c r="P83" i="36"/>
  <c r="L83" i="36"/>
  <c r="N83" i="36" s="1"/>
  <c r="J83" i="36"/>
  <c r="H83" i="36"/>
  <c r="D83" i="36"/>
  <c r="B83" i="36"/>
  <c r="Z82" i="36"/>
  <c r="X82" i="36"/>
  <c r="N82" i="36"/>
  <c r="L82" i="36"/>
  <c r="J82" i="36"/>
  <c r="B82" i="36"/>
  <c r="T81" i="36"/>
  <c r="P81" i="36"/>
  <c r="X81" i="36" s="1"/>
  <c r="Z81" i="36" s="1"/>
  <c r="H81" i="36"/>
  <c r="D81" i="36"/>
  <c r="B81" i="36"/>
  <c r="X80" i="36"/>
  <c r="Z80" i="36" s="1"/>
  <c r="N80" i="36"/>
  <c r="L80" i="36"/>
  <c r="B80" i="36"/>
  <c r="Z79" i="36"/>
  <c r="T79" i="36"/>
  <c r="P79" i="36"/>
  <c r="X79" i="36" s="1"/>
  <c r="H79" i="36"/>
  <c r="D79" i="36"/>
  <c r="L79" i="36" s="1"/>
  <c r="N79" i="36" s="1"/>
  <c r="B79" i="36"/>
  <c r="X78" i="36"/>
  <c r="Z78" i="36" s="1"/>
  <c r="N78" i="36"/>
  <c r="L78" i="36"/>
  <c r="B78" i="36"/>
  <c r="X77" i="36"/>
  <c r="Z77" i="36" s="1"/>
  <c r="T77" i="36"/>
  <c r="P77" i="36"/>
  <c r="L77" i="36"/>
  <c r="H77" i="36"/>
  <c r="N77" i="36" s="1"/>
  <c r="D77" i="36"/>
  <c r="B77" i="36"/>
  <c r="Z76" i="36"/>
  <c r="X76" i="36"/>
  <c r="N76" i="36"/>
  <c r="L76" i="36"/>
  <c r="J76" i="36"/>
  <c r="B76" i="36"/>
  <c r="T75" i="36"/>
  <c r="P75" i="36"/>
  <c r="H75" i="36"/>
  <c r="D75" i="36"/>
  <c r="L75" i="36" s="1"/>
  <c r="N75" i="36" s="1"/>
  <c r="B75" i="36"/>
  <c r="Z74" i="36"/>
  <c r="X74" i="36"/>
  <c r="L74" i="36"/>
  <c r="N74" i="36" s="1"/>
  <c r="B74" i="36"/>
  <c r="T73" i="36"/>
  <c r="P73" i="36"/>
  <c r="X73" i="36" s="1"/>
  <c r="Z73" i="36" s="1"/>
  <c r="J73" i="36"/>
  <c r="H73" i="36"/>
  <c r="D73" i="36"/>
  <c r="L73" i="36" s="1"/>
  <c r="N73" i="36" s="1"/>
  <c r="B73" i="36"/>
  <c r="Z72" i="36"/>
  <c r="X72" i="36"/>
  <c r="L72" i="36"/>
  <c r="N72" i="36" s="1"/>
  <c r="B72" i="36"/>
  <c r="X71" i="36"/>
  <c r="Z71" i="36" s="1"/>
  <c r="N71" i="36"/>
  <c r="L71" i="36"/>
  <c r="B71" i="36"/>
  <c r="X70" i="36"/>
  <c r="T70" i="36"/>
  <c r="Z70" i="36" s="1"/>
  <c r="P70" i="36"/>
  <c r="H70" i="36"/>
  <c r="D70" i="36"/>
  <c r="L70" i="36" s="1"/>
  <c r="N70" i="36" s="1"/>
  <c r="B70" i="36"/>
  <c r="Z69" i="36"/>
  <c r="X69" i="36"/>
  <c r="N69" i="36"/>
  <c r="L69" i="36"/>
  <c r="B69" i="36"/>
  <c r="X68" i="36"/>
  <c r="T68" i="36"/>
  <c r="Z68" i="36" s="1"/>
  <c r="P68" i="36"/>
  <c r="N68" i="36"/>
  <c r="L68" i="36"/>
  <c r="H68" i="36"/>
  <c r="D68" i="36"/>
  <c r="B68" i="36"/>
  <c r="Z67" i="36"/>
  <c r="X67" i="36"/>
  <c r="V67" i="36"/>
  <c r="L67" i="36"/>
  <c r="N67" i="36" s="1"/>
  <c r="J67" i="36"/>
  <c r="B67" i="36"/>
  <c r="T66" i="36"/>
  <c r="P66" i="36"/>
  <c r="J66" i="36"/>
  <c r="H66" i="36"/>
  <c r="D66" i="36"/>
  <c r="B66" i="36"/>
  <c r="X65" i="36"/>
  <c r="Z65" i="36" s="1"/>
  <c r="V65" i="36"/>
  <c r="N65" i="36"/>
  <c r="L65" i="36"/>
  <c r="B65" i="36"/>
  <c r="T64" i="36"/>
  <c r="P64" i="36"/>
  <c r="X64" i="36" s="1"/>
  <c r="Z64" i="36" s="1"/>
  <c r="L64" i="36"/>
  <c r="H64" i="36"/>
  <c r="N64" i="36" s="1"/>
  <c r="D64" i="36"/>
  <c r="B64" i="36"/>
  <c r="X63" i="36"/>
  <c r="Z63" i="36" s="1"/>
  <c r="R63" i="36"/>
  <c r="N63" i="36"/>
  <c r="L63" i="36"/>
  <c r="J63" i="36"/>
  <c r="B63" i="36"/>
  <c r="Z62" i="36"/>
  <c r="X62" i="36"/>
  <c r="T62" i="36"/>
  <c r="P62" i="36"/>
  <c r="H62" i="36"/>
  <c r="D62" i="36"/>
  <c r="B62" i="36"/>
  <c r="Z61" i="36"/>
  <c r="X61" i="36"/>
  <c r="N61" i="36"/>
  <c r="L61" i="36"/>
  <c r="J61" i="36"/>
  <c r="B61" i="36"/>
  <c r="T60" i="36"/>
  <c r="P60" i="36"/>
  <c r="H60" i="36"/>
  <c r="D60" i="36"/>
  <c r="B60" i="36"/>
  <c r="X59" i="36"/>
  <c r="Z59" i="36" s="1"/>
  <c r="N59" i="36"/>
  <c r="L59" i="36"/>
  <c r="B59" i="36"/>
  <c r="X58" i="36"/>
  <c r="Z58" i="36" s="1"/>
  <c r="N58" i="36"/>
  <c r="L58" i="36"/>
  <c r="B58" i="36"/>
  <c r="X57" i="36"/>
  <c r="Z57" i="36" s="1"/>
  <c r="V57" i="36"/>
  <c r="N57" i="36"/>
  <c r="L57" i="36"/>
  <c r="B57" i="36"/>
  <c r="T56" i="36"/>
  <c r="P56" i="36"/>
  <c r="X56" i="36" s="1"/>
  <c r="Z56" i="36" s="1"/>
  <c r="L56" i="36"/>
  <c r="H56" i="36"/>
  <c r="N56" i="36" s="1"/>
  <c r="D56" i="36"/>
  <c r="B56" i="36"/>
  <c r="X55" i="36"/>
  <c r="Z55" i="36" s="1"/>
  <c r="R55" i="36"/>
  <c r="N55" i="36"/>
  <c r="L55" i="36"/>
  <c r="J55" i="36"/>
  <c r="B55" i="36"/>
  <c r="Z54" i="36"/>
  <c r="X54" i="36"/>
  <c r="T54" i="36"/>
  <c r="P54" i="36"/>
  <c r="H54" i="36"/>
  <c r="D54" i="36"/>
  <c r="B54" i="36"/>
  <c r="Z53" i="36"/>
  <c r="X53" i="36"/>
  <c r="N53" i="36"/>
  <c r="L53" i="36"/>
  <c r="J53" i="36"/>
  <c r="B53" i="36"/>
  <c r="T52" i="36"/>
  <c r="P52" i="36"/>
  <c r="H52" i="36"/>
  <c r="D52" i="36"/>
  <c r="L52" i="36" s="1"/>
  <c r="B52" i="36"/>
  <c r="X51" i="36"/>
  <c r="Z51" i="36" s="1"/>
  <c r="L51" i="36"/>
  <c r="N51" i="36" s="1"/>
  <c r="B51" i="36"/>
  <c r="X50" i="36"/>
  <c r="T50" i="36"/>
  <c r="P50" i="36"/>
  <c r="H50" i="36"/>
  <c r="D50" i="36"/>
  <c r="L50" i="36" s="1"/>
  <c r="N50" i="36" s="1"/>
  <c r="B50" i="36"/>
  <c r="Z49" i="36"/>
  <c r="X49" i="36"/>
  <c r="N49" i="36"/>
  <c r="L49" i="36"/>
  <c r="B49" i="36"/>
  <c r="Z48" i="36"/>
  <c r="X48" i="36"/>
  <c r="N48" i="36"/>
  <c r="L48" i="36"/>
  <c r="J48" i="36"/>
  <c r="B48" i="36"/>
  <c r="X47" i="36"/>
  <c r="Z47" i="36" s="1"/>
  <c r="N47" i="36"/>
  <c r="L47" i="36"/>
  <c r="J47" i="36"/>
  <c r="B47" i="36"/>
  <c r="Z46" i="36"/>
  <c r="X46" i="36"/>
  <c r="N46" i="36"/>
  <c r="L46" i="36"/>
  <c r="J46" i="36"/>
  <c r="B46" i="36"/>
  <c r="Z45" i="36"/>
  <c r="X45" i="36"/>
  <c r="N45" i="36"/>
  <c r="L45" i="36"/>
  <c r="B45" i="36"/>
  <c r="X44" i="36"/>
  <c r="Z44" i="36" s="1"/>
  <c r="L44" i="36"/>
  <c r="N44" i="36" s="1"/>
  <c r="J44" i="36"/>
  <c r="B44" i="36"/>
  <c r="X43" i="36"/>
  <c r="Z43" i="36" s="1"/>
  <c r="N43" i="36"/>
  <c r="L43" i="36"/>
  <c r="J43" i="36"/>
  <c r="B43" i="36"/>
  <c r="Z42" i="36"/>
  <c r="X42" i="36"/>
  <c r="T42" i="36"/>
  <c r="P42" i="36"/>
  <c r="L42" i="36"/>
  <c r="N42" i="36" s="1"/>
  <c r="H42" i="36"/>
  <c r="D42" i="36"/>
  <c r="B42" i="36"/>
  <c r="Z41" i="36"/>
  <c r="X41" i="36"/>
  <c r="L41" i="36"/>
  <c r="N41" i="36" s="1"/>
  <c r="J41" i="36"/>
  <c r="B41" i="36"/>
  <c r="X40" i="36"/>
  <c r="Z40" i="36" s="1"/>
  <c r="N40" i="36"/>
  <c r="L40" i="36"/>
  <c r="B40" i="36"/>
  <c r="Z39" i="36"/>
  <c r="X39" i="36"/>
  <c r="L39" i="36"/>
  <c r="N39" i="36" s="1"/>
  <c r="J39" i="36"/>
  <c r="B39" i="36"/>
  <c r="Z38" i="36"/>
  <c r="X38" i="36"/>
  <c r="V38" i="36"/>
  <c r="L38" i="36"/>
  <c r="N38" i="36" s="1"/>
  <c r="B38" i="36"/>
  <c r="Z37" i="36"/>
  <c r="X37" i="36"/>
  <c r="L37" i="36"/>
  <c r="N37" i="36" s="1"/>
  <c r="J37" i="36"/>
  <c r="B37" i="36"/>
  <c r="X36" i="36"/>
  <c r="Z36" i="36" s="1"/>
  <c r="N36" i="36"/>
  <c r="L36" i="36"/>
  <c r="B36" i="36"/>
  <c r="Z35" i="36"/>
  <c r="X35" i="36"/>
  <c r="V35" i="36"/>
  <c r="L35" i="36"/>
  <c r="N35" i="36" s="1"/>
  <c r="J35" i="36"/>
  <c r="B35" i="36"/>
  <c r="Z34" i="36"/>
  <c r="X34" i="36"/>
  <c r="L34" i="36"/>
  <c r="N34" i="36" s="1"/>
  <c r="B34" i="36"/>
  <c r="Z33" i="36"/>
  <c r="X33" i="36"/>
  <c r="L33" i="36"/>
  <c r="N33" i="36" s="1"/>
  <c r="J33" i="36"/>
  <c r="B33" i="36"/>
  <c r="T32" i="36"/>
  <c r="P32" i="36"/>
  <c r="J32" i="36"/>
  <c r="H32" i="36"/>
  <c r="D32" i="36"/>
  <c r="B32" i="36"/>
  <c r="T31" i="36"/>
  <c r="P31" i="36"/>
  <c r="X31" i="36" s="1"/>
  <c r="J31" i="36"/>
  <c r="H31" i="36"/>
  <c r="D31" i="36"/>
  <c r="L31" i="36" s="1"/>
  <c r="X27" i="36"/>
  <c r="Z27" i="36" s="1"/>
  <c r="L27" i="36"/>
  <c r="N27" i="36" s="1"/>
  <c r="B27" i="36"/>
  <c r="X26" i="36"/>
  <c r="Z26" i="36" s="1"/>
  <c r="N26" i="36"/>
  <c r="L26" i="36"/>
  <c r="B26" i="36"/>
  <c r="X25" i="36"/>
  <c r="V25" i="36"/>
  <c r="T25" i="36"/>
  <c r="Z25" i="36" s="1"/>
  <c r="P25" i="36"/>
  <c r="L25" i="36"/>
  <c r="J25" i="36"/>
  <c r="H25" i="36"/>
  <c r="N25" i="36" s="1"/>
  <c r="D25" i="36"/>
  <c r="T23" i="36"/>
  <c r="P23" i="36"/>
  <c r="H23" i="36"/>
  <c r="D23" i="36"/>
  <c r="L23" i="36" s="1"/>
  <c r="N23" i="36" s="1"/>
  <c r="B23" i="36"/>
  <c r="T22" i="36"/>
  <c r="P22" i="36"/>
  <c r="X22" i="36" s="1"/>
  <c r="N22" i="36"/>
  <c r="L22" i="36"/>
  <c r="H22" i="36"/>
  <c r="D22" i="36"/>
  <c r="B22" i="36"/>
  <c r="T21" i="36"/>
  <c r="P21" i="36"/>
  <c r="H21" i="36"/>
  <c r="N21" i="36" s="1"/>
  <c r="D21" i="36"/>
  <c r="L21" i="36" s="1"/>
  <c r="B21" i="36"/>
  <c r="X20" i="36"/>
  <c r="T20" i="36"/>
  <c r="Z20" i="36" s="1"/>
  <c r="P20" i="36"/>
  <c r="L20" i="36"/>
  <c r="N20" i="36" s="1"/>
  <c r="H20" i="36"/>
  <c r="D20" i="36"/>
  <c r="B20" i="36"/>
  <c r="X19" i="36"/>
  <c r="T19" i="36"/>
  <c r="P19" i="36"/>
  <c r="N19" i="36"/>
  <c r="H19" i="36"/>
  <c r="D19" i="36"/>
  <c r="L19" i="36" s="1"/>
  <c r="B19" i="36"/>
  <c r="T18" i="36"/>
  <c r="P18" i="36"/>
  <c r="X18" i="36" s="1"/>
  <c r="N18" i="36"/>
  <c r="H18" i="36"/>
  <c r="D18" i="36"/>
  <c r="L18" i="36" s="1"/>
  <c r="B18" i="36"/>
  <c r="T17" i="36"/>
  <c r="P17" i="36"/>
  <c r="H17" i="36"/>
  <c r="N17" i="36" s="1"/>
  <c r="D17" i="36"/>
  <c r="L17" i="36" s="1"/>
  <c r="B17" i="36"/>
  <c r="X16" i="36"/>
  <c r="T16" i="36"/>
  <c r="Z16" i="36" s="1"/>
  <c r="P16" i="36"/>
  <c r="N16" i="36"/>
  <c r="L16" i="36"/>
  <c r="H16" i="36"/>
  <c r="D16" i="36"/>
  <c r="B16" i="36"/>
  <c r="X15" i="36"/>
  <c r="T15" i="36"/>
  <c r="P15" i="36"/>
  <c r="H15" i="36"/>
  <c r="D15" i="36"/>
  <c r="L15" i="36" s="1"/>
  <c r="N15" i="36" s="1"/>
  <c r="B15" i="36"/>
  <c r="T14" i="36"/>
  <c r="P14" i="36"/>
  <c r="X14" i="36" s="1"/>
  <c r="N14" i="36"/>
  <c r="H14" i="36"/>
  <c r="D14" i="36"/>
  <c r="L14" i="36" s="1"/>
  <c r="B14" i="36"/>
  <c r="T13" i="36"/>
  <c r="T12" i="36" s="1"/>
  <c r="V107" i="36" s="1"/>
  <c r="P13" i="36"/>
  <c r="P12" i="36" s="1"/>
  <c r="R38" i="36" s="1"/>
  <c r="H13" i="36"/>
  <c r="N13" i="36" s="1"/>
  <c r="D13" i="36"/>
  <c r="B13" i="36"/>
  <c r="H12" i="36"/>
  <c r="J118" i="36" s="1"/>
  <c r="D4" i="36"/>
  <c r="Z106" i="33"/>
  <c r="X106" i="33"/>
  <c r="L106" i="33"/>
  <c r="N106" i="33" s="1"/>
  <c r="T102" i="33"/>
  <c r="P102" i="33"/>
  <c r="H102" i="33"/>
  <c r="N102" i="33" s="1"/>
  <c r="D102" i="33"/>
  <c r="L102" i="33" s="1"/>
  <c r="B102" i="33"/>
  <c r="T101" i="33"/>
  <c r="P101" i="33"/>
  <c r="H101" i="33"/>
  <c r="N101" i="33" s="1"/>
  <c r="D101" i="33"/>
  <c r="B101" i="33"/>
  <c r="X100" i="33"/>
  <c r="T100" i="33"/>
  <c r="P100" i="33"/>
  <c r="L100" i="33"/>
  <c r="H100" i="33"/>
  <c r="N100" i="33" s="1"/>
  <c r="D100" i="33"/>
  <c r="B100" i="33"/>
  <c r="T99" i="33"/>
  <c r="P99" i="33"/>
  <c r="L99" i="33"/>
  <c r="N99" i="33" s="1"/>
  <c r="H99" i="33"/>
  <c r="D99" i="33"/>
  <c r="B99" i="33"/>
  <c r="T98" i="33"/>
  <c r="P98" i="33"/>
  <c r="X98" i="33" s="1"/>
  <c r="Z98" i="33" s="1"/>
  <c r="N98" i="33"/>
  <c r="H98" i="33"/>
  <c r="D98" i="33"/>
  <c r="L98" i="33" s="1"/>
  <c r="B98" i="33"/>
  <c r="X97" i="33"/>
  <c r="Z97" i="33" s="1"/>
  <c r="T97" i="33"/>
  <c r="P97" i="33"/>
  <c r="P96" i="33" s="1"/>
  <c r="X96" i="33" s="1"/>
  <c r="H97" i="33"/>
  <c r="D97" i="33"/>
  <c r="B97" i="33"/>
  <c r="T96" i="33"/>
  <c r="Z96" i="33" s="1"/>
  <c r="Z94" i="33"/>
  <c r="X94" i="33"/>
  <c r="N94" i="33"/>
  <c r="L94" i="33"/>
  <c r="B94" i="33"/>
  <c r="T93" i="33"/>
  <c r="Z93" i="33" s="1"/>
  <c r="P93" i="33"/>
  <c r="N93" i="33"/>
  <c r="L93" i="33"/>
  <c r="H93" i="33"/>
  <c r="D93" i="33"/>
  <c r="B93" i="33"/>
  <c r="Z92" i="33"/>
  <c r="X92" i="33"/>
  <c r="N92" i="33"/>
  <c r="L92" i="33"/>
  <c r="B92" i="33"/>
  <c r="T91" i="33"/>
  <c r="P91" i="33"/>
  <c r="X91" i="33" s="1"/>
  <c r="H91" i="33"/>
  <c r="N91" i="33" s="1"/>
  <c r="D91" i="33"/>
  <c r="B91" i="33"/>
  <c r="X90" i="33"/>
  <c r="Z90" i="33" s="1"/>
  <c r="N90" i="33"/>
  <c r="L90" i="33"/>
  <c r="F90" i="33"/>
  <c r="B90" i="33"/>
  <c r="T89" i="33"/>
  <c r="P89" i="33"/>
  <c r="X89" i="33" s="1"/>
  <c r="Z89" i="33" s="1"/>
  <c r="L89" i="33"/>
  <c r="N89" i="33" s="1"/>
  <c r="H89" i="33"/>
  <c r="D89" i="33"/>
  <c r="B89" i="33"/>
  <c r="X88" i="33"/>
  <c r="Z88" i="33" s="1"/>
  <c r="N88" i="33"/>
  <c r="L88" i="33"/>
  <c r="B88" i="33"/>
  <c r="X87" i="33"/>
  <c r="Z87" i="33" s="1"/>
  <c r="N87" i="33"/>
  <c r="L87" i="33"/>
  <c r="B87" i="33"/>
  <c r="Z86" i="33"/>
  <c r="X86" i="33"/>
  <c r="N86" i="33"/>
  <c r="L86" i="33"/>
  <c r="B86" i="33"/>
  <c r="Z85" i="33"/>
  <c r="X85" i="33"/>
  <c r="N85" i="33"/>
  <c r="L85" i="33"/>
  <c r="B85" i="33"/>
  <c r="Z84" i="33"/>
  <c r="X84" i="33"/>
  <c r="N84" i="33"/>
  <c r="L84" i="33"/>
  <c r="B84" i="33"/>
  <c r="Z83" i="33"/>
  <c r="X83" i="33"/>
  <c r="N83" i="33"/>
  <c r="L83" i="33"/>
  <c r="B83" i="33"/>
  <c r="Z82" i="33"/>
  <c r="T82" i="33"/>
  <c r="P82" i="33"/>
  <c r="X82" i="33" s="1"/>
  <c r="H82" i="33"/>
  <c r="D82" i="33"/>
  <c r="B82" i="33"/>
  <c r="Z81" i="33"/>
  <c r="X81" i="33"/>
  <c r="N81" i="33"/>
  <c r="L81" i="33"/>
  <c r="B81" i="33"/>
  <c r="Z80" i="33"/>
  <c r="T80" i="33"/>
  <c r="P80" i="33"/>
  <c r="X80" i="33" s="1"/>
  <c r="N80" i="33"/>
  <c r="H80" i="33"/>
  <c r="D80" i="33"/>
  <c r="L80" i="33" s="1"/>
  <c r="B80" i="33"/>
  <c r="X79" i="33"/>
  <c r="Z79" i="33" s="1"/>
  <c r="N79" i="33"/>
  <c r="L79" i="33"/>
  <c r="B79" i="33"/>
  <c r="X78" i="33"/>
  <c r="T78" i="33"/>
  <c r="Z78" i="33" s="1"/>
  <c r="P78" i="33"/>
  <c r="L78" i="33"/>
  <c r="H78" i="33"/>
  <c r="N78" i="33" s="1"/>
  <c r="D78" i="33"/>
  <c r="B78" i="33"/>
  <c r="X77" i="33"/>
  <c r="Z77" i="33" s="1"/>
  <c r="N77" i="33"/>
  <c r="L77" i="33"/>
  <c r="B77" i="33"/>
  <c r="X76" i="33"/>
  <c r="Z76" i="33" s="1"/>
  <c r="N76" i="33"/>
  <c r="L76" i="33"/>
  <c r="B76" i="33"/>
  <c r="Z75" i="33"/>
  <c r="X75" i="33"/>
  <c r="N75" i="33"/>
  <c r="L75" i="33"/>
  <c r="B75" i="33"/>
  <c r="T74" i="33"/>
  <c r="P74" i="33"/>
  <c r="H74" i="33"/>
  <c r="D74" i="33"/>
  <c r="B74" i="33"/>
  <c r="Z73" i="33"/>
  <c r="X73" i="33"/>
  <c r="N73" i="33"/>
  <c r="L73" i="33"/>
  <c r="B73" i="33"/>
  <c r="Z72" i="33"/>
  <c r="T72" i="33"/>
  <c r="P72" i="33"/>
  <c r="X72" i="33" s="1"/>
  <c r="N72" i="33"/>
  <c r="H72" i="33"/>
  <c r="D72" i="33"/>
  <c r="L72" i="33" s="1"/>
  <c r="B72" i="33"/>
  <c r="X71" i="33"/>
  <c r="Z71" i="33" s="1"/>
  <c r="N71" i="33"/>
  <c r="L71" i="33"/>
  <c r="B71" i="33"/>
  <c r="X70" i="33"/>
  <c r="T70" i="33"/>
  <c r="Z70" i="33" s="1"/>
  <c r="P70" i="33"/>
  <c r="L70" i="33"/>
  <c r="H70" i="33"/>
  <c r="N70" i="33" s="1"/>
  <c r="D70" i="33"/>
  <c r="B70" i="33"/>
  <c r="X69" i="33"/>
  <c r="Z69" i="33" s="1"/>
  <c r="N69" i="33"/>
  <c r="L69" i="33"/>
  <c r="B69" i="33"/>
  <c r="X68" i="33"/>
  <c r="Z68" i="33" s="1"/>
  <c r="N68" i="33"/>
  <c r="L68" i="33"/>
  <c r="B68" i="33"/>
  <c r="X67" i="33"/>
  <c r="Z67" i="33" s="1"/>
  <c r="T67" i="33"/>
  <c r="P67" i="33"/>
  <c r="N67" i="33"/>
  <c r="L67" i="33"/>
  <c r="H67" i="33"/>
  <c r="D67" i="33"/>
  <c r="B67" i="33"/>
  <c r="Z66" i="33"/>
  <c r="X66" i="33"/>
  <c r="L66" i="33"/>
  <c r="N66" i="33" s="1"/>
  <c r="B66" i="33"/>
  <c r="T65" i="33"/>
  <c r="P65" i="33"/>
  <c r="H65" i="33"/>
  <c r="D65" i="33"/>
  <c r="L65" i="33" s="1"/>
  <c r="B65" i="33"/>
  <c r="X64" i="33"/>
  <c r="Z64" i="33" s="1"/>
  <c r="N64" i="33"/>
  <c r="L64" i="33"/>
  <c r="B64" i="33"/>
  <c r="T63" i="33"/>
  <c r="P63" i="33"/>
  <c r="X63" i="33" s="1"/>
  <c r="Z63" i="33" s="1"/>
  <c r="N63" i="33"/>
  <c r="H63" i="33"/>
  <c r="D63" i="33"/>
  <c r="L63" i="33" s="1"/>
  <c r="B63" i="33"/>
  <c r="Z62" i="33"/>
  <c r="X62" i="33"/>
  <c r="N62" i="33"/>
  <c r="L62" i="33"/>
  <c r="B62" i="33"/>
  <c r="T61" i="33"/>
  <c r="P61" i="33"/>
  <c r="L61" i="33"/>
  <c r="N61" i="33" s="1"/>
  <c r="H61" i="33"/>
  <c r="D61" i="33"/>
  <c r="B61" i="33"/>
  <c r="Z60" i="33"/>
  <c r="X60" i="33"/>
  <c r="N60" i="33"/>
  <c r="L60" i="33"/>
  <c r="B60" i="33"/>
  <c r="T59" i="33"/>
  <c r="P59" i="33"/>
  <c r="H59" i="33"/>
  <c r="D59" i="33"/>
  <c r="B59" i="33"/>
  <c r="X58" i="33"/>
  <c r="Z58" i="33" s="1"/>
  <c r="N58" i="33"/>
  <c r="L58" i="33"/>
  <c r="B58" i="33"/>
  <c r="Z57" i="33"/>
  <c r="X57" i="33"/>
  <c r="N57" i="33"/>
  <c r="L57" i="33"/>
  <c r="B57" i="33"/>
  <c r="X56" i="33"/>
  <c r="Z56" i="33" s="1"/>
  <c r="N56" i="33"/>
  <c r="L56" i="33"/>
  <c r="B56" i="33"/>
  <c r="X55" i="33"/>
  <c r="Z55" i="33" s="1"/>
  <c r="N55" i="33"/>
  <c r="L55" i="33"/>
  <c r="B55" i="33"/>
  <c r="X54" i="33"/>
  <c r="Z54" i="33" s="1"/>
  <c r="N54" i="33"/>
  <c r="L54" i="33"/>
  <c r="B54" i="33"/>
  <c r="T53" i="33"/>
  <c r="P53" i="33"/>
  <c r="X53" i="33" s="1"/>
  <c r="Z53" i="33" s="1"/>
  <c r="L53" i="33"/>
  <c r="N53" i="33" s="1"/>
  <c r="H53" i="33"/>
  <c r="D53" i="33"/>
  <c r="B53" i="33"/>
  <c r="X52" i="33"/>
  <c r="Z52" i="33" s="1"/>
  <c r="N52" i="33"/>
  <c r="L52" i="33"/>
  <c r="B52" i="33"/>
  <c r="X51" i="33"/>
  <c r="Z51" i="33" s="1"/>
  <c r="N51" i="33"/>
  <c r="L51" i="33"/>
  <c r="B51" i="33"/>
  <c r="Z50" i="33"/>
  <c r="X50" i="33"/>
  <c r="N50" i="33"/>
  <c r="L50" i="33"/>
  <c r="B50" i="33"/>
  <c r="Z49" i="33"/>
  <c r="X49" i="33"/>
  <c r="N49" i="33"/>
  <c r="L49" i="33"/>
  <c r="F49" i="33"/>
  <c r="B49" i="33"/>
  <c r="X48" i="33"/>
  <c r="Z48" i="33" s="1"/>
  <c r="N48" i="33"/>
  <c r="L48" i="33"/>
  <c r="B48" i="33"/>
  <c r="Z47" i="33"/>
  <c r="X47" i="33"/>
  <c r="N47" i="33"/>
  <c r="L47" i="33"/>
  <c r="B47" i="33"/>
  <c r="Z46" i="33"/>
  <c r="X46" i="33"/>
  <c r="N46" i="33"/>
  <c r="L46" i="33"/>
  <c r="B46" i="33"/>
  <c r="X45" i="33"/>
  <c r="Z45" i="33" s="1"/>
  <c r="L45" i="33"/>
  <c r="N45" i="33" s="1"/>
  <c r="F45" i="33"/>
  <c r="B45" i="33"/>
  <c r="X44" i="33"/>
  <c r="T44" i="33"/>
  <c r="P44" i="33"/>
  <c r="H44" i="33"/>
  <c r="D44" i="33"/>
  <c r="L44" i="33" s="1"/>
  <c r="N44" i="33" s="1"/>
  <c r="B44" i="33"/>
  <c r="T43" i="33"/>
  <c r="P43" i="33"/>
  <c r="H43" i="33"/>
  <c r="D43" i="33"/>
  <c r="Z39" i="33"/>
  <c r="X39" i="33"/>
  <c r="L39" i="33"/>
  <c r="N39" i="33" s="1"/>
  <c r="B39" i="33"/>
  <c r="Z38" i="33"/>
  <c r="X38" i="33"/>
  <c r="L38" i="33"/>
  <c r="N38" i="33" s="1"/>
  <c r="B38" i="33"/>
  <c r="X37" i="33"/>
  <c r="Z37" i="33" s="1"/>
  <c r="N37" i="33"/>
  <c r="L37" i="33"/>
  <c r="B37" i="33"/>
  <c r="Z36" i="33"/>
  <c r="X36" i="33"/>
  <c r="N36" i="33"/>
  <c r="L36" i="33"/>
  <c r="B36" i="33"/>
  <c r="Z35" i="33"/>
  <c r="X35" i="33"/>
  <c r="L35" i="33"/>
  <c r="N35" i="33" s="1"/>
  <c r="B35" i="33"/>
  <c r="T34" i="33"/>
  <c r="P34" i="33"/>
  <c r="N34" i="33"/>
  <c r="H34" i="33"/>
  <c r="D34" i="33"/>
  <c r="L34" i="33" s="1"/>
  <c r="T32" i="33"/>
  <c r="P32" i="33"/>
  <c r="X32" i="33" s="1"/>
  <c r="Z32" i="33" s="1"/>
  <c r="L32" i="33"/>
  <c r="H32" i="33"/>
  <c r="N32" i="33" s="1"/>
  <c r="D32" i="33"/>
  <c r="B32" i="33"/>
  <c r="T31" i="33"/>
  <c r="P31" i="33"/>
  <c r="X31" i="33" s="1"/>
  <c r="H31" i="33"/>
  <c r="D31" i="33"/>
  <c r="B31" i="33"/>
  <c r="Z30" i="33"/>
  <c r="T30" i="33"/>
  <c r="X30" i="33" s="1"/>
  <c r="P30" i="33"/>
  <c r="L30" i="33"/>
  <c r="H30" i="33"/>
  <c r="N30" i="33" s="1"/>
  <c r="D30" i="33"/>
  <c r="B30" i="33"/>
  <c r="T29" i="33"/>
  <c r="Z29" i="33" s="1"/>
  <c r="P29" i="33"/>
  <c r="N29" i="33"/>
  <c r="L29" i="33"/>
  <c r="H29" i="33"/>
  <c r="D29" i="33"/>
  <c r="B29" i="33"/>
  <c r="Z28" i="33"/>
  <c r="T28" i="33"/>
  <c r="P28" i="33"/>
  <c r="X28" i="33" s="1"/>
  <c r="L28" i="33"/>
  <c r="H28" i="33"/>
  <c r="D28" i="33"/>
  <c r="B28" i="33"/>
  <c r="T27" i="33"/>
  <c r="P27" i="33"/>
  <c r="X27" i="33" s="1"/>
  <c r="H27" i="33"/>
  <c r="D27" i="33"/>
  <c r="B27" i="33"/>
  <c r="Z26" i="33"/>
  <c r="T26" i="33"/>
  <c r="X26" i="33" s="1"/>
  <c r="P26" i="33"/>
  <c r="L26" i="33"/>
  <c r="H26" i="33"/>
  <c r="N26" i="33" s="1"/>
  <c r="D26" i="33"/>
  <c r="B26" i="33"/>
  <c r="T25" i="33"/>
  <c r="P25" i="33"/>
  <c r="L25" i="33"/>
  <c r="N25" i="33" s="1"/>
  <c r="H25" i="33"/>
  <c r="D25" i="33"/>
  <c r="B25" i="33"/>
  <c r="Z24" i="33"/>
  <c r="T24" i="33"/>
  <c r="P24" i="33"/>
  <c r="X24" i="33" s="1"/>
  <c r="H24" i="33"/>
  <c r="D24" i="33"/>
  <c r="B24" i="33"/>
  <c r="T23" i="33"/>
  <c r="P23" i="33"/>
  <c r="H23" i="33"/>
  <c r="D23" i="33"/>
  <c r="B23" i="33"/>
  <c r="T22" i="33"/>
  <c r="X22" i="33" s="1"/>
  <c r="P22" i="33"/>
  <c r="H22" i="33"/>
  <c r="N22" i="33" s="1"/>
  <c r="D22" i="33"/>
  <c r="B22" i="33"/>
  <c r="T21" i="33"/>
  <c r="P21" i="33"/>
  <c r="X21" i="33" s="1"/>
  <c r="Z21" i="33" s="1"/>
  <c r="L21" i="33"/>
  <c r="N21" i="33" s="1"/>
  <c r="H21" i="33"/>
  <c r="D21" i="33"/>
  <c r="B21" i="33"/>
  <c r="T20" i="33"/>
  <c r="P20" i="33"/>
  <c r="X20" i="33" s="1"/>
  <c r="Z20" i="33" s="1"/>
  <c r="H20" i="33"/>
  <c r="N20" i="33" s="1"/>
  <c r="D20" i="33"/>
  <c r="B20" i="33"/>
  <c r="T19" i="33"/>
  <c r="P19" i="33"/>
  <c r="H19" i="33"/>
  <c r="D19" i="33"/>
  <c r="B19" i="33"/>
  <c r="T18" i="33"/>
  <c r="P18" i="33"/>
  <c r="H18" i="33"/>
  <c r="N18" i="33" s="1"/>
  <c r="D18" i="33"/>
  <c r="B18" i="33"/>
  <c r="T17" i="33"/>
  <c r="P17" i="33"/>
  <c r="N17" i="33"/>
  <c r="L17" i="33"/>
  <c r="H17" i="33"/>
  <c r="D17" i="33"/>
  <c r="B17" i="33"/>
  <c r="T16" i="33"/>
  <c r="P16" i="33"/>
  <c r="X16" i="33" s="1"/>
  <c r="Z16" i="33" s="1"/>
  <c r="H16" i="33"/>
  <c r="N16" i="33" s="1"/>
  <c r="D16" i="33"/>
  <c r="B16" i="33"/>
  <c r="T15" i="33"/>
  <c r="P15" i="33"/>
  <c r="X15" i="33" s="1"/>
  <c r="H15" i="33"/>
  <c r="D15" i="33"/>
  <c r="B15" i="33"/>
  <c r="Z14" i="33"/>
  <c r="T14" i="33"/>
  <c r="X14" i="33" s="1"/>
  <c r="P14" i="33"/>
  <c r="L14" i="33"/>
  <c r="H14" i="33"/>
  <c r="D14" i="33"/>
  <c r="D12" i="33" s="1"/>
  <c r="F85" i="33" s="1"/>
  <c r="B14" i="33"/>
  <c r="Z13" i="33"/>
  <c r="T13" i="33"/>
  <c r="P13" i="33"/>
  <c r="N13" i="33"/>
  <c r="L13" i="33"/>
  <c r="H13" i="33"/>
  <c r="D13" i="33"/>
  <c r="B13" i="33"/>
  <c r="D4" i="33"/>
  <c r="X171" i="30"/>
  <c r="Z171" i="30" s="1"/>
  <c r="N171" i="30"/>
  <c r="L171" i="30"/>
  <c r="T167" i="30"/>
  <c r="Z167" i="30" s="1"/>
  <c r="P167" i="30"/>
  <c r="X167" i="30" s="1"/>
  <c r="L167" i="30"/>
  <c r="H167" i="30"/>
  <c r="N167" i="30" s="1"/>
  <c r="D167" i="30"/>
  <c r="B167" i="30"/>
  <c r="T166" i="30"/>
  <c r="X166" i="30" s="1"/>
  <c r="Z166" i="30" s="1"/>
  <c r="P166" i="30"/>
  <c r="N166" i="30"/>
  <c r="L166" i="30"/>
  <c r="H166" i="30"/>
  <c r="D166" i="30"/>
  <c r="B166" i="30"/>
  <c r="T165" i="30"/>
  <c r="P165" i="30"/>
  <c r="N165" i="30"/>
  <c r="H165" i="30"/>
  <c r="H164" i="30" s="1"/>
  <c r="N164" i="30" s="1"/>
  <c r="D165" i="30"/>
  <c r="L165" i="30" s="1"/>
  <c r="B165" i="30"/>
  <c r="X162" i="30"/>
  <c r="Z162" i="30" s="1"/>
  <c r="N162" i="30"/>
  <c r="L162" i="30"/>
  <c r="B162" i="30"/>
  <c r="T161" i="30"/>
  <c r="P161" i="30"/>
  <c r="X161" i="30" s="1"/>
  <c r="L161" i="30"/>
  <c r="H161" i="30"/>
  <c r="D161" i="30"/>
  <c r="B161" i="30"/>
  <c r="Z160" i="30"/>
  <c r="X160" i="30"/>
  <c r="N160" i="30"/>
  <c r="L160" i="30"/>
  <c r="B160" i="30"/>
  <c r="Z159" i="30"/>
  <c r="X159" i="30"/>
  <c r="N159" i="30"/>
  <c r="L159" i="30"/>
  <c r="B159" i="30"/>
  <c r="Z158" i="30"/>
  <c r="X158" i="30"/>
  <c r="T158" i="30"/>
  <c r="P158" i="30"/>
  <c r="N158" i="30"/>
  <c r="H158" i="30"/>
  <c r="L158" i="30" s="1"/>
  <c r="D158" i="30"/>
  <c r="B158" i="30"/>
  <c r="Z157" i="30"/>
  <c r="X157" i="30"/>
  <c r="N157" i="30"/>
  <c r="L157" i="30"/>
  <c r="B157" i="30"/>
  <c r="T156" i="30"/>
  <c r="Z156" i="30" s="1"/>
  <c r="P156" i="30"/>
  <c r="X156" i="30" s="1"/>
  <c r="H156" i="30"/>
  <c r="N156" i="30" s="1"/>
  <c r="D156" i="30"/>
  <c r="L156" i="30" s="1"/>
  <c r="B156" i="30"/>
  <c r="X155" i="30"/>
  <c r="Z155" i="30" s="1"/>
  <c r="N155" i="30"/>
  <c r="L155" i="30"/>
  <c r="B155" i="30"/>
  <c r="T154" i="30"/>
  <c r="P154" i="30"/>
  <c r="X154" i="30" s="1"/>
  <c r="Z154" i="30" s="1"/>
  <c r="L154" i="30"/>
  <c r="N154" i="30" s="1"/>
  <c r="H154" i="30"/>
  <c r="D154" i="30"/>
  <c r="B154" i="30"/>
  <c r="X153" i="30"/>
  <c r="Z153" i="30" s="1"/>
  <c r="N153" i="30"/>
  <c r="L153" i="30"/>
  <c r="B153" i="30"/>
  <c r="Z152" i="30"/>
  <c r="X152" i="30"/>
  <c r="N152" i="30"/>
  <c r="L152" i="30"/>
  <c r="B152" i="30"/>
  <c r="Z151" i="30"/>
  <c r="X151" i="30"/>
  <c r="N151" i="30"/>
  <c r="L151" i="30"/>
  <c r="B151" i="30"/>
  <c r="X150" i="30"/>
  <c r="Z150" i="30" s="1"/>
  <c r="N150" i="30"/>
  <c r="L150" i="30"/>
  <c r="B150" i="30"/>
  <c r="Z149" i="30"/>
  <c r="X149" i="30"/>
  <c r="N149" i="30"/>
  <c r="L149" i="30"/>
  <c r="B149" i="30"/>
  <c r="Z148" i="30"/>
  <c r="X148" i="30"/>
  <c r="N148" i="30"/>
  <c r="L148" i="30"/>
  <c r="B148" i="30"/>
  <c r="T147" i="30"/>
  <c r="P147" i="30"/>
  <c r="X147" i="30" s="1"/>
  <c r="Z147" i="30" s="1"/>
  <c r="H147" i="30"/>
  <c r="D147" i="30"/>
  <c r="B147" i="30"/>
  <c r="Z146" i="30"/>
  <c r="X146" i="30"/>
  <c r="N146" i="30"/>
  <c r="L146" i="30"/>
  <c r="B146" i="30"/>
  <c r="Z145" i="30"/>
  <c r="X145" i="30"/>
  <c r="N145" i="30"/>
  <c r="L145" i="30"/>
  <c r="B145" i="30"/>
  <c r="T144" i="30"/>
  <c r="P144" i="30"/>
  <c r="H144" i="30"/>
  <c r="N144" i="30" s="1"/>
  <c r="D144" i="30"/>
  <c r="L144" i="30" s="1"/>
  <c r="B144" i="30"/>
  <c r="X143" i="30"/>
  <c r="Z143" i="30" s="1"/>
  <c r="N143" i="30"/>
  <c r="L143" i="30"/>
  <c r="B143" i="30"/>
  <c r="X142" i="30"/>
  <c r="Z142" i="30" s="1"/>
  <c r="N142" i="30"/>
  <c r="L142" i="30"/>
  <c r="B142" i="30"/>
  <c r="X141" i="30"/>
  <c r="Z141" i="30" s="1"/>
  <c r="N141" i="30"/>
  <c r="L141" i="30"/>
  <c r="B141" i="30"/>
  <c r="X140" i="30"/>
  <c r="Z140" i="30" s="1"/>
  <c r="T140" i="30"/>
  <c r="P140" i="30"/>
  <c r="H140" i="30"/>
  <c r="D140" i="30"/>
  <c r="L140" i="30" s="1"/>
  <c r="N140" i="30" s="1"/>
  <c r="B140" i="30"/>
  <c r="Z139" i="30"/>
  <c r="X139" i="30"/>
  <c r="N139" i="30"/>
  <c r="L139" i="30"/>
  <c r="B139" i="30"/>
  <c r="X138" i="30"/>
  <c r="Z138" i="30" s="1"/>
  <c r="N138" i="30"/>
  <c r="L138" i="30"/>
  <c r="B138" i="30"/>
  <c r="T137" i="30"/>
  <c r="P137" i="30"/>
  <c r="N137" i="30"/>
  <c r="H137" i="30"/>
  <c r="D137" i="30"/>
  <c r="L137" i="30" s="1"/>
  <c r="B137" i="30"/>
  <c r="Z136" i="30"/>
  <c r="X136" i="30"/>
  <c r="N136" i="30"/>
  <c r="L136" i="30"/>
  <c r="B136" i="30"/>
  <c r="Z135" i="30"/>
  <c r="X135" i="30"/>
  <c r="N135" i="30"/>
  <c r="L135" i="30"/>
  <c r="B135" i="30"/>
  <c r="Z134" i="30"/>
  <c r="X134" i="30"/>
  <c r="N134" i="30"/>
  <c r="L134" i="30"/>
  <c r="B134" i="30"/>
  <c r="Z133" i="30"/>
  <c r="T133" i="30"/>
  <c r="P133" i="30"/>
  <c r="X133" i="30" s="1"/>
  <c r="H133" i="30"/>
  <c r="N133" i="30" s="1"/>
  <c r="D133" i="30"/>
  <c r="L133" i="30" s="1"/>
  <c r="B133" i="30"/>
  <c r="X132" i="30"/>
  <c r="Z132" i="30" s="1"/>
  <c r="N132" i="30"/>
  <c r="L132" i="30"/>
  <c r="B132" i="30"/>
  <c r="X131" i="30"/>
  <c r="T131" i="30"/>
  <c r="Z131" i="30" s="1"/>
  <c r="P131" i="30"/>
  <c r="H131" i="30"/>
  <c r="N131" i="30" s="1"/>
  <c r="D131" i="30"/>
  <c r="L131" i="30" s="1"/>
  <c r="B131" i="30"/>
  <c r="Z130" i="30"/>
  <c r="X130" i="30"/>
  <c r="N130" i="30"/>
  <c r="L130" i="30"/>
  <c r="B130" i="30"/>
  <c r="X129" i="30"/>
  <c r="T129" i="30"/>
  <c r="P129" i="30"/>
  <c r="N129" i="30"/>
  <c r="H129" i="30"/>
  <c r="D129" i="30"/>
  <c r="L129" i="30" s="1"/>
  <c r="B129" i="30"/>
  <c r="Z128" i="30"/>
  <c r="X128" i="30"/>
  <c r="N128" i="30"/>
  <c r="L128" i="30"/>
  <c r="B128" i="30"/>
  <c r="X127" i="30"/>
  <c r="Z127" i="30" s="1"/>
  <c r="L127" i="30"/>
  <c r="N127" i="30" s="1"/>
  <c r="B127" i="30"/>
  <c r="T126" i="30"/>
  <c r="P126" i="30"/>
  <c r="X126" i="30" s="1"/>
  <c r="H126" i="30"/>
  <c r="D126" i="30"/>
  <c r="L126" i="30" s="1"/>
  <c r="B126" i="30"/>
  <c r="X125" i="30"/>
  <c r="Z125" i="30" s="1"/>
  <c r="L125" i="30"/>
  <c r="N125" i="30" s="1"/>
  <c r="B125" i="30"/>
  <c r="X124" i="30"/>
  <c r="Z124" i="30" s="1"/>
  <c r="T124" i="30"/>
  <c r="P124" i="30"/>
  <c r="H124" i="30"/>
  <c r="D124" i="30"/>
  <c r="L124" i="30" s="1"/>
  <c r="N124" i="30" s="1"/>
  <c r="B124" i="30"/>
  <c r="Z123" i="30"/>
  <c r="X123" i="30"/>
  <c r="L123" i="30"/>
  <c r="N123" i="30" s="1"/>
  <c r="B123" i="30"/>
  <c r="X122" i="30"/>
  <c r="Z122" i="30" s="1"/>
  <c r="T122" i="30"/>
  <c r="P122" i="30"/>
  <c r="H122" i="30"/>
  <c r="L122" i="30" s="1"/>
  <c r="N122" i="30" s="1"/>
  <c r="D122" i="30"/>
  <c r="B122" i="30"/>
  <c r="Z121" i="30"/>
  <c r="X121" i="30"/>
  <c r="N121" i="30"/>
  <c r="L121" i="30"/>
  <c r="B121" i="30"/>
  <c r="Z120" i="30"/>
  <c r="X120" i="30"/>
  <c r="L120" i="30"/>
  <c r="N120" i="30" s="1"/>
  <c r="B120" i="30"/>
  <c r="T119" i="30"/>
  <c r="P119" i="30"/>
  <c r="X119" i="30" s="1"/>
  <c r="H119" i="30"/>
  <c r="D119" i="30"/>
  <c r="L119" i="30" s="1"/>
  <c r="N119" i="30" s="1"/>
  <c r="B119" i="30"/>
  <c r="X118" i="30"/>
  <c r="Z118" i="30" s="1"/>
  <c r="N118" i="30"/>
  <c r="L118" i="30"/>
  <c r="B118" i="30"/>
  <c r="T117" i="30"/>
  <c r="Z117" i="30" s="1"/>
  <c r="P117" i="30"/>
  <c r="X117" i="30" s="1"/>
  <c r="L117" i="30"/>
  <c r="H117" i="30"/>
  <c r="N117" i="30" s="1"/>
  <c r="D117" i="30"/>
  <c r="B117" i="30"/>
  <c r="Z116" i="30"/>
  <c r="X116" i="30"/>
  <c r="N116" i="30"/>
  <c r="L116" i="30"/>
  <c r="B116" i="30"/>
  <c r="Z115" i="30"/>
  <c r="X115" i="30"/>
  <c r="N115" i="30"/>
  <c r="L115" i="30"/>
  <c r="B115" i="30"/>
  <c r="X114" i="30"/>
  <c r="Z114" i="30" s="1"/>
  <c r="T114" i="30"/>
  <c r="P114" i="30"/>
  <c r="H114" i="30"/>
  <c r="L114" i="30" s="1"/>
  <c r="N114" i="30" s="1"/>
  <c r="D114" i="30"/>
  <c r="B114" i="30"/>
  <c r="Z113" i="30"/>
  <c r="X113" i="30"/>
  <c r="L113" i="30"/>
  <c r="N113" i="30" s="1"/>
  <c r="B113" i="30"/>
  <c r="T112" i="30"/>
  <c r="P112" i="30"/>
  <c r="X112" i="30" s="1"/>
  <c r="H112" i="30"/>
  <c r="N112" i="30" s="1"/>
  <c r="D112" i="30"/>
  <c r="L112" i="30" s="1"/>
  <c r="B112" i="30"/>
  <c r="X111" i="30"/>
  <c r="Z111" i="30" s="1"/>
  <c r="N111" i="30"/>
  <c r="L111" i="30"/>
  <c r="B111" i="30"/>
  <c r="T110" i="30"/>
  <c r="P110" i="30"/>
  <c r="X110" i="30" s="1"/>
  <c r="Z110" i="30" s="1"/>
  <c r="N110" i="30"/>
  <c r="L110" i="30"/>
  <c r="H110" i="30"/>
  <c r="D110" i="30"/>
  <c r="B110" i="30"/>
  <c r="X109" i="30"/>
  <c r="Z109" i="30" s="1"/>
  <c r="N109" i="30"/>
  <c r="L109" i="30"/>
  <c r="B109" i="30"/>
  <c r="T108" i="30"/>
  <c r="X108" i="30" s="1"/>
  <c r="Z108" i="30" s="1"/>
  <c r="P108" i="30"/>
  <c r="L108" i="30"/>
  <c r="N108" i="30" s="1"/>
  <c r="H108" i="30"/>
  <c r="D108" i="30"/>
  <c r="B108" i="30"/>
  <c r="Z107" i="30"/>
  <c r="X107" i="30"/>
  <c r="N107" i="30"/>
  <c r="L107" i="30"/>
  <c r="B107" i="30"/>
  <c r="Z106" i="30"/>
  <c r="X106" i="30"/>
  <c r="L106" i="30"/>
  <c r="N106" i="30" s="1"/>
  <c r="B106" i="30"/>
  <c r="Z105" i="30"/>
  <c r="X105" i="30"/>
  <c r="N105" i="30"/>
  <c r="L105" i="30"/>
  <c r="B105" i="30"/>
  <c r="Z104" i="30"/>
  <c r="X104" i="30"/>
  <c r="N104" i="30"/>
  <c r="L104" i="30"/>
  <c r="B104" i="30"/>
  <c r="Z103" i="30"/>
  <c r="X103" i="30"/>
  <c r="L103" i="30"/>
  <c r="N103" i="30" s="1"/>
  <c r="B103" i="30"/>
  <c r="Z102" i="30"/>
  <c r="X102" i="30"/>
  <c r="L102" i="30"/>
  <c r="N102" i="30" s="1"/>
  <c r="B102" i="30"/>
  <c r="Z101" i="30"/>
  <c r="X101" i="30"/>
  <c r="T101" i="30"/>
  <c r="P101" i="30"/>
  <c r="H101" i="30"/>
  <c r="D101" i="30"/>
  <c r="L101" i="30" s="1"/>
  <c r="B101" i="30"/>
  <c r="Z100" i="30"/>
  <c r="X100" i="30"/>
  <c r="N100" i="30"/>
  <c r="L100" i="30"/>
  <c r="B100" i="30"/>
  <c r="X99" i="30"/>
  <c r="Z99" i="30" s="1"/>
  <c r="N99" i="30"/>
  <c r="L99" i="30"/>
  <c r="B99" i="30"/>
  <c r="X98" i="30"/>
  <c r="Z98" i="30" s="1"/>
  <c r="N98" i="30"/>
  <c r="L98" i="30"/>
  <c r="B98" i="30"/>
  <c r="X97" i="30"/>
  <c r="Z97" i="30" s="1"/>
  <c r="L97" i="30"/>
  <c r="N97" i="30" s="1"/>
  <c r="B97" i="30"/>
  <c r="Z96" i="30"/>
  <c r="X96" i="30"/>
  <c r="N96" i="30"/>
  <c r="L96" i="30"/>
  <c r="B96" i="30"/>
  <c r="X95" i="30"/>
  <c r="Z95" i="30" s="1"/>
  <c r="N95" i="30"/>
  <c r="L95" i="30"/>
  <c r="B95" i="30"/>
  <c r="X94" i="30"/>
  <c r="Z94" i="30" s="1"/>
  <c r="N94" i="30"/>
  <c r="L94" i="30"/>
  <c r="B94" i="30"/>
  <c r="X93" i="30"/>
  <c r="Z93" i="30" s="1"/>
  <c r="L93" i="30"/>
  <c r="N93" i="30" s="1"/>
  <c r="B93" i="30"/>
  <c r="Z92" i="30"/>
  <c r="X92" i="30"/>
  <c r="T92" i="30"/>
  <c r="P92" i="30"/>
  <c r="H92" i="30"/>
  <c r="D92" i="30"/>
  <c r="L92" i="30" s="1"/>
  <c r="N92" i="30" s="1"/>
  <c r="B92" i="30"/>
  <c r="T91" i="30"/>
  <c r="P91" i="30"/>
  <c r="X91" i="30" s="1"/>
  <c r="H91" i="30"/>
  <c r="D91" i="30"/>
  <c r="Z87" i="30"/>
  <c r="X87" i="30"/>
  <c r="L87" i="30"/>
  <c r="N87" i="30" s="1"/>
  <c r="B87" i="30"/>
  <c r="Z86" i="30"/>
  <c r="X86" i="30"/>
  <c r="N86" i="30"/>
  <c r="L86" i="30"/>
  <c r="B86" i="30"/>
  <c r="X85" i="30"/>
  <c r="Z85" i="30" s="1"/>
  <c r="N85" i="30"/>
  <c r="L85" i="30"/>
  <c r="B85" i="30"/>
  <c r="Z84" i="30"/>
  <c r="X84" i="30"/>
  <c r="N84" i="30"/>
  <c r="L84" i="30"/>
  <c r="B84" i="30"/>
  <c r="Z83" i="30"/>
  <c r="X83" i="30"/>
  <c r="L83" i="30"/>
  <c r="N83" i="30" s="1"/>
  <c r="B83" i="30"/>
  <c r="X82" i="30"/>
  <c r="Z82" i="30" s="1"/>
  <c r="N82" i="30"/>
  <c r="L82" i="30"/>
  <c r="B82" i="30"/>
  <c r="Z81" i="30"/>
  <c r="X81" i="30"/>
  <c r="N81" i="30"/>
  <c r="L81" i="30"/>
  <c r="B81" i="30"/>
  <c r="Z80" i="30"/>
  <c r="X80" i="30"/>
  <c r="N80" i="30"/>
  <c r="L80" i="30"/>
  <c r="B80" i="30"/>
  <c r="Z79" i="30"/>
  <c r="X79" i="30"/>
  <c r="N79" i="30"/>
  <c r="L79" i="30"/>
  <c r="F79" i="30"/>
  <c r="B79" i="30"/>
  <c r="Z78" i="30"/>
  <c r="X78" i="30"/>
  <c r="N78" i="30"/>
  <c r="L78" i="30"/>
  <c r="B78" i="30"/>
  <c r="X77" i="30"/>
  <c r="Z77" i="30" s="1"/>
  <c r="N77" i="30"/>
  <c r="L77" i="30"/>
  <c r="B77" i="30"/>
  <c r="Z76" i="30"/>
  <c r="X76" i="30"/>
  <c r="N76" i="30"/>
  <c r="L76" i="30"/>
  <c r="B76" i="30"/>
  <c r="Z75" i="30"/>
  <c r="X75" i="30"/>
  <c r="L75" i="30"/>
  <c r="N75" i="30" s="1"/>
  <c r="B75" i="30"/>
  <c r="X74" i="30"/>
  <c r="Z74" i="30" s="1"/>
  <c r="N74" i="30"/>
  <c r="L74" i="30"/>
  <c r="B74" i="30"/>
  <c r="X73" i="30"/>
  <c r="Z73" i="30" s="1"/>
  <c r="N73" i="30"/>
  <c r="L73" i="30"/>
  <c r="B73" i="30"/>
  <c r="Z72" i="30"/>
  <c r="X72" i="30"/>
  <c r="N72" i="30"/>
  <c r="L72" i="30"/>
  <c r="B72" i="30"/>
  <c r="Z71" i="30"/>
  <c r="X71" i="30"/>
  <c r="N71" i="30"/>
  <c r="L71" i="30"/>
  <c r="B71" i="30"/>
  <c r="X70" i="30"/>
  <c r="Z70" i="30" s="1"/>
  <c r="N70" i="30"/>
  <c r="L70" i="30"/>
  <c r="B70" i="30"/>
  <c r="X69" i="30"/>
  <c r="Z69" i="30" s="1"/>
  <c r="L69" i="30"/>
  <c r="N69" i="30" s="1"/>
  <c r="B69" i="30"/>
  <c r="Z68" i="30"/>
  <c r="X68" i="30"/>
  <c r="N68" i="30"/>
  <c r="L68" i="30"/>
  <c r="B68" i="30"/>
  <c r="Z67" i="30"/>
  <c r="X67" i="30"/>
  <c r="L67" i="30"/>
  <c r="N67" i="30" s="1"/>
  <c r="B67" i="30"/>
  <c r="X66" i="30"/>
  <c r="Z66" i="30" s="1"/>
  <c r="N66" i="30"/>
  <c r="L66" i="30"/>
  <c r="B66" i="30"/>
  <c r="X65" i="30"/>
  <c r="Z65" i="30" s="1"/>
  <c r="L65" i="30"/>
  <c r="N65" i="30" s="1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X61" i="30"/>
  <c r="Z61" i="30" s="1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T57" i="30"/>
  <c r="P57" i="30"/>
  <c r="H57" i="30"/>
  <c r="D57" i="30"/>
  <c r="T55" i="30"/>
  <c r="P55" i="30"/>
  <c r="X55" i="30" s="1"/>
  <c r="Z55" i="30" s="1"/>
  <c r="N55" i="30"/>
  <c r="L55" i="30"/>
  <c r="H55" i="30"/>
  <c r="D55" i="30"/>
  <c r="B55" i="30"/>
  <c r="T54" i="30"/>
  <c r="X54" i="30" s="1"/>
  <c r="P54" i="30"/>
  <c r="H54" i="30"/>
  <c r="D54" i="30"/>
  <c r="B54" i="30"/>
  <c r="T53" i="30"/>
  <c r="P53" i="30"/>
  <c r="X53" i="30" s="1"/>
  <c r="Z53" i="30" s="1"/>
  <c r="H53" i="30"/>
  <c r="D53" i="30"/>
  <c r="L53" i="30" s="1"/>
  <c r="N53" i="30" s="1"/>
  <c r="B53" i="30"/>
  <c r="Z52" i="30"/>
  <c r="X52" i="30"/>
  <c r="T52" i="30"/>
  <c r="P52" i="30"/>
  <c r="H52" i="30"/>
  <c r="N52" i="30" s="1"/>
  <c r="D52" i="30"/>
  <c r="L52" i="30" s="1"/>
  <c r="B52" i="30"/>
  <c r="X51" i="30"/>
  <c r="Z51" i="30" s="1"/>
  <c r="T51" i="30"/>
  <c r="P51" i="30"/>
  <c r="N51" i="30"/>
  <c r="L51" i="30"/>
  <c r="H51" i="30"/>
  <c r="D51" i="30"/>
  <c r="B51" i="30"/>
  <c r="Z50" i="30"/>
  <c r="T50" i="30"/>
  <c r="X50" i="30" s="1"/>
  <c r="P50" i="30"/>
  <c r="H50" i="30"/>
  <c r="D50" i="30"/>
  <c r="B50" i="30"/>
  <c r="T49" i="30"/>
  <c r="P49" i="30"/>
  <c r="X49" i="30" s="1"/>
  <c r="Z49" i="30" s="1"/>
  <c r="L49" i="30"/>
  <c r="N49" i="30" s="1"/>
  <c r="H49" i="30"/>
  <c r="D49" i="30"/>
  <c r="B49" i="30"/>
  <c r="T48" i="30"/>
  <c r="P48" i="30"/>
  <c r="H48" i="30"/>
  <c r="N48" i="30" s="1"/>
  <c r="D48" i="30"/>
  <c r="B48" i="30"/>
  <c r="T47" i="30"/>
  <c r="P47" i="30"/>
  <c r="X47" i="30" s="1"/>
  <c r="Z47" i="30" s="1"/>
  <c r="N47" i="30"/>
  <c r="L47" i="30"/>
  <c r="H47" i="30"/>
  <c r="D47" i="30"/>
  <c r="B47" i="30"/>
  <c r="T46" i="30"/>
  <c r="X46" i="30" s="1"/>
  <c r="P46" i="30"/>
  <c r="N46" i="30"/>
  <c r="H46" i="30"/>
  <c r="D46" i="30"/>
  <c r="L46" i="30" s="1"/>
  <c r="B46" i="30"/>
  <c r="T45" i="30"/>
  <c r="P45" i="30"/>
  <c r="X45" i="30" s="1"/>
  <c r="Z45" i="30" s="1"/>
  <c r="H45" i="30"/>
  <c r="D45" i="30"/>
  <c r="L45" i="30" s="1"/>
  <c r="N45" i="30" s="1"/>
  <c r="B45" i="30"/>
  <c r="T44" i="30"/>
  <c r="X44" i="30" s="1"/>
  <c r="P44" i="30"/>
  <c r="H44" i="30"/>
  <c r="N44" i="30" s="1"/>
  <c r="D44" i="30"/>
  <c r="B44" i="30"/>
  <c r="Z43" i="30"/>
  <c r="T43" i="30"/>
  <c r="P43" i="30"/>
  <c r="X43" i="30" s="1"/>
  <c r="N43" i="30"/>
  <c r="L43" i="30"/>
  <c r="H43" i="30"/>
  <c r="D43" i="30"/>
  <c r="B43" i="30"/>
  <c r="Z42" i="30"/>
  <c r="T42" i="30"/>
  <c r="X42" i="30" s="1"/>
  <c r="P42" i="30"/>
  <c r="N42" i="30"/>
  <c r="H42" i="30"/>
  <c r="D42" i="30"/>
  <c r="L42" i="30" s="1"/>
  <c r="B42" i="30"/>
  <c r="T41" i="30"/>
  <c r="P41" i="30"/>
  <c r="X41" i="30" s="1"/>
  <c r="Z41" i="30" s="1"/>
  <c r="H41" i="30"/>
  <c r="D41" i="30"/>
  <c r="L41" i="30" s="1"/>
  <c r="N41" i="30" s="1"/>
  <c r="B41" i="30"/>
  <c r="T40" i="30"/>
  <c r="P40" i="30"/>
  <c r="H40" i="30"/>
  <c r="D40" i="30"/>
  <c r="L40" i="30" s="1"/>
  <c r="B40" i="30"/>
  <c r="T39" i="30"/>
  <c r="P39" i="30"/>
  <c r="X39" i="30" s="1"/>
  <c r="Z39" i="30" s="1"/>
  <c r="L39" i="30"/>
  <c r="N39" i="30" s="1"/>
  <c r="H39" i="30"/>
  <c r="D39" i="30"/>
  <c r="B39" i="30"/>
  <c r="T38" i="30"/>
  <c r="X38" i="30" s="1"/>
  <c r="P38" i="30"/>
  <c r="H38" i="30"/>
  <c r="D38" i="30"/>
  <c r="B38" i="30"/>
  <c r="T37" i="30"/>
  <c r="P37" i="30"/>
  <c r="X37" i="30" s="1"/>
  <c r="Z37" i="30" s="1"/>
  <c r="H37" i="30"/>
  <c r="D37" i="30"/>
  <c r="L37" i="30" s="1"/>
  <c r="N37" i="30" s="1"/>
  <c r="B37" i="30"/>
  <c r="X36" i="30"/>
  <c r="T36" i="30"/>
  <c r="P36" i="30"/>
  <c r="H36" i="30"/>
  <c r="D36" i="30"/>
  <c r="L36" i="30" s="1"/>
  <c r="B36" i="30"/>
  <c r="X35" i="30"/>
  <c r="Z35" i="30" s="1"/>
  <c r="T35" i="30"/>
  <c r="P35" i="30"/>
  <c r="N35" i="30"/>
  <c r="L35" i="30"/>
  <c r="H35" i="30"/>
  <c r="D35" i="30"/>
  <c r="B35" i="30"/>
  <c r="Z34" i="30"/>
  <c r="T34" i="30"/>
  <c r="X34" i="30" s="1"/>
  <c r="P34" i="30"/>
  <c r="H34" i="30"/>
  <c r="N34" i="30" s="1"/>
  <c r="D34" i="30"/>
  <c r="B34" i="30"/>
  <c r="Z33" i="30"/>
  <c r="T33" i="30"/>
  <c r="P33" i="30"/>
  <c r="X33" i="30" s="1"/>
  <c r="N33" i="30"/>
  <c r="L33" i="30"/>
  <c r="H33" i="30"/>
  <c r="D33" i="30"/>
  <c r="B33" i="30"/>
  <c r="X32" i="30"/>
  <c r="T32" i="30"/>
  <c r="Z32" i="30" s="1"/>
  <c r="P32" i="30"/>
  <c r="H32" i="30"/>
  <c r="N32" i="30" s="1"/>
  <c r="D32" i="30"/>
  <c r="B32" i="30"/>
  <c r="Z31" i="30"/>
  <c r="X31" i="30"/>
  <c r="T31" i="30"/>
  <c r="P31" i="30"/>
  <c r="N31" i="30"/>
  <c r="H31" i="30"/>
  <c r="L31" i="30" s="1"/>
  <c r="D31" i="30"/>
  <c r="B31" i="30"/>
  <c r="Z30" i="30"/>
  <c r="T30" i="30"/>
  <c r="X30" i="30" s="1"/>
  <c r="P30" i="30"/>
  <c r="N30" i="30"/>
  <c r="H30" i="30"/>
  <c r="D30" i="30"/>
  <c r="L30" i="30" s="1"/>
  <c r="B30" i="30"/>
  <c r="Z29" i="30"/>
  <c r="T29" i="30"/>
  <c r="P29" i="30"/>
  <c r="X29" i="30" s="1"/>
  <c r="N29" i="30"/>
  <c r="H29" i="30"/>
  <c r="D29" i="30"/>
  <c r="L29" i="30" s="1"/>
  <c r="B29" i="30"/>
  <c r="Z28" i="30"/>
  <c r="X28" i="30"/>
  <c r="T28" i="30"/>
  <c r="P28" i="30"/>
  <c r="H28" i="30"/>
  <c r="N28" i="30" s="1"/>
  <c r="D28" i="30"/>
  <c r="B28" i="30"/>
  <c r="T27" i="30"/>
  <c r="P27" i="30"/>
  <c r="X27" i="30" s="1"/>
  <c r="Z27" i="30" s="1"/>
  <c r="H27" i="30"/>
  <c r="D27" i="30"/>
  <c r="B27" i="30"/>
  <c r="T26" i="30"/>
  <c r="P26" i="30"/>
  <c r="N26" i="30"/>
  <c r="H26" i="30"/>
  <c r="D26" i="30"/>
  <c r="B26" i="30"/>
  <c r="T25" i="30"/>
  <c r="P25" i="30"/>
  <c r="X25" i="30" s="1"/>
  <c r="Z25" i="30" s="1"/>
  <c r="L25" i="30"/>
  <c r="N25" i="30" s="1"/>
  <c r="H25" i="30"/>
  <c r="D25" i="30"/>
  <c r="B25" i="30"/>
  <c r="X24" i="30"/>
  <c r="T24" i="30"/>
  <c r="Z24" i="30" s="1"/>
  <c r="P24" i="30"/>
  <c r="H24" i="30"/>
  <c r="D24" i="30"/>
  <c r="B24" i="30"/>
  <c r="X23" i="30"/>
  <c r="Z23" i="30" s="1"/>
  <c r="T23" i="30"/>
  <c r="P23" i="30"/>
  <c r="L23" i="30"/>
  <c r="H23" i="30"/>
  <c r="D23" i="30"/>
  <c r="B23" i="30"/>
  <c r="T22" i="30"/>
  <c r="X22" i="30" s="1"/>
  <c r="P22" i="30"/>
  <c r="H22" i="30"/>
  <c r="D22" i="30"/>
  <c r="L22" i="30" s="1"/>
  <c r="B22" i="30"/>
  <c r="T21" i="30"/>
  <c r="P21" i="30"/>
  <c r="X21" i="30" s="1"/>
  <c r="Z21" i="30" s="1"/>
  <c r="L21" i="30"/>
  <c r="N21" i="30" s="1"/>
  <c r="H21" i="30"/>
  <c r="D21" i="30"/>
  <c r="B21" i="30"/>
  <c r="T20" i="30"/>
  <c r="P20" i="30"/>
  <c r="X20" i="30" s="1"/>
  <c r="H20" i="30"/>
  <c r="D20" i="30"/>
  <c r="B20" i="30"/>
  <c r="Z19" i="30"/>
  <c r="X19" i="30"/>
  <c r="T19" i="30"/>
  <c r="P19" i="30"/>
  <c r="H19" i="30"/>
  <c r="N19" i="30" s="1"/>
  <c r="D19" i="30"/>
  <c r="B19" i="30"/>
  <c r="Z18" i="30"/>
  <c r="T18" i="30"/>
  <c r="X18" i="30" s="1"/>
  <c r="P18" i="30"/>
  <c r="H18" i="30"/>
  <c r="N18" i="30" s="1"/>
  <c r="D18" i="30"/>
  <c r="B18" i="30"/>
  <c r="Z17" i="30"/>
  <c r="T17" i="30"/>
  <c r="P17" i="30"/>
  <c r="X17" i="30" s="1"/>
  <c r="N17" i="30"/>
  <c r="L17" i="30"/>
  <c r="H17" i="30"/>
  <c r="D17" i="30"/>
  <c r="B17" i="30"/>
  <c r="X16" i="30"/>
  <c r="T16" i="30"/>
  <c r="Z16" i="30" s="1"/>
  <c r="P16" i="30"/>
  <c r="H16" i="30"/>
  <c r="N16" i="30" s="1"/>
  <c r="D16" i="30"/>
  <c r="B16" i="30"/>
  <c r="X15" i="30"/>
  <c r="Z15" i="30" s="1"/>
  <c r="T15" i="30"/>
  <c r="P15" i="30"/>
  <c r="L15" i="30"/>
  <c r="H15" i="30"/>
  <c r="N15" i="30" s="1"/>
  <c r="D15" i="30"/>
  <c r="B15" i="30"/>
  <c r="T14" i="30"/>
  <c r="P14" i="30"/>
  <c r="X14" i="30" s="1"/>
  <c r="H14" i="30"/>
  <c r="D14" i="30"/>
  <c r="B14" i="30"/>
  <c r="Z13" i="30"/>
  <c r="T13" i="30"/>
  <c r="P13" i="30"/>
  <c r="X13" i="30" s="1"/>
  <c r="H13" i="30"/>
  <c r="N13" i="30" s="1"/>
  <c r="D13" i="30"/>
  <c r="D12" i="30" s="1"/>
  <c r="B13" i="30"/>
  <c r="D4" i="30"/>
  <c r="X127" i="27"/>
  <c r="Z127" i="27" s="1"/>
  <c r="N127" i="27"/>
  <c r="L127" i="27"/>
  <c r="X123" i="27"/>
  <c r="Z123" i="27" s="1"/>
  <c r="T123" i="27"/>
  <c r="P123" i="27"/>
  <c r="P120" i="27" s="1"/>
  <c r="H123" i="27"/>
  <c r="D123" i="27"/>
  <c r="L123" i="27" s="1"/>
  <c r="N123" i="27" s="1"/>
  <c r="B123" i="27"/>
  <c r="T122" i="27"/>
  <c r="P122" i="27"/>
  <c r="X122" i="27" s="1"/>
  <c r="Z122" i="27" s="1"/>
  <c r="H122" i="27"/>
  <c r="N122" i="27" s="1"/>
  <c r="D122" i="27"/>
  <c r="L122" i="27" s="1"/>
  <c r="B122" i="27"/>
  <c r="X121" i="27"/>
  <c r="T121" i="27"/>
  <c r="P121" i="27"/>
  <c r="H121" i="27"/>
  <c r="H120" i="27" s="1"/>
  <c r="D121" i="27"/>
  <c r="B121" i="27"/>
  <c r="Z118" i="27"/>
  <c r="X118" i="27"/>
  <c r="N118" i="27"/>
  <c r="L118" i="27"/>
  <c r="B118" i="27"/>
  <c r="X117" i="27"/>
  <c r="T117" i="27"/>
  <c r="P117" i="27"/>
  <c r="N117" i="27"/>
  <c r="H117" i="27"/>
  <c r="D117" i="27"/>
  <c r="L117" i="27" s="1"/>
  <c r="B117" i="27"/>
  <c r="Z116" i="27"/>
  <c r="X116" i="27"/>
  <c r="N116" i="27"/>
  <c r="L116" i="27"/>
  <c r="B116" i="27"/>
  <c r="X115" i="27"/>
  <c r="T115" i="27"/>
  <c r="P115" i="27"/>
  <c r="N115" i="27"/>
  <c r="L115" i="27"/>
  <c r="H115" i="27"/>
  <c r="D115" i="27"/>
  <c r="B115" i="27"/>
  <c r="Z114" i="27"/>
  <c r="X114" i="27"/>
  <c r="N114" i="27"/>
  <c r="L114" i="27"/>
  <c r="B114" i="27"/>
  <c r="Z113" i="27"/>
  <c r="X113" i="27"/>
  <c r="N113" i="27"/>
  <c r="L113" i="27"/>
  <c r="B113" i="27"/>
  <c r="T112" i="27"/>
  <c r="P112" i="27"/>
  <c r="X112" i="27" s="1"/>
  <c r="Z112" i="27" s="1"/>
  <c r="N112" i="27"/>
  <c r="L112" i="27"/>
  <c r="H112" i="27"/>
  <c r="D112" i="27"/>
  <c r="B112" i="27"/>
  <c r="Z111" i="27"/>
  <c r="X111" i="27"/>
  <c r="L111" i="27"/>
  <c r="N111" i="27" s="1"/>
  <c r="B111" i="27"/>
  <c r="Z110" i="27"/>
  <c r="X110" i="27"/>
  <c r="N110" i="27"/>
  <c r="L110" i="27"/>
  <c r="B110" i="27"/>
  <c r="Z109" i="27"/>
  <c r="X109" i="27"/>
  <c r="L109" i="27"/>
  <c r="N109" i="27" s="1"/>
  <c r="B109" i="27"/>
  <c r="T108" i="27"/>
  <c r="P108" i="27"/>
  <c r="N108" i="27"/>
  <c r="H108" i="27"/>
  <c r="D108" i="27"/>
  <c r="L108" i="27" s="1"/>
  <c r="B108" i="27"/>
  <c r="X107" i="27"/>
  <c r="Z107" i="27" s="1"/>
  <c r="N107" i="27"/>
  <c r="L107" i="27"/>
  <c r="B107" i="27"/>
  <c r="X106" i="27"/>
  <c r="Z106" i="27" s="1"/>
  <c r="L106" i="27"/>
  <c r="N106" i="27" s="1"/>
  <c r="B106" i="27"/>
  <c r="X105" i="27"/>
  <c r="Z105" i="27" s="1"/>
  <c r="T105" i="27"/>
  <c r="P105" i="27"/>
  <c r="H105" i="27"/>
  <c r="D105" i="27"/>
  <c r="L105" i="27" s="1"/>
  <c r="B105" i="27"/>
  <c r="Z104" i="27"/>
  <c r="X104" i="27"/>
  <c r="N104" i="27"/>
  <c r="L104" i="27"/>
  <c r="B104" i="27"/>
  <c r="X103" i="27"/>
  <c r="Z103" i="27" s="1"/>
  <c r="N103" i="27"/>
  <c r="L103" i="27"/>
  <c r="B103" i="27"/>
  <c r="Z102" i="27"/>
  <c r="X102" i="27"/>
  <c r="T102" i="27"/>
  <c r="P102" i="27"/>
  <c r="H102" i="27"/>
  <c r="D102" i="27"/>
  <c r="L102" i="27" s="1"/>
  <c r="N102" i="27" s="1"/>
  <c r="B102" i="27"/>
  <c r="Z101" i="27"/>
  <c r="X101" i="27"/>
  <c r="N101" i="27"/>
  <c r="L101" i="27"/>
  <c r="B101" i="27"/>
  <c r="X100" i="27"/>
  <c r="Z100" i="27" s="1"/>
  <c r="N100" i="27"/>
  <c r="L100" i="27"/>
  <c r="B100" i="27"/>
  <c r="T99" i="27"/>
  <c r="P99" i="27"/>
  <c r="X99" i="27" s="1"/>
  <c r="Z99" i="27" s="1"/>
  <c r="H99" i="27"/>
  <c r="L99" i="27" s="1"/>
  <c r="N99" i="27" s="1"/>
  <c r="D99" i="27"/>
  <c r="B99" i="27"/>
  <c r="X98" i="27"/>
  <c r="Z98" i="27" s="1"/>
  <c r="N98" i="27"/>
  <c r="L98" i="27"/>
  <c r="B98" i="27"/>
  <c r="X97" i="27"/>
  <c r="Z97" i="27" s="1"/>
  <c r="T97" i="27"/>
  <c r="P97" i="27"/>
  <c r="H97" i="27"/>
  <c r="N97" i="27" s="1"/>
  <c r="D97" i="27"/>
  <c r="L97" i="27" s="1"/>
  <c r="B97" i="27"/>
  <c r="Z96" i="27"/>
  <c r="X96" i="27"/>
  <c r="N96" i="27"/>
  <c r="L96" i="27"/>
  <c r="B96" i="27"/>
  <c r="X95" i="27"/>
  <c r="Z95" i="27" s="1"/>
  <c r="N95" i="27"/>
  <c r="L95" i="27"/>
  <c r="B95" i="27"/>
  <c r="Z94" i="27"/>
  <c r="X94" i="27"/>
  <c r="T94" i="27"/>
  <c r="P94" i="27"/>
  <c r="H94" i="27"/>
  <c r="D94" i="27"/>
  <c r="L94" i="27" s="1"/>
  <c r="N94" i="27" s="1"/>
  <c r="B94" i="27"/>
  <c r="X93" i="27"/>
  <c r="Z93" i="27" s="1"/>
  <c r="L93" i="27"/>
  <c r="N93" i="27" s="1"/>
  <c r="B93" i="27"/>
  <c r="T92" i="27"/>
  <c r="P92" i="27"/>
  <c r="N92" i="27"/>
  <c r="H92" i="27"/>
  <c r="D92" i="27"/>
  <c r="L92" i="27" s="1"/>
  <c r="B92" i="27"/>
  <c r="X91" i="27"/>
  <c r="Z91" i="27" s="1"/>
  <c r="N91" i="27"/>
  <c r="L91" i="27"/>
  <c r="B91" i="27"/>
  <c r="T90" i="27"/>
  <c r="P90" i="27"/>
  <c r="X90" i="27" s="1"/>
  <c r="N90" i="27"/>
  <c r="H90" i="27"/>
  <c r="D90" i="27"/>
  <c r="L90" i="27" s="1"/>
  <c r="B90" i="27"/>
  <c r="Z89" i="27"/>
  <c r="X89" i="27"/>
  <c r="N89" i="27"/>
  <c r="L89" i="27"/>
  <c r="B89" i="27"/>
  <c r="Z88" i="27"/>
  <c r="X88" i="27"/>
  <c r="L88" i="27"/>
  <c r="N88" i="27" s="1"/>
  <c r="B88" i="27"/>
  <c r="X87" i="27"/>
  <c r="T87" i="27"/>
  <c r="Z87" i="27" s="1"/>
  <c r="P87" i="27"/>
  <c r="H87" i="27"/>
  <c r="D87" i="27"/>
  <c r="L87" i="27" s="1"/>
  <c r="B87" i="27"/>
  <c r="Z86" i="27"/>
  <c r="X86" i="27"/>
  <c r="N86" i="27"/>
  <c r="L86" i="27"/>
  <c r="B86" i="27"/>
  <c r="T85" i="27"/>
  <c r="P85" i="27"/>
  <c r="N85" i="27"/>
  <c r="H85" i="27"/>
  <c r="D85" i="27"/>
  <c r="L85" i="27" s="1"/>
  <c r="B85" i="27"/>
  <c r="Z84" i="27"/>
  <c r="X84" i="27"/>
  <c r="N84" i="27"/>
  <c r="L84" i="27"/>
  <c r="B84" i="27"/>
  <c r="X83" i="27"/>
  <c r="Z83" i="27" s="1"/>
  <c r="L83" i="27"/>
  <c r="N83" i="27" s="1"/>
  <c r="B83" i="27"/>
  <c r="X82" i="27"/>
  <c r="Z82" i="27" s="1"/>
  <c r="L82" i="27"/>
  <c r="N82" i="27" s="1"/>
  <c r="B82" i="27"/>
  <c r="X81" i="27"/>
  <c r="Z81" i="27" s="1"/>
  <c r="N81" i="27"/>
  <c r="L81" i="27"/>
  <c r="B81" i="27"/>
  <c r="Z80" i="27"/>
  <c r="X80" i="27"/>
  <c r="N80" i="27"/>
  <c r="L80" i="27"/>
  <c r="B80" i="27"/>
  <c r="X79" i="27"/>
  <c r="Z79" i="27" s="1"/>
  <c r="L79" i="27"/>
  <c r="N79" i="27" s="1"/>
  <c r="B79" i="27"/>
  <c r="Z78" i="27"/>
  <c r="X78" i="27"/>
  <c r="N78" i="27"/>
  <c r="L78" i="27"/>
  <c r="B78" i="27"/>
  <c r="X77" i="27"/>
  <c r="Z77" i="27" s="1"/>
  <c r="T77" i="27"/>
  <c r="P77" i="27"/>
  <c r="H77" i="27"/>
  <c r="D77" i="27"/>
  <c r="L77" i="27" s="1"/>
  <c r="B77" i="27"/>
  <c r="Z76" i="27"/>
  <c r="X76" i="27"/>
  <c r="L76" i="27"/>
  <c r="N76" i="27" s="1"/>
  <c r="B76" i="27"/>
  <c r="X75" i="27"/>
  <c r="Z75" i="27" s="1"/>
  <c r="N75" i="27"/>
  <c r="L75" i="27"/>
  <c r="B75" i="27"/>
  <c r="Z74" i="27"/>
  <c r="X74" i="27"/>
  <c r="N74" i="27"/>
  <c r="L74" i="27"/>
  <c r="B74" i="27"/>
  <c r="Z73" i="27"/>
  <c r="X73" i="27"/>
  <c r="L73" i="27"/>
  <c r="N73" i="27" s="1"/>
  <c r="B73" i="27"/>
  <c r="Z72" i="27"/>
  <c r="X72" i="27"/>
  <c r="L72" i="27"/>
  <c r="N72" i="27" s="1"/>
  <c r="B72" i="27"/>
  <c r="X71" i="27"/>
  <c r="Z71" i="27" s="1"/>
  <c r="N71" i="27"/>
  <c r="L71" i="27"/>
  <c r="B71" i="27"/>
  <c r="X70" i="27"/>
  <c r="Z70" i="27" s="1"/>
  <c r="N70" i="27"/>
  <c r="L70" i="27"/>
  <c r="B70" i="27"/>
  <c r="Z69" i="27"/>
  <c r="X69" i="27"/>
  <c r="L69" i="27"/>
  <c r="N69" i="27" s="1"/>
  <c r="B69" i="27"/>
  <c r="Z68" i="27"/>
  <c r="X68" i="27"/>
  <c r="L68" i="27"/>
  <c r="N68" i="27" s="1"/>
  <c r="B68" i="27"/>
  <c r="X67" i="27"/>
  <c r="T67" i="27"/>
  <c r="Z67" i="27" s="1"/>
  <c r="P67" i="27"/>
  <c r="H67" i="27"/>
  <c r="D67" i="27"/>
  <c r="B67" i="27"/>
  <c r="T66" i="27"/>
  <c r="Z66" i="27" s="1"/>
  <c r="P66" i="27"/>
  <c r="X66" i="27" s="1"/>
  <c r="H66" i="27"/>
  <c r="D66" i="27"/>
  <c r="Z62" i="27"/>
  <c r="X62" i="27"/>
  <c r="N62" i="27"/>
  <c r="L62" i="27"/>
  <c r="B62" i="27"/>
  <c r="Z61" i="27"/>
  <c r="X61" i="27"/>
  <c r="N61" i="27"/>
  <c r="L61" i="27"/>
  <c r="B61" i="27"/>
  <c r="X60" i="27"/>
  <c r="Z60" i="27" s="1"/>
  <c r="N60" i="27"/>
  <c r="L60" i="27"/>
  <c r="B60" i="27"/>
  <c r="Z59" i="27"/>
  <c r="X59" i="27"/>
  <c r="L59" i="27"/>
  <c r="N59" i="27" s="1"/>
  <c r="B59" i="27"/>
  <c r="Z58" i="27"/>
  <c r="X58" i="27"/>
  <c r="L58" i="27"/>
  <c r="N58" i="27" s="1"/>
  <c r="B58" i="27"/>
  <c r="X57" i="27"/>
  <c r="Z57" i="27" s="1"/>
  <c r="N57" i="27"/>
  <c r="L57" i="27"/>
  <c r="B57" i="27"/>
  <c r="X56" i="27"/>
  <c r="Z56" i="27" s="1"/>
  <c r="N56" i="27"/>
  <c r="L56" i="27"/>
  <c r="B56" i="27"/>
  <c r="Z55" i="27"/>
  <c r="X55" i="27"/>
  <c r="L55" i="27"/>
  <c r="N55" i="27" s="1"/>
  <c r="B55" i="27"/>
  <c r="Z54" i="27"/>
  <c r="X54" i="27"/>
  <c r="N54" i="27"/>
  <c r="L54" i="27"/>
  <c r="B54" i="27"/>
  <c r="X53" i="27"/>
  <c r="Z53" i="27" s="1"/>
  <c r="N53" i="27"/>
  <c r="L53" i="27"/>
  <c r="B53" i="27"/>
  <c r="X52" i="27"/>
  <c r="Z52" i="27" s="1"/>
  <c r="N52" i="27"/>
  <c r="L52" i="27"/>
  <c r="B52" i="27"/>
  <c r="Z51" i="27"/>
  <c r="X51" i="27"/>
  <c r="N51" i="27"/>
  <c r="L51" i="27"/>
  <c r="B51" i="27"/>
  <c r="Z50" i="27"/>
  <c r="X50" i="27"/>
  <c r="L50" i="27"/>
  <c r="N50" i="27" s="1"/>
  <c r="B50" i="27"/>
  <c r="X49" i="27"/>
  <c r="Z49" i="27" s="1"/>
  <c r="N49" i="27"/>
  <c r="L49" i="27"/>
  <c r="B49" i="27"/>
  <c r="X48" i="27"/>
  <c r="Z48" i="27" s="1"/>
  <c r="N48" i="27"/>
  <c r="L48" i="27"/>
  <c r="B48" i="27"/>
  <c r="Z47" i="27"/>
  <c r="X47" i="27"/>
  <c r="L47" i="27"/>
  <c r="N47" i="27" s="1"/>
  <c r="B47" i="27"/>
  <c r="Z46" i="27"/>
  <c r="X46" i="27"/>
  <c r="N46" i="27"/>
  <c r="L46" i="27"/>
  <c r="B46" i="27"/>
  <c r="X45" i="27"/>
  <c r="Z45" i="27" s="1"/>
  <c r="T45" i="27"/>
  <c r="P45" i="27"/>
  <c r="H45" i="27"/>
  <c r="D45" i="27"/>
  <c r="L45" i="27" s="1"/>
  <c r="N45" i="27" s="1"/>
  <c r="T43" i="27"/>
  <c r="P43" i="27"/>
  <c r="X43" i="27" s="1"/>
  <c r="Z43" i="27" s="1"/>
  <c r="L43" i="27"/>
  <c r="H43" i="27"/>
  <c r="N43" i="27" s="1"/>
  <c r="D43" i="27"/>
  <c r="B43" i="27"/>
  <c r="T42" i="27"/>
  <c r="P42" i="27"/>
  <c r="X42" i="27" s="1"/>
  <c r="H42" i="27"/>
  <c r="N42" i="27" s="1"/>
  <c r="D42" i="27"/>
  <c r="L42" i="27" s="1"/>
  <c r="B42" i="27"/>
  <c r="T41" i="27"/>
  <c r="Z41" i="27" s="1"/>
  <c r="P41" i="27"/>
  <c r="X41" i="27" s="1"/>
  <c r="L41" i="27"/>
  <c r="H41" i="27"/>
  <c r="D41" i="27"/>
  <c r="B41" i="27"/>
  <c r="Z40" i="27"/>
  <c r="T40" i="27"/>
  <c r="P40" i="27"/>
  <c r="X40" i="27" s="1"/>
  <c r="L40" i="27"/>
  <c r="H40" i="27"/>
  <c r="N40" i="27" s="1"/>
  <c r="D40" i="27"/>
  <c r="B40" i="27"/>
  <c r="Z39" i="27"/>
  <c r="X39" i="27"/>
  <c r="T39" i="27"/>
  <c r="P39" i="27"/>
  <c r="L39" i="27"/>
  <c r="H39" i="27"/>
  <c r="N39" i="27" s="1"/>
  <c r="D39" i="27"/>
  <c r="B39" i="27"/>
  <c r="T38" i="27"/>
  <c r="P38" i="27"/>
  <c r="X38" i="27" s="1"/>
  <c r="H38" i="27"/>
  <c r="D38" i="27"/>
  <c r="L38" i="27" s="1"/>
  <c r="B38" i="27"/>
  <c r="T37" i="27"/>
  <c r="P37" i="27"/>
  <c r="X37" i="27" s="1"/>
  <c r="H37" i="27"/>
  <c r="N37" i="27" s="1"/>
  <c r="D37" i="27"/>
  <c r="L37" i="27" s="1"/>
  <c r="B37" i="27"/>
  <c r="Z36" i="27"/>
  <c r="T36" i="27"/>
  <c r="P36" i="27"/>
  <c r="X36" i="27" s="1"/>
  <c r="L36" i="27"/>
  <c r="H36" i="27"/>
  <c r="N36" i="27" s="1"/>
  <c r="D36" i="27"/>
  <c r="B36" i="27"/>
  <c r="T35" i="27"/>
  <c r="P35" i="27"/>
  <c r="X35" i="27" s="1"/>
  <c r="Z35" i="27" s="1"/>
  <c r="L35" i="27"/>
  <c r="H35" i="27"/>
  <c r="N35" i="27" s="1"/>
  <c r="D35" i="27"/>
  <c r="B35" i="27"/>
  <c r="T34" i="27"/>
  <c r="P34" i="27"/>
  <c r="X34" i="27" s="1"/>
  <c r="N34" i="27"/>
  <c r="H34" i="27"/>
  <c r="D34" i="27"/>
  <c r="L34" i="27" s="1"/>
  <c r="B34" i="27"/>
  <c r="T33" i="27"/>
  <c r="P33" i="27"/>
  <c r="X33" i="27" s="1"/>
  <c r="H33" i="27"/>
  <c r="N33" i="27" s="1"/>
  <c r="D33" i="27"/>
  <c r="L33" i="27" s="1"/>
  <c r="B33" i="27"/>
  <c r="Z32" i="27"/>
  <c r="T32" i="27"/>
  <c r="P32" i="27"/>
  <c r="X32" i="27" s="1"/>
  <c r="L32" i="27"/>
  <c r="H32" i="27"/>
  <c r="N32" i="27" s="1"/>
  <c r="D32" i="27"/>
  <c r="B32" i="27"/>
  <c r="T31" i="27"/>
  <c r="P31" i="27"/>
  <c r="X31" i="27" s="1"/>
  <c r="Z31" i="27" s="1"/>
  <c r="L31" i="27"/>
  <c r="H31" i="27"/>
  <c r="N31" i="27" s="1"/>
  <c r="D31" i="27"/>
  <c r="B31" i="27"/>
  <c r="T30" i="27"/>
  <c r="P30" i="27"/>
  <c r="X30" i="27" s="1"/>
  <c r="H30" i="27"/>
  <c r="D30" i="27"/>
  <c r="L30" i="27" s="1"/>
  <c r="N30" i="27" s="1"/>
  <c r="B30" i="27"/>
  <c r="T29" i="27"/>
  <c r="P29" i="27"/>
  <c r="X29" i="27" s="1"/>
  <c r="H29" i="27"/>
  <c r="D29" i="27"/>
  <c r="B29" i="27"/>
  <c r="T28" i="27"/>
  <c r="Z28" i="27" s="1"/>
  <c r="P28" i="27"/>
  <c r="X28" i="27" s="1"/>
  <c r="L28" i="27"/>
  <c r="H28" i="27"/>
  <c r="N28" i="27" s="1"/>
  <c r="D28" i="27"/>
  <c r="B28" i="27"/>
  <c r="T27" i="27"/>
  <c r="P27" i="27"/>
  <c r="X27" i="27" s="1"/>
  <c r="Z27" i="27" s="1"/>
  <c r="L27" i="27"/>
  <c r="H27" i="27"/>
  <c r="D27" i="27"/>
  <c r="B27" i="27"/>
  <c r="T26" i="27"/>
  <c r="P26" i="27"/>
  <c r="X26" i="27" s="1"/>
  <c r="H26" i="27"/>
  <c r="N26" i="27" s="1"/>
  <c r="D26" i="27"/>
  <c r="L26" i="27" s="1"/>
  <c r="B26" i="27"/>
  <c r="T25" i="27"/>
  <c r="P25" i="27"/>
  <c r="L25" i="27"/>
  <c r="H25" i="27"/>
  <c r="N25" i="27" s="1"/>
  <c r="D25" i="27"/>
  <c r="B25" i="27"/>
  <c r="T24" i="27"/>
  <c r="P24" i="27"/>
  <c r="L24" i="27"/>
  <c r="H24" i="27"/>
  <c r="N24" i="27" s="1"/>
  <c r="D24" i="27"/>
  <c r="B24" i="27"/>
  <c r="Z23" i="27"/>
  <c r="X23" i="27"/>
  <c r="T23" i="27"/>
  <c r="P23" i="27"/>
  <c r="L23" i="27"/>
  <c r="H23" i="27"/>
  <c r="D23" i="27"/>
  <c r="B23" i="27"/>
  <c r="T22" i="27"/>
  <c r="P22" i="27"/>
  <c r="X22" i="27" s="1"/>
  <c r="H22" i="27"/>
  <c r="D22" i="27"/>
  <c r="B22" i="27"/>
  <c r="T21" i="27"/>
  <c r="P21" i="27"/>
  <c r="X21" i="27" s="1"/>
  <c r="H21" i="27"/>
  <c r="D21" i="27"/>
  <c r="L21" i="27" s="1"/>
  <c r="B21" i="27"/>
  <c r="T20" i="27"/>
  <c r="P20" i="27"/>
  <c r="L20" i="27"/>
  <c r="H20" i="27"/>
  <c r="N20" i="27" s="1"/>
  <c r="D20" i="27"/>
  <c r="B20" i="27"/>
  <c r="T19" i="27"/>
  <c r="P19" i="27"/>
  <c r="X19" i="27" s="1"/>
  <c r="Z19" i="27" s="1"/>
  <c r="L19" i="27"/>
  <c r="H19" i="27"/>
  <c r="N19" i="27" s="1"/>
  <c r="D19" i="27"/>
  <c r="B19" i="27"/>
  <c r="T18" i="27"/>
  <c r="P18" i="27"/>
  <c r="N18" i="27"/>
  <c r="H18" i="27"/>
  <c r="D18" i="27"/>
  <c r="L18" i="27" s="1"/>
  <c r="B18" i="27"/>
  <c r="T17" i="27"/>
  <c r="P17" i="27"/>
  <c r="X17" i="27" s="1"/>
  <c r="H17" i="27"/>
  <c r="N17" i="27" s="1"/>
  <c r="D17" i="27"/>
  <c r="L17" i="27" s="1"/>
  <c r="B17" i="27"/>
  <c r="T16" i="27"/>
  <c r="P16" i="27"/>
  <c r="L16" i="27"/>
  <c r="H16" i="27"/>
  <c r="N16" i="27" s="1"/>
  <c r="D16" i="27"/>
  <c r="B16" i="27"/>
  <c r="Z15" i="27"/>
  <c r="T15" i="27"/>
  <c r="P15" i="27"/>
  <c r="X15" i="27" s="1"/>
  <c r="L15" i="27"/>
  <c r="H15" i="27"/>
  <c r="N15" i="27" s="1"/>
  <c r="D15" i="27"/>
  <c r="B15" i="27"/>
  <c r="T14" i="27"/>
  <c r="P14" i="27"/>
  <c r="H14" i="27"/>
  <c r="D14" i="27"/>
  <c r="L14" i="27" s="1"/>
  <c r="N14" i="27" s="1"/>
  <c r="B14" i="27"/>
  <c r="T13" i="27"/>
  <c r="Z13" i="27" s="1"/>
  <c r="P13" i="27"/>
  <c r="X13" i="27" s="1"/>
  <c r="H13" i="27"/>
  <c r="D13" i="27"/>
  <c r="B13" i="27"/>
  <c r="D4" i="27"/>
  <c r="X138" i="24"/>
  <c r="Z138" i="24" s="1"/>
  <c r="N138" i="24"/>
  <c r="L138" i="24"/>
  <c r="T134" i="24"/>
  <c r="T133" i="24" s="1"/>
  <c r="P134" i="24"/>
  <c r="P133" i="24" s="1"/>
  <c r="X133" i="24" s="1"/>
  <c r="N134" i="24"/>
  <c r="L134" i="24"/>
  <c r="H134" i="24"/>
  <c r="D134" i="24"/>
  <c r="B134" i="24"/>
  <c r="Z133" i="24"/>
  <c r="N133" i="24"/>
  <c r="L133" i="24"/>
  <c r="H133" i="24"/>
  <c r="D133" i="24"/>
  <c r="Z131" i="24"/>
  <c r="X131" i="24"/>
  <c r="N131" i="24"/>
  <c r="L131" i="24"/>
  <c r="B131" i="24"/>
  <c r="T130" i="24"/>
  <c r="P130" i="24"/>
  <c r="X130" i="24" s="1"/>
  <c r="Z130" i="24" s="1"/>
  <c r="H130" i="24"/>
  <c r="D130" i="24"/>
  <c r="B130" i="24"/>
  <c r="X129" i="24"/>
  <c r="Z129" i="24" s="1"/>
  <c r="N129" i="24"/>
  <c r="L129" i="24"/>
  <c r="B129" i="24"/>
  <c r="Z128" i="24"/>
  <c r="T128" i="24"/>
  <c r="P128" i="24"/>
  <c r="X128" i="24" s="1"/>
  <c r="N128" i="24"/>
  <c r="L128" i="24"/>
  <c r="H128" i="24"/>
  <c r="D128" i="24"/>
  <c r="B128" i="24"/>
  <c r="X127" i="24"/>
  <c r="Z127" i="24" s="1"/>
  <c r="L127" i="24"/>
  <c r="N127" i="24" s="1"/>
  <c r="B127" i="24"/>
  <c r="X126" i="24"/>
  <c r="Z126" i="24" s="1"/>
  <c r="T126" i="24"/>
  <c r="P126" i="24"/>
  <c r="H126" i="24"/>
  <c r="N126" i="24" s="1"/>
  <c r="D126" i="24"/>
  <c r="L126" i="24" s="1"/>
  <c r="B126" i="24"/>
  <c r="Z125" i="24"/>
  <c r="X125" i="24"/>
  <c r="N125" i="24"/>
  <c r="L125" i="24"/>
  <c r="B125" i="24"/>
  <c r="X124" i="24"/>
  <c r="Z124" i="24" s="1"/>
  <c r="N124" i="24"/>
  <c r="L124" i="24"/>
  <c r="B124" i="24"/>
  <c r="X123" i="24"/>
  <c r="Z123" i="24" s="1"/>
  <c r="N123" i="24"/>
  <c r="L123" i="24"/>
  <c r="B123" i="24"/>
  <c r="Z122" i="24"/>
  <c r="X122" i="24"/>
  <c r="N122" i="24"/>
  <c r="L122" i="24"/>
  <c r="B122" i="24"/>
  <c r="T121" i="24"/>
  <c r="P121" i="24"/>
  <c r="N121" i="24"/>
  <c r="H121" i="24"/>
  <c r="D121" i="24"/>
  <c r="L121" i="24" s="1"/>
  <c r="B121" i="24"/>
  <c r="Z120" i="24"/>
  <c r="X120" i="24"/>
  <c r="N120" i="24"/>
  <c r="L120" i="24"/>
  <c r="B120" i="24"/>
  <c r="T119" i="24"/>
  <c r="Z119" i="24" s="1"/>
  <c r="P119" i="24"/>
  <c r="X119" i="24" s="1"/>
  <c r="H119" i="24"/>
  <c r="D119" i="24"/>
  <c r="B119" i="24"/>
  <c r="Z118" i="24"/>
  <c r="X118" i="24"/>
  <c r="N118" i="24"/>
  <c r="L118" i="24"/>
  <c r="B118" i="24"/>
  <c r="Z117" i="24"/>
  <c r="X117" i="24"/>
  <c r="N117" i="24"/>
  <c r="L117" i="24"/>
  <c r="B117" i="24"/>
  <c r="X116" i="24"/>
  <c r="T116" i="24"/>
  <c r="Z116" i="24" s="1"/>
  <c r="P116" i="24"/>
  <c r="L116" i="24"/>
  <c r="N116" i="24" s="1"/>
  <c r="H116" i="24"/>
  <c r="D116" i="24"/>
  <c r="B116" i="24"/>
  <c r="X115" i="24"/>
  <c r="Z115" i="24" s="1"/>
  <c r="N115" i="24"/>
  <c r="L115" i="24"/>
  <c r="B115" i="24"/>
  <c r="Z114" i="24"/>
  <c r="X114" i="24"/>
  <c r="N114" i="24"/>
  <c r="L114" i="24"/>
  <c r="B114" i="24"/>
  <c r="Z113" i="24"/>
  <c r="T113" i="24"/>
  <c r="P113" i="24"/>
  <c r="X113" i="24" s="1"/>
  <c r="N113" i="24"/>
  <c r="L113" i="24"/>
  <c r="H113" i="24"/>
  <c r="D113" i="24"/>
  <c r="B113" i="24"/>
  <c r="Z112" i="24"/>
  <c r="X112" i="24"/>
  <c r="N112" i="24"/>
  <c r="L112" i="24"/>
  <c r="B112" i="24"/>
  <c r="T111" i="24"/>
  <c r="P111" i="24"/>
  <c r="N111" i="24"/>
  <c r="L111" i="24"/>
  <c r="H111" i="24"/>
  <c r="D111" i="24"/>
  <c r="B111" i="24"/>
  <c r="Z110" i="24"/>
  <c r="X110" i="24"/>
  <c r="N110" i="24"/>
  <c r="L110" i="24"/>
  <c r="B110" i="24"/>
  <c r="T109" i="24"/>
  <c r="P109" i="24"/>
  <c r="X109" i="24" s="1"/>
  <c r="H109" i="24"/>
  <c r="N109" i="24" s="1"/>
  <c r="D109" i="24"/>
  <c r="L109" i="24" s="1"/>
  <c r="B109" i="24"/>
  <c r="X108" i="24"/>
  <c r="Z108" i="24" s="1"/>
  <c r="N108" i="24"/>
  <c r="L108" i="24"/>
  <c r="B108" i="24"/>
  <c r="T107" i="24"/>
  <c r="X107" i="24" s="1"/>
  <c r="P107" i="24"/>
  <c r="N107" i="24"/>
  <c r="L107" i="24"/>
  <c r="H107" i="24"/>
  <c r="D107" i="24"/>
  <c r="B107" i="24"/>
  <c r="Z106" i="24"/>
  <c r="X106" i="24"/>
  <c r="N106" i="24"/>
  <c r="L106" i="24"/>
  <c r="B106" i="24"/>
  <c r="X105" i="24"/>
  <c r="Z105" i="24" s="1"/>
  <c r="N105" i="24"/>
  <c r="L105" i="24"/>
  <c r="B105" i="24"/>
  <c r="X104" i="24"/>
  <c r="T104" i="24"/>
  <c r="Z104" i="24" s="1"/>
  <c r="P104" i="24"/>
  <c r="L104" i="24"/>
  <c r="H104" i="24"/>
  <c r="D104" i="24"/>
  <c r="B104" i="24"/>
  <c r="X103" i="24"/>
  <c r="Z103" i="24" s="1"/>
  <c r="N103" i="24"/>
  <c r="L103" i="24"/>
  <c r="B103" i="24"/>
  <c r="X102" i="24"/>
  <c r="Z102" i="24" s="1"/>
  <c r="T102" i="24"/>
  <c r="P102" i="24"/>
  <c r="N102" i="24"/>
  <c r="H102" i="24"/>
  <c r="D102" i="24"/>
  <c r="L102" i="24" s="1"/>
  <c r="B102" i="24"/>
  <c r="Z101" i="24"/>
  <c r="X101" i="24"/>
  <c r="N101" i="24"/>
  <c r="L101" i="24"/>
  <c r="B101" i="24"/>
  <c r="T100" i="24"/>
  <c r="P100" i="24"/>
  <c r="N100" i="24"/>
  <c r="H100" i="24"/>
  <c r="D100" i="24"/>
  <c r="L100" i="24" s="1"/>
  <c r="B100" i="24"/>
  <c r="X99" i="24"/>
  <c r="Z99" i="24" s="1"/>
  <c r="N99" i="24"/>
  <c r="L99" i="24"/>
  <c r="B99" i="24"/>
  <c r="Z98" i="24"/>
  <c r="X98" i="24"/>
  <c r="N98" i="24"/>
  <c r="L98" i="24"/>
  <c r="B98" i="24"/>
  <c r="X97" i="24"/>
  <c r="Z97" i="24" s="1"/>
  <c r="N97" i="24"/>
  <c r="L97" i="24"/>
  <c r="B97" i="24"/>
  <c r="X96" i="24"/>
  <c r="Z96" i="24" s="1"/>
  <c r="N96" i="24"/>
  <c r="L96" i="24"/>
  <c r="B96" i="24"/>
  <c r="X95" i="24"/>
  <c r="Z95" i="24" s="1"/>
  <c r="L95" i="24"/>
  <c r="N95" i="24" s="1"/>
  <c r="B95" i="24"/>
  <c r="T94" i="24"/>
  <c r="P94" i="24"/>
  <c r="X94" i="24" s="1"/>
  <c r="L94" i="24"/>
  <c r="H94" i="24"/>
  <c r="N94" i="24" s="1"/>
  <c r="D94" i="24"/>
  <c r="B94" i="24"/>
  <c r="Z93" i="24"/>
  <c r="X93" i="24"/>
  <c r="N93" i="24"/>
  <c r="L93" i="24"/>
  <c r="B93" i="24"/>
  <c r="Z92" i="24"/>
  <c r="X92" i="24"/>
  <c r="L92" i="24"/>
  <c r="N92" i="24" s="1"/>
  <c r="B92" i="24"/>
  <c r="X91" i="24"/>
  <c r="Z91" i="24" s="1"/>
  <c r="L91" i="24"/>
  <c r="N91" i="24" s="1"/>
  <c r="B91" i="24"/>
  <c r="Z90" i="24"/>
  <c r="X90" i="24"/>
  <c r="N90" i="24"/>
  <c r="L90" i="24"/>
  <c r="B90" i="24"/>
  <c r="Z89" i="24"/>
  <c r="X89" i="24"/>
  <c r="N89" i="24"/>
  <c r="L89" i="24"/>
  <c r="B89" i="24"/>
  <c r="Z88" i="24"/>
  <c r="X88" i="24"/>
  <c r="L88" i="24"/>
  <c r="N88" i="24" s="1"/>
  <c r="J88" i="24"/>
  <c r="B88" i="24"/>
  <c r="X87" i="24"/>
  <c r="Z87" i="24" s="1"/>
  <c r="L87" i="24"/>
  <c r="N87" i="24" s="1"/>
  <c r="B87" i="24"/>
  <c r="Z86" i="24"/>
  <c r="X86" i="24"/>
  <c r="N86" i="24"/>
  <c r="L86" i="24"/>
  <c r="B86" i="24"/>
  <c r="Z85" i="24"/>
  <c r="X85" i="24"/>
  <c r="N85" i="24"/>
  <c r="L85" i="24"/>
  <c r="B85" i="24"/>
  <c r="T84" i="24"/>
  <c r="P84" i="24"/>
  <c r="H84" i="24"/>
  <c r="D84" i="24"/>
  <c r="L84" i="24" s="1"/>
  <c r="N84" i="24" s="1"/>
  <c r="B84" i="24"/>
  <c r="T83" i="24"/>
  <c r="P83" i="24"/>
  <c r="X83" i="24" s="1"/>
  <c r="H83" i="24"/>
  <c r="D83" i="24"/>
  <c r="L83" i="24" s="1"/>
  <c r="X79" i="24"/>
  <c r="Z79" i="24" s="1"/>
  <c r="N79" i="24"/>
  <c r="L79" i="24"/>
  <c r="B79" i="24"/>
  <c r="Z78" i="24"/>
  <c r="X78" i="24"/>
  <c r="N78" i="24"/>
  <c r="L78" i="24"/>
  <c r="B78" i="24"/>
  <c r="Z77" i="24"/>
  <c r="X77" i="24"/>
  <c r="N77" i="24"/>
  <c r="L77" i="24"/>
  <c r="B77" i="24"/>
  <c r="X76" i="24"/>
  <c r="Z76" i="24" s="1"/>
  <c r="L76" i="24"/>
  <c r="N76" i="24" s="1"/>
  <c r="B76" i="24"/>
  <c r="X75" i="24"/>
  <c r="Z75" i="24" s="1"/>
  <c r="N75" i="24"/>
  <c r="L75" i="24"/>
  <c r="B75" i="24"/>
  <c r="X74" i="24"/>
  <c r="Z74" i="24" s="1"/>
  <c r="L74" i="24"/>
  <c r="N74" i="24" s="1"/>
  <c r="B74" i="24"/>
  <c r="Z73" i="24"/>
  <c r="X73" i="24"/>
  <c r="L73" i="24"/>
  <c r="N73" i="24" s="1"/>
  <c r="B73" i="24"/>
  <c r="Z72" i="24"/>
  <c r="X72" i="24"/>
  <c r="N72" i="24"/>
  <c r="L72" i="24"/>
  <c r="B72" i="24"/>
  <c r="X71" i="24"/>
  <c r="Z71" i="24" s="1"/>
  <c r="N71" i="24"/>
  <c r="L71" i="24"/>
  <c r="B71" i="24"/>
  <c r="Z70" i="24"/>
  <c r="X70" i="24"/>
  <c r="N70" i="24"/>
  <c r="L70" i="24"/>
  <c r="B70" i="24"/>
  <c r="Z69" i="24"/>
  <c r="X69" i="24"/>
  <c r="N69" i="24"/>
  <c r="L69" i="24"/>
  <c r="B69" i="24"/>
  <c r="X68" i="24"/>
  <c r="Z68" i="24" s="1"/>
  <c r="N68" i="24"/>
  <c r="L68" i="24"/>
  <c r="B68" i="24"/>
  <c r="X67" i="24"/>
  <c r="Z67" i="24" s="1"/>
  <c r="N67" i="24"/>
  <c r="L67" i="24"/>
  <c r="B67" i="24"/>
  <c r="Z66" i="24"/>
  <c r="X66" i="24"/>
  <c r="N66" i="24"/>
  <c r="L66" i="24"/>
  <c r="B66" i="24"/>
  <c r="Z65" i="24"/>
  <c r="X65" i="24"/>
  <c r="N65" i="24"/>
  <c r="L65" i="24"/>
  <c r="B65" i="24"/>
  <c r="Z64" i="24"/>
  <c r="X64" i="24"/>
  <c r="N64" i="24"/>
  <c r="L64" i="24"/>
  <c r="B64" i="24"/>
  <c r="X63" i="24"/>
  <c r="Z63" i="24" s="1"/>
  <c r="N63" i="24"/>
  <c r="L63" i="24"/>
  <c r="B63" i="24"/>
  <c r="X62" i="24"/>
  <c r="Z62" i="24" s="1"/>
  <c r="L62" i="24"/>
  <c r="N62" i="24" s="1"/>
  <c r="B62" i="24"/>
  <c r="Z61" i="24"/>
  <c r="X61" i="24"/>
  <c r="L61" i="24"/>
  <c r="N61" i="24" s="1"/>
  <c r="B61" i="24"/>
  <c r="Z60" i="24"/>
  <c r="X60" i="24"/>
  <c r="L60" i="24"/>
  <c r="N60" i="24" s="1"/>
  <c r="B60" i="24"/>
  <c r="X59" i="24"/>
  <c r="Z59" i="24" s="1"/>
  <c r="N59" i="24"/>
  <c r="L59" i="24"/>
  <c r="B59" i="24"/>
  <c r="Z58" i="24"/>
  <c r="X58" i="24"/>
  <c r="N58" i="24"/>
  <c r="L58" i="24"/>
  <c r="B58" i="24"/>
  <c r="Z57" i="24"/>
  <c r="X57" i="24"/>
  <c r="N57" i="24"/>
  <c r="L57" i="24"/>
  <c r="B57" i="24"/>
  <c r="Z56" i="24"/>
  <c r="X56" i="24"/>
  <c r="N56" i="24"/>
  <c r="L56" i="24"/>
  <c r="B56" i="24"/>
  <c r="X55" i="24"/>
  <c r="T55" i="24"/>
  <c r="P55" i="24"/>
  <c r="H55" i="24"/>
  <c r="D55" i="24"/>
  <c r="L55" i="24" s="1"/>
  <c r="N55" i="24" s="1"/>
  <c r="T53" i="24"/>
  <c r="P53" i="24"/>
  <c r="X53" i="24" s="1"/>
  <c r="H53" i="24"/>
  <c r="N53" i="24" s="1"/>
  <c r="D53" i="24"/>
  <c r="B53" i="24"/>
  <c r="T52" i="24"/>
  <c r="P52" i="24"/>
  <c r="L52" i="24"/>
  <c r="H52" i="24"/>
  <c r="N52" i="24" s="1"/>
  <c r="D52" i="24"/>
  <c r="B52" i="24"/>
  <c r="Z51" i="24"/>
  <c r="T51" i="24"/>
  <c r="P51" i="24"/>
  <c r="X51" i="24" s="1"/>
  <c r="N51" i="24"/>
  <c r="H51" i="24"/>
  <c r="D51" i="24"/>
  <c r="L51" i="24" s="1"/>
  <c r="B51" i="24"/>
  <c r="Z50" i="24"/>
  <c r="X50" i="24"/>
  <c r="T50" i="24"/>
  <c r="P50" i="24"/>
  <c r="L50" i="24"/>
  <c r="H50" i="24"/>
  <c r="N50" i="24" s="1"/>
  <c r="D50" i="24"/>
  <c r="B50" i="24"/>
  <c r="T49" i="24"/>
  <c r="P49" i="24"/>
  <c r="X49" i="24" s="1"/>
  <c r="L49" i="24"/>
  <c r="H49" i="24"/>
  <c r="N49" i="24" s="1"/>
  <c r="D49" i="24"/>
  <c r="B49" i="24"/>
  <c r="T48" i="24"/>
  <c r="X48" i="24" s="1"/>
  <c r="Z48" i="24" s="1"/>
  <c r="P48" i="24"/>
  <c r="L48" i="24"/>
  <c r="H48" i="24"/>
  <c r="N48" i="24" s="1"/>
  <c r="D48" i="24"/>
  <c r="B48" i="24"/>
  <c r="Z47" i="24"/>
  <c r="T47" i="24"/>
  <c r="P47" i="24"/>
  <c r="X47" i="24" s="1"/>
  <c r="H47" i="24"/>
  <c r="D47" i="24"/>
  <c r="L47" i="24" s="1"/>
  <c r="N47" i="24" s="1"/>
  <c r="B47" i="24"/>
  <c r="T46" i="24"/>
  <c r="P46" i="24"/>
  <c r="X46" i="24" s="1"/>
  <c r="Z46" i="24" s="1"/>
  <c r="L46" i="24"/>
  <c r="H46" i="24"/>
  <c r="D46" i="24"/>
  <c r="B46" i="24"/>
  <c r="T45" i="24"/>
  <c r="P45" i="24"/>
  <c r="X45" i="24" s="1"/>
  <c r="L45" i="24"/>
  <c r="H45" i="24"/>
  <c r="N45" i="24" s="1"/>
  <c r="D45" i="24"/>
  <c r="B45" i="24"/>
  <c r="T44" i="24"/>
  <c r="X44" i="24" s="1"/>
  <c r="Z44" i="24" s="1"/>
  <c r="P44" i="24"/>
  <c r="L44" i="24"/>
  <c r="H44" i="24"/>
  <c r="N44" i="24" s="1"/>
  <c r="D44" i="24"/>
  <c r="B44" i="24"/>
  <c r="T43" i="24"/>
  <c r="P43" i="24"/>
  <c r="X43" i="24" s="1"/>
  <c r="Z43" i="24" s="1"/>
  <c r="N43" i="24"/>
  <c r="H43" i="24"/>
  <c r="D43" i="24"/>
  <c r="L43" i="24" s="1"/>
  <c r="B43" i="24"/>
  <c r="T42" i="24"/>
  <c r="P42" i="24"/>
  <c r="X42" i="24" s="1"/>
  <c r="Z42" i="24" s="1"/>
  <c r="H42" i="24"/>
  <c r="N42" i="24" s="1"/>
  <c r="D42" i="24"/>
  <c r="L42" i="24" s="1"/>
  <c r="B42" i="24"/>
  <c r="T41" i="24"/>
  <c r="P41" i="24"/>
  <c r="X41" i="24" s="1"/>
  <c r="L41" i="24"/>
  <c r="H41" i="24"/>
  <c r="N41" i="24" s="1"/>
  <c r="D41" i="24"/>
  <c r="B41" i="24"/>
  <c r="T40" i="24"/>
  <c r="P40" i="24"/>
  <c r="H40" i="24"/>
  <c r="N40" i="24" s="1"/>
  <c r="D40" i="24"/>
  <c r="B40" i="24"/>
  <c r="T39" i="24"/>
  <c r="P39" i="24"/>
  <c r="X39" i="24" s="1"/>
  <c r="Z39" i="24" s="1"/>
  <c r="H39" i="24"/>
  <c r="D39" i="24"/>
  <c r="L39" i="24" s="1"/>
  <c r="N39" i="24" s="1"/>
  <c r="B39" i="24"/>
  <c r="X38" i="24"/>
  <c r="Z38" i="24" s="1"/>
  <c r="T38" i="24"/>
  <c r="P38" i="24"/>
  <c r="H38" i="24"/>
  <c r="N38" i="24" s="1"/>
  <c r="D38" i="24"/>
  <c r="L38" i="24" s="1"/>
  <c r="B38" i="24"/>
  <c r="T37" i="24"/>
  <c r="P37" i="24"/>
  <c r="H37" i="24"/>
  <c r="D37" i="24"/>
  <c r="B37" i="24"/>
  <c r="T36" i="24"/>
  <c r="P36" i="24"/>
  <c r="L36" i="24"/>
  <c r="H36" i="24"/>
  <c r="N36" i="24" s="1"/>
  <c r="D36" i="24"/>
  <c r="B36" i="24"/>
  <c r="Z35" i="24"/>
  <c r="T35" i="24"/>
  <c r="P35" i="24"/>
  <c r="X35" i="24" s="1"/>
  <c r="H35" i="24"/>
  <c r="D35" i="24"/>
  <c r="L35" i="24" s="1"/>
  <c r="N35" i="24" s="1"/>
  <c r="B35" i="24"/>
  <c r="Z34" i="24"/>
  <c r="X34" i="24"/>
  <c r="T34" i="24"/>
  <c r="P34" i="24"/>
  <c r="L34" i="24"/>
  <c r="H34" i="24"/>
  <c r="D34" i="24"/>
  <c r="B34" i="24"/>
  <c r="T33" i="24"/>
  <c r="P33" i="24"/>
  <c r="X33" i="24" s="1"/>
  <c r="L33" i="24"/>
  <c r="H33" i="24"/>
  <c r="N33" i="24" s="1"/>
  <c r="D33" i="24"/>
  <c r="B33" i="24"/>
  <c r="T32" i="24"/>
  <c r="X32" i="24" s="1"/>
  <c r="Z32" i="24" s="1"/>
  <c r="P32" i="24"/>
  <c r="L32" i="24"/>
  <c r="H32" i="24"/>
  <c r="N32" i="24" s="1"/>
  <c r="D32" i="24"/>
  <c r="B32" i="24"/>
  <c r="Z31" i="24"/>
  <c r="T31" i="24"/>
  <c r="P31" i="24"/>
  <c r="X31" i="24" s="1"/>
  <c r="N31" i="24"/>
  <c r="H31" i="24"/>
  <c r="D31" i="24"/>
  <c r="L31" i="24" s="1"/>
  <c r="B31" i="24"/>
  <c r="T30" i="24"/>
  <c r="P30" i="24"/>
  <c r="X30" i="24" s="1"/>
  <c r="Z30" i="24" s="1"/>
  <c r="L30" i="24"/>
  <c r="H30" i="24"/>
  <c r="N30" i="24" s="1"/>
  <c r="D30" i="24"/>
  <c r="B30" i="24"/>
  <c r="T29" i="24"/>
  <c r="P29" i="24"/>
  <c r="X29" i="24" s="1"/>
  <c r="L29" i="24"/>
  <c r="H29" i="24"/>
  <c r="N29" i="24" s="1"/>
  <c r="D29" i="24"/>
  <c r="B29" i="24"/>
  <c r="T28" i="24"/>
  <c r="X28" i="24" s="1"/>
  <c r="Z28" i="24" s="1"/>
  <c r="P28" i="24"/>
  <c r="L28" i="24"/>
  <c r="H28" i="24"/>
  <c r="N28" i="24" s="1"/>
  <c r="D28" i="24"/>
  <c r="B28" i="24"/>
  <c r="T27" i="24"/>
  <c r="P27" i="24"/>
  <c r="X27" i="24" s="1"/>
  <c r="Z27" i="24" s="1"/>
  <c r="N27" i="24"/>
  <c r="H27" i="24"/>
  <c r="D27" i="24"/>
  <c r="L27" i="24" s="1"/>
  <c r="B27" i="24"/>
  <c r="T26" i="24"/>
  <c r="P26" i="24"/>
  <c r="X26" i="24" s="1"/>
  <c r="Z26" i="24" s="1"/>
  <c r="H26" i="24"/>
  <c r="N26" i="24" s="1"/>
  <c r="D26" i="24"/>
  <c r="L26" i="24" s="1"/>
  <c r="B26" i="24"/>
  <c r="T25" i="24"/>
  <c r="P25" i="24"/>
  <c r="X25" i="24" s="1"/>
  <c r="L25" i="24"/>
  <c r="H25" i="24"/>
  <c r="N25" i="24" s="1"/>
  <c r="D25" i="24"/>
  <c r="B25" i="24"/>
  <c r="T24" i="24"/>
  <c r="P24" i="24"/>
  <c r="H24" i="24"/>
  <c r="N24" i="24" s="1"/>
  <c r="D24" i="24"/>
  <c r="B24" i="24"/>
  <c r="T23" i="24"/>
  <c r="P23" i="24"/>
  <c r="X23" i="24" s="1"/>
  <c r="Z23" i="24" s="1"/>
  <c r="N23" i="24"/>
  <c r="H23" i="24"/>
  <c r="D23" i="24"/>
  <c r="L23" i="24" s="1"/>
  <c r="B23" i="24"/>
  <c r="X22" i="24"/>
  <c r="Z22" i="24" s="1"/>
  <c r="T22" i="24"/>
  <c r="P22" i="24"/>
  <c r="H22" i="24"/>
  <c r="N22" i="24" s="1"/>
  <c r="D22" i="24"/>
  <c r="L22" i="24" s="1"/>
  <c r="B22" i="24"/>
  <c r="T21" i="24"/>
  <c r="P21" i="24"/>
  <c r="H21" i="24"/>
  <c r="N21" i="24" s="1"/>
  <c r="D21" i="24"/>
  <c r="B21" i="24"/>
  <c r="T20" i="24"/>
  <c r="P20" i="24"/>
  <c r="L20" i="24"/>
  <c r="H20" i="24"/>
  <c r="N20" i="24" s="1"/>
  <c r="D20" i="24"/>
  <c r="B20" i="24"/>
  <c r="Z19" i="24"/>
  <c r="T19" i="24"/>
  <c r="P19" i="24"/>
  <c r="X19" i="24" s="1"/>
  <c r="H19" i="24"/>
  <c r="D19" i="24"/>
  <c r="L19" i="24" s="1"/>
  <c r="N19" i="24" s="1"/>
  <c r="B19" i="24"/>
  <c r="Z18" i="24"/>
  <c r="X18" i="24"/>
  <c r="T18" i="24"/>
  <c r="P18" i="24"/>
  <c r="L18" i="24"/>
  <c r="H18" i="24"/>
  <c r="D18" i="24"/>
  <c r="B18" i="24"/>
  <c r="T17" i="24"/>
  <c r="P17" i="24"/>
  <c r="X17" i="24" s="1"/>
  <c r="L17" i="24"/>
  <c r="H17" i="24"/>
  <c r="N17" i="24" s="1"/>
  <c r="D17" i="24"/>
  <c r="B17" i="24"/>
  <c r="T16" i="24"/>
  <c r="X16" i="24" s="1"/>
  <c r="Z16" i="24" s="1"/>
  <c r="P16" i="24"/>
  <c r="L16" i="24"/>
  <c r="H16" i="24"/>
  <c r="N16" i="24" s="1"/>
  <c r="D16" i="24"/>
  <c r="B16" i="24"/>
  <c r="Z15" i="24"/>
  <c r="T15" i="24"/>
  <c r="P15" i="24"/>
  <c r="X15" i="24" s="1"/>
  <c r="N15" i="24"/>
  <c r="H15" i="24"/>
  <c r="D15" i="24"/>
  <c r="L15" i="24" s="1"/>
  <c r="B15" i="24"/>
  <c r="T14" i="24"/>
  <c r="P14" i="24"/>
  <c r="X14" i="24" s="1"/>
  <c r="Z14" i="24" s="1"/>
  <c r="L14" i="24"/>
  <c r="H14" i="24"/>
  <c r="N14" i="24" s="1"/>
  <c r="D14" i="24"/>
  <c r="B14" i="24"/>
  <c r="T13" i="24"/>
  <c r="Z13" i="24" s="1"/>
  <c r="P13" i="24"/>
  <c r="L13" i="24"/>
  <c r="H13" i="24"/>
  <c r="H12" i="24" s="1"/>
  <c r="D13" i="24"/>
  <c r="B13" i="24"/>
  <c r="D4" i="24"/>
  <c r="X108" i="21"/>
  <c r="Z108" i="21" s="1"/>
  <c r="L108" i="21"/>
  <c r="N108" i="21" s="1"/>
  <c r="T104" i="21"/>
  <c r="Z104" i="21" s="1"/>
  <c r="P104" i="21"/>
  <c r="X104" i="21" s="1"/>
  <c r="H104" i="21"/>
  <c r="N104" i="21" s="1"/>
  <c r="D104" i="21"/>
  <c r="L104" i="21" s="1"/>
  <c r="Z102" i="21"/>
  <c r="X102" i="21"/>
  <c r="L102" i="21"/>
  <c r="N102" i="21" s="1"/>
  <c r="B102" i="21"/>
  <c r="T101" i="21"/>
  <c r="P101" i="21"/>
  <c r="X101" i="21" s="1"/>
  <c r="Z101" i="21" s="1"/>
  <c r="H101" i="21"/>
  <c r="D101" i="21"/>
  <c r="L101" i="21" s="1"/>
  <c r="N101" i="21" s="1"/>
  <c r="B101" i="21"/>
  <c r="X100" i="21"/>
  <c r="Z100" i="21" s="1"/>
  <c r="N100" i="21"/>
  <c r="L100" i="21"/>
  <c r="B100" i="21"/>
  <c r="X99" i="21"/>
  <c r="T99" i="21"/>
  <c r="Z99" i="21" s="1"/>
  <c r="P99" i="21"/>
  <c r="L99" i="21"/>
  <c r="H99" i="21"/>
  <c r="N99" i="21" s="1"/>
  <c r="D99" i="21"/>
  <c r="B99" i="21"/>
  <c r="X98" i="21"/>
  <c r="Z98" i="21" s="1"/>
  <c r="N98" i="21"/>
  <c r="L98" i="21"/>
  <c r="B98" i="21"/>
  <c r="Z97" i="21"/>
  <c r="X97" i="21"/>
  <c r="T97" i="21"/>
  <c r="P97" i="21"/>
  <c r="H97" i="21"/>
  <c r="N97" i="21" s="1"/>
  <c r="D97" i="21"/>
  <c r="L97" i="21" s="1"/>
  <c r="B97" i="21"/>
  <c r="Z96" i="21"/>
  <c r="X96" i="21"/>
  <c r="L96" i="21"/>
  <c r="N96" i="21" s="1"/>
  <c r="B96" i="21"/>
  <c r="V95" i="21"/>
  <c r="T95" i="21"/>
  <c r="P95" i="21"/>
  <c r="X95" i="21" s="1"/>
  <c r="Z95" i="21" s="1"/>
  <c r="H95" i="21"/>
  <c r="D95" i="21"/>
  <c r="L95" i="21" s="1"/>
  <c r="N95" i="21" s="1"/>
  <c r="B95" i="21"/>
  <c r="X94" i="21"/>
  <c r="Z94" i="21" s="1"/>
  <c r="L94" i="21"/>
  <c r="N94" i="21" s="1"/>
  <c r="B94" i="21"/>
  <c r="X93" i="21"/>
  <c r="Z93" i="21" s="1"/>
  <c r="N93" i="21"/>
  <c r="L93" i="21"/>
  <c r="B93" i="21"/>
  <c r="X92" i="21"/>
  <c r="Z92" i="21" s="1"/>
  <c r="N92" i="21"/>
  <c r="L92" i="2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X88" i="21"/>
  <c r="Z88" i="21" s="1"/>
  <c r="N88" i="21"/>
  <c r="L88" i="21"/>
  <c r="B88" i="21"/>
  <c r="Z87" i="21"/>
  <c r="X87" i="21"/>
  <c r="N87" i="21"/>
  <c r="L87" i="21"/>
  <c r="B87" i="21"/>
  <c r="X86" i="21"/>
  <c r="Z86" i="21" s="1"/>
  <c r="N86" i="21"/>
  <c r="L86" i="21"/>
  <c r="B86" i="21"/>
  <c r="X85" i="21"/>
  <c r="T85" i="21"/>
  <c r="Z85" i="21" s="1"/>
  <c r="P85" i="21"/>
  <c r="H85" i="21"/>
  <c r="N85" i="21" s="1"/>
  <c r="D85" i="21"/>
  <c r="L85" i="21" s="1"/>
  <c r="B85" i="21"/>
  <c r="Z84" i="21"/>
  <c r="X84" i="21"/>
  <c r="N84" i="21"/>
  <c r="L84" i="21"/>
  <c r="B84" i="21"/>
  <c r="T83" i="21"/>
  <c r="P83" i="21"/>
  <c r="N83" i="21"/>
  <c r="L83" i="21"/>
  <c r="H83" i="21"/>
  <c r="D83" i="21"/>
  <c r="B83" i="21"/>
  <c r="Z82" i="21"/>
  <c r="X82" i="21"/>
  <c r="L82" i="21"/>
  <c r="N82" i="21" s="1"/>
  <c r="B82" i="21"/>
  <c r="Z81" i="21"/>
  <c r="X81" i="21"/>
  <c r="L81" i="21"/>
  <c r="N81" i="21" s="1"/>
  <c r="B81" i="21"/>
  <c r="Z80" i="21"/>
  <c r="X80" i="21"/>
  <c r="L80" i="21"/>
  <c r="N80" i="21" s="1"/>
  <c r="B80" i="21"/>
  <c r="Z79" i="21"/>
  <c r="X79" i="21"/>
  <c r="L79" i="21"/>
  <c r="N79" i="21" s="1"/>
  <c r="B79" i="21"/>
  <c r="T78" i="21"/>
  <c r="P78" i="21"/>
  <c r="X78" i="21" s="1"/>
  <c r="H78" i="21"/>
  <c r="D78" i="21"/>
  <c r="L78" i="21" s="1"/>
  <c r="B78" i="21"/>
  <c r="X77" i="21"/>
  <c r="Z77" i="21" s="1"/>
  <c r="N77" i="21"/>
  <c r="L77" i="21"/>
  <c r="B77" i="21"/>
  <c r="T76" i="21"/>
  <c r="Z76" i="21" s="1"/>
  <c r="P76" i="21"/>
  <c r="X76" i="21" s="1"/>
  <c r="N76" i="21"/>
  <c r="L76" i="21"/>
  <c r="H76" i="21"/>
  <c r="D76" i="21"/>
  <c r="B76" i="21"/>
  <c r="Z75" i="21"/>
  <c r="X75" i="21"/>
  <c r="N75" i="21"/>
  <c r="L75" i="21"/>
  <c r="B75" i="21"/>
  <c r="X74" i="21"/>
  <c r="Z74" i="21" s="1"/>
  <c r="N74" i="21"/>
  <c r="L74" i="21"/>
  <c r="B74" i="21"/>
  <c r="Z73" i="21"/>
  <c r="X73" i="21"/>
  <c r="N73" i="21"/>
  <c r="L73" i="21"/>
  <c r="B73" i="21"/>
  <c r="T72" i="21"/>
  <c r="P72" i="21"/>
  <c r="L72" i="21"/>
  <c r="H72" i="21"/>
  <c r="N72" i="21" s="1"/>
  <c r="D72" i="21"/>
  <c r="B72" i="21"/>
  <c r="Z71" i="21"/>
  <c r="X71" i="21"/>
  <c r="V71" i="21"/>
  <c r="L71" i="21"/>
  <c r="N71" i="21" s="1"/>
  <c r="B71" i="21"/>
  <c r="T70" i="21"/>
  <c r="P70" i="21"/>
  <c r="X70" i="21" s="1"/>
  <c r="H70" i="21"/>
  <c r="N70" i="21" s="1"/>
  <c r="D70" i="21"/>
  <c r="L70" i="21" s="1"/>
  <c r="B70" i="21"/>
  <c r="X69" i="21"/>
  <c r="Z69" i="21" s="1"/>
  <c r="N69" i="21"/>
  <c r="L69" i="21"/>
  <c r="B69" i="21"/>
  <c r="T68" i="21"/>
  <c r="Z68" i="21" s="1"/>
  <c r="P68" i="21"/>
  <c r="X68" i="21" s="1"/>
  <c r="L68" i="21"/>
  <c r="N68" i="21" s="1"/>
  <c r="H68" i="21"/>
  <c r="D68" i="21"/>
  <c r="B68" i="21"/>
  <c r="Z67" i="21"/>
  <c r="X67" i="21"/>
  <c r="N67" i="21"/>
  <c r="L67" i="21"/>
  <c r="B67" i="21"/>
  <c r="X66" i="21"/>
  <c r="T66" i="21"/>
  <c r="Z66" i="21" s="1"/>
  <c r="P66" i="21"/>
  <c r="H66" i="21"/>
  <c r="D66" i="21"/>
  <c r="B66" i="21"/>
  <c r="Z65" i="21"/>
  <c r="X65" i="21"/>
  <c r="N65" i="21"/>
  <c r="L65" i="21"/>
  <c r="B65" i="21"/>
  <c r="T64" i="21"/>
  <c r="P64" i="21"/>
  <c r="X64" i="21" s="1"/>
  <c r="H64" i="21"/>
  <c r="N64" i="21" s="1"/>
  <c r="D64" i="21"/>
  <c r="L64" i="21" s="1"/>
  <c r="B64" i="21"/>
  <c r="X63" i="21"/>
  <c r="Z63" i="21" s="1"/>
  <c r="N63" i="21"/>
  <c r="L63" i="21"/>
  <c r="B63" i="21"/>
  <c r="X62" i="21"/>
  <c r="Z62" i="21" s="1"/>
  <c r="T62" i="21"/>
  <c r="P62" i="21"/>
  <c r="H62" i="21"/>
  <c r="N62" i="21" s="1"/>
  <c r="D62" i="21"/>
  <c r="L62" i="21" s="1"/>
  <c r="B62" i="21"/>
  <c r="Z61" i="21"/>
  <c r="X61" i="21"/>
  <c r="N61" i="21"/>
  <c r="L61" i="21"/>
  <c r="B61" i="21"/>
  <c r="T60" i="21"/>
  <c r="P60" i="21"/>
  <c r="L60" i="21"/>
  <c r="H60" i="21"/>
  <c r="N60" i="21" s="1"/>
  <c r="D60" i="21"/>
  <c r="B60" i="21"/>
  <c r="Z59" i="21"/>
  <c r="X59" i="21"/>
  <c r="N59" i="21"/>
  <c r="L59" i="21"/>
  <c r="B59" i="21"/>
  <c r="T58" i="21"/>
  <c r="P58" i="21"/>
  <c r="X58" i="21" s="1"/>
  <c r="H58" i="21"/>
  <c r="N58" i="21" s="1"/>
  <c r="D58" i="21"/>
  <c r="L58" i="21" s="1"/>
  <c r="B58" i="21"/>
  <c r="X57" i="21"/>
  <c r="Z57" i="21" s="1"/>
  <c r="N57" i="21"/>
  <c r="L57" i="21"/>
  <c r="B57" i="21"/>
  <c r="T56" i="21"/>
  <c r="Z56" i="21" s="1"/>
  <c r="P56" i="21"/>
  <c r="X56" i="21" s="1"/>
  <c r="N56" i="21"/>
  <c r="L56" i="21"/>
  <c r="H56" i="21"/>
  <c r="D56" i="21"/>
  <c r="B56" i="21"/>
  <c r="Z55" i="21"/>
  <c r="X55" i="21"/>
  <c r="N55" i="21"/>
  <c r="L55" i="21"/>
  <c r="B55" i="21"/>
  <c r="X54" i="21"/>
  <c r="Z54" i="21" s="1"/>
  <c r="N54" i="21"/>
  <c r="L54" i="21"/>
  <c r="B54" i="21"/>
  <c r="Z53" i="21"/>
  <c r="X53" i="21"/>
  <c r="T53" i="21"/>
  <c r="P53" i="21"/>
  <c r="H53" i="21"/>
  <c r="D53" i="21"/>
  <c r="L53" i="21" s="1"/>
  <c r="B53" i="21"/>
  <c r="Z52" i="21"/>
  <c r="X52" i="21"/>
  <c r="L52" i="21"/>
  <c r="N52" i="21" s="1"/>
  <c r="B52" i="21"/>
  <c r="Z51" i="21"/>
  <c r="X51" i="21"/>
  <c r="T51" i="21"/>
  <c r="P51" i="21"/>
  <c r="H51" i="21"/>
  <c r="D51" i="21"/>
  <c r="L51" i="21" s="1"/>
  <c r="N51" i="21" s="1"/>
  <c r="B51" i="21"/>
  <c r="X50" i="21"/>
  <c r="Z50" i="21" s="1"/>
  <c r="N50" i="21"/>
  <c r="L50" i="21"/>
  <c r="B50" i="21"/>
  <c r="X49" i="21"/>
  <c r="T49" i="21"/>
  <c r="Z49" i="21" s="1"/>
  <c r="P49" i="21"/>
  <c r="N49" i="21"/>
  <c r="H49" i="21"/>
  <c r="D49" i="21"/>
  <c r="L49" i="21" s="1"/>
  <c r="B49" i="21"/>
  <c r="Z48" i="21"/>
  <c r="X48" i="21"/>
  <c r="N48" i="21"/>
  <c r="L48" i="21"/>
  <c r="B48" i="21"/>
  <c r="T47" i="21"/>
  <c r="P47" i="21"/>
  <c r="X47" i="21" s="1"/>
  <c r="N47" i="21"/>
  <c r="L47" i="21"/>
  <c r="H47" i="21"/>
  <c r="D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Z43" i="21"/>
  <c r="X43" i="21"/>
  <c r="N43" i="21"/>
  <c r="L43" i="21"/>
  <c r="B43" i="21"/>
  <c r="Z42" i="21"/>
  <c r="X42" i="21"/>
  <c r="N42" i="21"/>
  <c r="L42" i="21"/>
  <c r="B42" i="21"/>
  <c r="Z41" i="21"/>
  <c r="X41" i="21"/>
  <c r="L41" i="21"/>
  <c r="N41" i="21" s="1"/>
  <c r="B41" i="21"/>
  <c r="T40" i="21"/>
  <c r="P40" i="21"/>
  <c r="X40" i="21" s="1"/>
  <c r="H40" i="21"/>
  <c r="D40" i="21"/>
  <c r="L40" i="21" s="1"/>
  <c r="B40" i="21"/>
  <c r="X39" i="21"/>
  <c r="Z39" i="21" s="1"/>
  <c r="N39" i="21"/>
  <c r="L39" i="21"/>
  <c r="B39" i="21"/>
  <c r="X38" i="21"/>
  <c r="Z38" i="21" s="1"/>
  <c r="L38" i="21"/>
  <c r="N38" i="21" s="1"/>
  <c r="B38" i="21"/>
  <c r="X37" i="21"/>
  <c r="Z37" i="21" s="1"/>
  <c r="N37" i="21"/>
  <c r="L37" i="21"/>
  <c r="B37" i="21"/>
  <c r="X36" i="21"/>
  <c r="Z36" i="21" s="1"/>
  <c r="N36" i="21"/>
  <c r="L36" i="21"/>
  <c r="B36" i="21"/>
  <c r="X35" i="21"/>
  <c r="Z35" i="21" s="1"/>
  <c r="N35" i="21"/>
  <c r="L35" i="21"/>
  <c r="B35" i="21"/>
  <c r="X34" i="21"/>
  <c r="Z34" i="21" s="1"/>
  <c r="L34" i="21"/>
  <c r="N34" i="21" s="1"/>
  <c r="B34" i="21"/>
  <c r="X33" i="21"/>
  <c r="Z33" i="21" s="1"/>
  <c r="N33" i="21"/>
  <c r="L33" i="21"/>
  <c r="B33" i="21"/>
  <c r="X32" i="21"/>
  <c r="Z32" i="21" s="1"/>
  <c r="N32" i="21"/>
  <c r="L32" i="21"/>
  <c r="B32" i="21"/>
  <c r="T31" i="21"/>
  <c r="Z31" i="21" s="1"/>
  <c r="P31" i="21"/>
  <c r="X31" i="21" s="1"/>
  <c r="L31" i="21"/>
  <c r="H31" i="21"/>
  <c r="N31" i="21" s="1"/>
  <c r="D31" i="21"/>
  <c r="B31" i="21"/>
  <c r="T30" i="21"/>
  <c r="P30" i="21"/>
  <c r="X30" i="21" s="1"/>
  <c r="H30" i="21"/>
  <c r="D30" i="21"/>
  <c r="X26" i="21"/>
  <c r="Z26" i="21" s="1"/>
  <c r="N26" i="21"/>
  <c r="L26" i="21"/>
  <c r="B26" i="21"/>
  <c r="Z25" i="21"/>
  <c r="X25" i="21"/>
  <c r="N25" i="21"/>
  <c r="L25" i="21"/>
  <c r="B25" i="21"/>
  <c r="T24" i="21"/>
  <c r="P24" i="21"/>
  <c r="L24" i="21"/>
  <c r="H24" i="21"/>
  <c r="N24" i="21" s="1"/>
  <c r="D24" i="21"/>
  <c r="T22" i="21"/>
  <c r="P22" i="21"/>
  <c r="X22" i="21" s="1"/>
  <c r="Z22" i="21" s="1"/>
  <c r="N22" i="21"/>
  <c r="H22" i="21"/>
  <c r="D22" i="21"/>
  <c r="L22" i="21" s="1"/>
  <c r="B22" i="21"/>
  <c r="T21" i="21"/>
  <c r="P21" i="21"/>
  <c r="X21" i="21" s="1"/>
  <c r="Z21" i="21" s="1"/>
  <c r="H21" i="21"/>
  <c r="N21" i="21" s="1"/>
  <c r="D21" i="21"/>
  <c r="L21" i="21" s="1"/>
  <c r="B21" i="21"/>
  <c r="X20" i="21"/>
  <c r="Z20" i="21" s="1"/>
  <c r="T20" i="21"/>
  <c r="P20" i="21"/>
  <c r="H20" i="21"/>
  <c r="N20" i="21" s="1"/>
  <c r="D20" i="21"/>
  <c r="L20" i="21" s="1"/>
  <c r="B20" i="21"/>
  <c r="Z19" i="21"/>
  <c r="X19" i="21"/>
  <c r="T19" i="21"/>
  <c r="P19" i="21"/>
  <c r="H19" i="21"/>
  <c r="D19" i="21"/>
  <c r="L19" i="21" s="1"/>
  <c r="N19" i="21" s="1"/>
  <c r="B19" i="21"/>
  <c r="T18" i="21"/>
  <c r="P18" i="21"/>
  <c r="X18" i="21" s="1"/>
  <c r="Z18" i="21" s="1"/>
  <c r="N18" i="21"/>
  <c r="H18" i="21"/>
  <c r="D18" i="21"/>
  <c r="L18" i="21" s="1"/>
  <c r="B18" i="21"/>
  <c r="T17" i="21"/>
  <c r="P17" i="21"/>
  <c r="X17" i="21" s="1"/>
  <c r="Z17" i="21" s="1"/>
  <c r="H17" i="21"/>
  <c r="D17" i="21"/>
  <c r="B17" i="21"/>
  <c r="X16" i="21"/>
  <c r="Z16" i="21" s="1"/>
  <c r="T16" i="21"/>
  <c r="P16" i="21"/>
  <c r="H16" i="21"/>
  <c r="N16" i="21" s="1"/>
  <c r="D16" i="21"/>
  <c r="L16" i="21" s="1"/>
  <c r="B16" i="21"/>
  <c r="Z15" i="21"/>
  <c r="X15" i="21"/>
  <c r="T15" i="21"/>
  <c r="P15" i="21"/>
  <c r="N15" i="21"/>
  <c r="H15" i="21"/>
  <c r="D15" i="21"/>
  <c r="L15" i="21" s="1"/>
  <c r="B15" i="21"/>
  <c r="T14" i="21"/>
  <c r="P14" i="21"/>
  <c r="X14" i="21" s="1"/>
  <c r="Z14" i="21" s="1"/>
  <c r="N14" i="21"/>
  <c r="H14" i="21"/>
  <c r="D14" i="21"/>
  <c r="L14" i="21" s="1"/>
  <c r="B14" i="21"/>
  <c r="T13" i="21"/>
  <c r="T12" i="21" s="1"/>
  <c r="P13" i="21"/>
  <c r="P12" i="21" s="1"/>
  <c r="H13" i="21"/>
  <c r="D13" i="21"/>
  <c r="B13" i="21"/>
  <c r="D4" i="21"/>
  <c r="X303" i="18"/>
  <c r="Z303" i="18" s="1"/>
  <c r="N303" i="18"/>
  <c r="L303" i="18"/>
  <c r="Z299" i="18"/>
  <c r="X299" i="18"/>
  <c r="T299" i="18"/>
  <c r="P299" i="18"/>
  <c r="H299" i="18"/>
  <c r="D299" i="18"/>
  <c r="L299" i="18" s="1"/>
  <c r="N299" i="18" s="1"/>
  <c r="B299" i="18"/>
  <c r="T298" i="18"/>
  <c r="P298" i="18"/>
  <c r="X298" i="18" s="1"/>
  <c r="Z298" i="18" s="1"/>
  <c r="H298" i="18"/>
  <c r="N298" i="18" s="1"/>
  <c r="D298" i="18"/>
  <c r="L298" i="18" s="1"/>
  <c r="B298" i="18"/>
  <c r="Z297" i="18"/>
  <c r="X297" i="18"/>
  <c r="T297" i="18"/>
  <c r="P297" i="18"/>
  <c r="H297" i="18"/>
  <c r="N297" i="18" s="1"/>
  <c r="D297" i="18"/>
  <c r="L297" i="18" s="1"/>
  <c r="B297" i="18"/>
  <c r="T296" i="18"/>
  <c r="P296" i="18"/>
  <c r="H296" i="18"/>
  <c r="N296" i="18" s="1"/>
  <c r="D296" i="18"/>
  <c r="L296" i="18" s="1"/>
  <c r="B296" i="18"/>
  <c r="X295" i="18"/>
  <c r="Z295" i="18" s="1"/>
  <c r="T295" i="18"/>
  <c r="P295" i="18"/>
  <c r="L295" i="18"/>
  <c r="H295" i="18"/>
  <c r="N295" i="18" s="1"/>
  <c r="D295" i="18"/>
  <c r="B295" i="18"/>
  <c r="X294" i="18"/>
  <c r="T294" i="18"/>
  <c r="P294" i="18"/>
  <c r="H294" i="18"/>
  <c r="D294" i="18"/>
  <c r="B294" i="18"/>
  <c r="Z293" i="18"/>
  <c r="T293" i="18"/>
  <c r="P293" i="18"/>
  <c r="X293" i="18" s="1"/>
  <c r="N293" i="18"/>
  <c r="L293" i="18"/>
  <c r="J293" i="18"/>
  <c r="H293" i="18"/>
  <c r="D293" i="18"/>
  <c r="B293" i="18"/>
  <c r="T292" i="18"/>
  <c r="P292" i="18"/>
  <c r="X292" i="18" s="1"/>
  <c r="N292" i="18"/>
  <c r="L292" i="18"/>
  <c r="H292" i="18"/>
  <c r="D292" i="18"/>
  <c r="D287" i="18" s="1"/>
  <c r="B292" i="18"/>
  <c r="T291" i="18"/>
  <c r="Z291" i="18" s="1"/>
  <c r="P291" i="18"/>
  <c r="X291" i="18" s="1"/>
  <c r="N291" i="18"/>
  <c r="L291" i="18"/>
  <c r="H291" i="18"/>
  <c r="D291" i="18"/>
  <c r="B291" i="18"/>
  <c r="T290" i="18"/>
  <c r="P290" i="18"/>
  <c r="H290" i="18"/>
  <c r="N290" i="18" s="1"/>
  <c r="D290" i="18"/>
  <c r="L290" i="18" s="1"/>
  <c r="B290" i="18"/>
  <c r="X289" i="18"/>
  <c r="T289" i="18"/>
  <c r="Z289" i="18" s="1"/>
  <c r="P289" i="18"/>
  <c r="L289" i="18"/>
  <c r="N289" i="18" s="1"/>
  <c r="J289" i="18"/>
  <c r="H289" i="18"/>
  <c r="D289" i="18"/>
  <c r="B289" i="18"/>
  <c r="T288" i="18"/>
  <c r="P288" i="18"/>
  <c r="L288" i="18"/>
  <c r="H288" i="18"/>
  <c r="D288" i="18"/>
  <c r="B288" i="18"/>
  <c r="Z285" i="18"/>
  <c r="X285" i="18"/>
  <c r="L285" i="18"/>
  <c r="N285" i="18" s="1"/>
  <c r="J285" i="18"/>
  <c r="B285" i="18"/>
  <c r="T284" i="18"/>
  <c r="Z284" i="18" s="1"/>
  <c r="P284" i="18"/>
  <c r="X284" i="18" s="1"/>
  <c r="H284" i="18"/>
  <c r="D284" i="18"/>
  <c r="B284" i="18"/>
  <c r="X283" i="18"/>
  <c r="Z283" i="18" s="1"/>
  <c r="N283" i="18"/>
  <c r="L283" i="18"/>
  <c r="B283" i="18"/>
  <c r="X282" i="18"/>
  <c r="Z282" i="18" s="1"/>
  <c r="N282" i="18"/>
  <c r="L282" i="18"/>
  <c r="B282" i="18"/>
  <c r="X281" i="18"/>
  <c r="Z281" i="18" s="1"/>
  <c r="N281" i="18"/>
  <c r="L281" i="18"/>
  <c r="B281" i="18"/>
  <c r="X280" i="18"/>
  <c r="Z280" i="18" s="1"/>
  <c r="T280" i="18"/>
  <c r="P280" i="18"/>
  <c r="H280" i="18"/>
  <c r="N280" i="18" s="1"/>
  <c r="D280" i="18"/>
  <c r="L280" i="18" s="1"/>
  <c r="B280" i="18"/>
  <c r="Z279" i="18"/>
  <c r="X279" i="18"/>
  <c r="N279" i="18"/>
  <c r="L279" i="18"/>
  <c r="B279" i="18"/>
  <c r="T278" i="18"/>
  <c r="P278" i="18"/>
  <c r="L278" i="18"/>
  <c r="H278" i="18"/>
  <c r="D278" i="18"/>
  <c r="B278" i="18"/>
  <c r="Z277" i="18"/>
  <c r="X277" i="18"/>
  <c r="L277" i="18"/>
  <c r="N277" i="18" s="1"/>
  <c r="J277" i="18"/>
  <c r="B277" i="18"/>
  <c r="Z276" i="18"/>
  <c r="X276" i="18"/>
  <c r="L276" i="18"/>
  <c r="N276" i="18" s="1"/>
  <c r="B276" i="18"/>
  <c r="T275" i="18"/>
  <c r="P275" i="18"/>
  <c r="X275" i="18" s="1"/>
  <c r="Z275" i="18" s="1"/>
  <c r="N275" i="18"/>
  <c r="L275" i="18"/>
  <c r="J275" i="18"/>
  <c r="H275" i="18"/>
  <c r="D275" i="18"/>
  <c r="B275" i="18"/>
  <c r="X274" i="18"/>
  <c r="Z274" i="18" s="1"/>
  <c r="N274" i="18"/>
  <c r="L274" i="18"/>
  <c r="B274" i="18"/>
  <c r="X273" i="18"/>
  <c r="Z273" i="18" s="1"/>
  <c r="N273" i="18"/>
  <c r="L273" i="18"/>
  <c r="B273" i="18"/>
  <c r="X272" i="18"/>
  <c r="Z272" i="18" s="1"/>
  <c r="L272" i="18"/>
  <c r="N272" i="18" s="1"/>
  <c r="B272" i="18"/>
  <c r="X271" i="18"/>
  <c r="Z271" i="18" s="1"/>
  <c r="N271" i="18"/>
  <c r="L271" i="18"/>
  <c r="B271" i="18"/>
  <c r="X270" i="18"/>
  <c r="Z270" i="18" s="1"/>
  <c r="N270" i="18"/>
  <c r="L270" i="18"/>
  <c r="B270" i="18"/>
  <c r="X269" i="18"/>
  <c r="Z269" i="18" s="1"/>
  <c r="N269" i="18"/>
  <c r="L269" i="18"/>
  <c r="B269" i="18"/>
  <c r="X268" i="18"/>
  <c r="Z268" i="18" s="1"/>
  <c r="L268" i="18"/>
  <c r="N268" i="18" s="1"/>
  <c r="B268" i="18"/>
  <c r="X267" i="18"/>
  <c r="Z267" i="18" s="1"/>
  <c r="N267" i="18"/>
  <c r="L267" i="18"/>
  <c r="B267" i="18"/>
  <c r="T266" i="18"/>
  <c r="P266" i="18"/>
  <c r="X266" i="18" s="1"/>
  <c r="L266" i="18"/>
  <c r="N266" i="18" s="1"/>
  <c r="H266" i="18"/>
  <c r="D266" i="18"/>
  <c r="B266" i="18"/>
  <c r="Z265" i="18"/>
  <c r="X265" i="18"/>
  <c r="N265" i="18"/>
  <c r="L265" i="18"/>
  <c r="J265" i="18"/>
  <c r="B265" i="18"/>
  <c r="X264" i="18"/>
  <c r="Z264" i="18" s="1"/>
  <c r="N264" i="18"/>
  <c r="L264" i="18"/>
  <c r="B264" i="18"/>
  <c r="Z263" i="18"/>
  <c r="X263" i="18"/>
  <c r="T263" i="18"/>
  <c r="P263" i="18"/>
  <c r="H263" i="18"/>
  <c r="N263" i="18" s="1"/>
  <c r="D263" i="18"/>
  <c r="L263" i="18" s="1"/>
  <c r="B263" i="18"/>
  <c r="Z262" i="18"/>
  <c r="X262" i="18"/>
  <c r="R262" i="18"/>
  <c r="L262" i="18"/>
  <c r="N262" i="18" s="1"/>
  <c r="B262" i="18"/>
  <c r="Z261" i="18"/>
  <c r="X261" i="18"/>
  <c r="L261" i="18"/>
  <c r="N261" i="18" s="1"/>
  <c r="J261" i="18"/>
  <c r="B261" i="18"/>
  <c r="Z260" i="18"/>
  <c r="X260" i="18"/>
  <c r="N260" i="18"/>
  <c r="L260" i="18"/>
  <c r="B260" i="18"/>
  <c r="Z259" i="18"/>
  <c r="X259" i="18"/>
  <c r="N259" i="18"/>
  <c r="L259" i="18"/>
  <c r="B259" i="18"/>
  <c r="T258" i="18"/>
  <c r="P258" i="18"/>
  <c r="H258" i="18"/>
  <c r="N258" i="18" s="1"/>
  <c r="D258" i="18"/>
  <c r="L258" i="18" s="1"/>
  <c r="B258" i="18"/>
  <c r="X257" i="18"/>
  <c r="Z257" i="18" s="1"/>
  <c r="N257" i="18"/>
  <c r="L257" i="18"/>
  <c r="B257" i="18"/>
  <c r="X256" i="18"/>
  <c r="Z256" i="18" s="1"/>
  <c r="N256" i="18"/>
  <c r="L256" i="18"/>
  <c r="B256" i="18"/>
  <c r="X255" i="18"/>
  <c r="Z255" i="18" s="1"/>
  <c r="N255" i="18"/>
  <c r="L255" i="18"/>
  <c r="B255" i="18"/>
  <c r="T254" i="18"/>
  <c r="Z254" i="18" s="1"/>
  <c r="P254" i="18"/>
  <c r="X254" i="18" s="1"/>
  <c r="N254" i="18"/>
  <c r="H254" i="18"/>
  <c r="D254" i="18"/>
  <c r="L254" i="18" s="1"/>
  <c r="B254" i="18"/>
  <c r="Z253" i="18"/>
  <c r="X253" i="18"/>
  <c r="N253" i="18"/>
  <c r="L253" i="18"/>
  <c r="J253" i="18"/>
  <c r="B253" i="18"/>
  <c r="X252" i="18"/>
  <c r="Z252" i="18" s="1"/>
  <c r="N252" i="18"/>
  <c r="L252" i="18"/>
  <c r="B252" i="18"/>
  <c r="Z251" i="18"/>
  <c r="X251" i="18"/>
  <c r="N251" i="18"/>
  <c r="L251" i="18"/>
  <c r="B251" i="18"/>
  <c r="Z250" i="18"/>
  <c r="X250" i="18"/>
  <c r="R250" i="18"/>
  <c r="N250" i="18"/>
  <c r="L250" i="18"/>
  <c r="B250" i="18"/>
  <c r="T249" i="18"/>
  <c r="Z249" i="18" s="1"/>
  <c r="P249" i="18"/>
  <c r="X249" i="18" s="1"/>
  <c r="N249" i="18"/>
  <c r="L249" i="18"/>
  <c r="H249" i="18"/>
  <c r="D249" i="18"/>
  <c r="B249" i="18"/>
  <c r="Z248" i="18"/>
  <c r="X248" i="18"/>
  <c r="L248" i="18"/>
  <c r="N248" i="18" s="1"/>
  <c r="B248" i="18"/>
  <c r="Z247" i="18"/>
  <c r="T247" i="18"/>
  <c r="P247" i="18"/>
  <c r="X247" i="18" s="1"/>
  <c r="N247" i="18"/>
  <c r="L247" i="18"/>
  <c r="J247" i="18"/>
  <c r="H247" i="18"/>
  <c r="D247" i="18"/>
  <c r="B247" i="18"/>
  <c r="X246" i="18"/>
  <c r="Z246" i="18" s="1"/>
  <c r="N246" i="18"/>
  <c r="L246" i="18"/>
  <c r="B246" i="18"/>
  <c r="T245" i="18"/>
  <c r="Z245" i="18" s="1"/>
  <c r="P245" i="18"/>
  <c r="X245" i="18" s="1"/>
  <c r="L245" i="18"/>
  <c r="H245" i="18"/>
  <c r="N245" i="18" s="1"/>
  <c r="D245" i="18"/>
  <c r="B245" i="18"/>
  <c r="Z244" i="18"/>
  <c r="X244" i="18"/>
  <c r="N244" i="18"/>
  <c r="L244" i="18"/>
  <c r="B244" i="18"/>
  <c r="Z243" i="18"/>
  <c r="X243" i="18"/>
  <c r="N243" i="18"/>
  <c r="L243" i="18"/>
  <c r="B243" i="18"/>
  <c r="Z242" i="18"/>
  <c r="X242" i="18"/>
  <c r="N242" i="18"/>
  <c r="L242" i="18"/>
  <c r="B242" i="18"/>
  <c r="T241" i="18"/>
  <c r="Z241" i="18" s="1"/>
  <c r="P241" i="18"/>
  <c r="X241" i="18" s="1"/>
  <c r="N241" i="18"/>
  <c r="L241" i="18"/>
  <c r="H241" i="18"/>
  <c r="D241" i="18"/>
  <c r="B241" i="18"/>
  <c r="Z240" i="18"/>
  <c r="X240" i="18"/>
  <c r="L240" i="18"/>
  <c r="N240" i="18" s="1"/>
  <c r="B240" i="18"/>
  <c r="T239" i="18"/>
  <c r="P239" i="18"/>
  <c r="X239" i="18" s="1"/>
  <c r="Z239" i="18" s="1"/>
  <c r="N239" i="18"/>
  <c r="L239" i="18"/>
  <c r="J239" i="18"/>
  <c r="H239" i="18"/>
  <c r="D239" i="18"/>
  <c r="B239" i="18"/>
  <c r="X238" i="18"/>
  <c r="Z238" i="18" s="1"/>
  <c r="N238" i="18"/>
  <c r="L238" i="18"/>
  <c r="B238" i="18"/>
  <c r="X237" i="18"/>
  <c r="T237" i="18"/>
  <c r="Z237" i="18" s="1"/>
  <c r="P237" i="18"/>
  <c r="L237" i="18"/>
  <c r="H237" i="18"/>
  <c r="N237" i="18" s="1"/>
  <c r="D237" i="18"/>
  <c r="B237" i="18"/>
  <c r="X236" i="18"/>
  <c r="Z236" i="18" s="1"/>
  <c r="N236" i="18"/>
  <c r="L236" i="18"/>
  <c r="B236" i="18"/>
  <c r="Z235" i="18"/>
  <c r="X235" i="18"/>
  <c r="N235" i="18"/>
  <c r="L235" i="18"/>
  <c r="B235" i="18"/>
  <c r="T234" i="18"/>
  <c r="P234" i="18"/>
  <c r="L234" i="18"/>
  <c r="H234" i="18"/>
  <c r="D234" i="18"/>
  <c r="B234" i="18"/>
  <c r="Z233" i="18"/>
  <c r="X233" i="18"/>
  <c r="L233" i="18"/>
  <c r="N233" i="18" s="1"/>
  <c r="J233" i="18"/>
  <c r="B233" i="18"/>
  <c r="T232" i="18"/>
  <c r="Z232" i="18" s="1"/>
  <c r="P232" i="18"/>
  <c r="X232" i="18" s="1"/>
  <c r="H232" i="18"/>
  <c r="D232" i="18"/>
  <c r="B232" i="18"/>
  <c r="X231" i="18"/>
  <c r="Z231" i="18" s="1"/>
  <c r="N231" i="18"/>
  <c r="L231" i="18"/>
  <c r="B231" i="18"/>
  <c r="T230" i="18"/>
  <c r="P230" i="18"/>
  <c r="X230" i="18" s="1"/>
  <c r="N230" i="18"/>
  <c r="L230" i="18"/>
  <c r="H230" i="18"/>
  <c r="D230" i="18"/>
  <c r="B230" i="18"/>
  <c r="Z229" i="18"/>
  <c r="X229" i="18"/>
  <c r="N229" i="18"/>
  <c r="L229" i="18"/>
  <c r="J229" i="18"/>
  <c r="B229" i="18"/>
  <c r="X228" i="18"/>
  <c r="T228" i="18"/>
  <c r="Z228" i="18" s="1"/>
  <c r="P228" i="18"/>
  <c r="H228" i="18"/>
  <c r="D228" i="18"/>
  <c r="B228" i="18"/>
  <c r="Z227" i="18"/>
  <c r="X227" i="18"/>
  <c r="N227" i="18"/>
  <c r="L227" i="18"/>
  <c r="B227" i="18"/>
  <c r="Z226" i="18"/>
  <c r="X226" i="18"/>
  <c r="L226" i="18"/>
  <c r="N226" i="18" s="1"/>
  <c r="B226" i="18"/>
  <c r="Z225" i="18"/>
  <c r="X225" i="18"/>
  <c r="T225" i="18"/>
  <c r="P225" i="18"/>
  <c r="N225" i="18"/>
  <c r="H225" i="18"/>
  <c r="D225" i="18"/>
  <c r="L225" i="18" s="1"/>
  <c r="B225" i="18"/>
  <c r="Z224" i="18"/>
  <c r="X224" i="18"/>
  <c r="N224" i="18"/>
  <c r="L224" i="18"/>
  <c r="B224" i="18"/>
  <c r="X223" i="18"/>
  <c r="Z223" i="18" s="1"/>
  <c r="N223" i="18"/>
  <c r="L223" i="18"/>
  <c r="B223" i="18"/>
  <c r="X222" i="18"/>
  <c r="Z222" i="18" s="1"/>
  <c r="N222" i="18"/>
  <c r="L222" i="18"/>
  <c r="B222" i="18"/>
  <c r="T221" i="18"/>
  <c r="Z221" i="18" s="1"/>
  <c r="P221" i="18"/>
  <c r="X221" i="18" s="1"/>
  <c r="L221" i="18"/>
  <c r="H221" i="18"/>
  <c r="N221" i="18" s="1"/>
  <c r="D221" i="18"/>
  <c r="B221" i="18"/>
  <c r="X220" i="18"/>
  <c r="Z220" i="18" s="1"/>
  <c r="N220" i="18"/>
  <c r="L220" i="18"/>
  <c r="B220" i="18"/>
  <c r="Z219" i="18"/>
  <c r="X219" i="18"/>
  <c r="T219" i="18"/>
  <c r="P219" i="18"/>
  <c r="H219" i="18"/>
  <c r="D219" i="18"/>
  <c r="L219" i="18" s="1"/>
  <c r="B219" i="18"/>
  <c r="Z218" i="18"/>
  <c r="X218" i="18"/>
  <c r="N218" i="18"/>
  <c r="L218" i="18"/>
  <c r="B218" i="18"/>
  <c r="Z217" i="18"/>
  <c r="X217" i="18"/>
  <c r="L217" i="18"/>
  <c r="N217" i="18" s="1"/>
  <c r="J217" i="18"/>
  <c r="B217" i="18"/>
  <c r="T216" i="18"/>
  <c r="P216" i="18"/>
  <c r="X216" i="18" s="1"/>
  <c r="H216" i="18"/>
  <c r="D216" i="18"/>
  <c r="L216" i="18" s="1"/>
  <c r="B216" i="18"/>
  <c r="X215" i="18"/>
  <c r="Z215" i="18" s="1"/>
  <c r="N215" i="18"/>
  <c r="L215" i="18"/>
  <c r="B215" i="18"/>
  <c r="T214" i="18"/>
  <c r="P214" i="18"/>
  <c r="X214" i="18" s="1"/>
  <c r="L214" i="18"/>
  <c r="N214" i="18" s="1"/>
  <c r="H214" i="18"/>
  <c r="D214" i="18"/>
  <c r="B214" i="18"/>
  <c r="Z213" i="18"/>
  <c r="X213" i="18"/>
  <c r="N213" i="18"/>
  <c r="L213" i="18"/>
  <c r="J213" i="18"/>
  <c r="B213" i="18"/>
  <c r="X212" i="18"/>
  <c r="Z212" i="18" s="1"/>
  <c r="N212" i="18"/>
  <c r="L212" i="18"/>
  <c r="B212" i="18"/>
  <c r="Z211" i="18"/>
  <c r="X211" i="18"/>
  <c r="N211" i="18"/>
  <c r="L211" i="18"/>
  <c r="B211" i="18"/>
  <c r="Z210" i="18"/>
  <c r="X210" i="18"/>
  <c r="N210" i="18"/>
  <c r="L210" i="18"/>
  <c r="B210" i="18"/>
  <c r="Z209" i="18"/>
  <c r="X209" i="18"/>
  <c r="N209" i="18"/>
  <c r="L209" i="18"/>
  <c r="J209" i="18"/>
  <c r="B209" i="18"/>
  <c r="X208" i="18"/>
  <c r="Z208" i="18" s="1"/>
  <c r="N208" i="18"/>
  <c r="L208" i="18"/>
  <c r="B208" i="18"/>
  <c r="Z207" i="18"/>
  <c r="X207" i="18"/>
  <c r="N207" i="18"/>
  <c r="L207" i="18"/>
  <c r="B207" i="18"/>
  <c r="T206" i="18"/>
  <c r="P206" i="18"/>
  <c r="L206" i="18"/>
  <c r="H206" i="18"/>
  <c r="N206" i="18" s="1"/>
  <c r="D206" i="18"/>
  <c r="B206" i="18"/>
  <c r="Z205" i="18"/>
  <c r="X205" i="18"/>
  <c r="L205" i="18"/>
  <c r="N205" i="18" s="1"/>
  <c r="J205" i="18"/>
  <c r="B205" i="18"/>
  <c r="Z204" i="18"/>
  <c r="X204" i="18"/>
  <c r="L204" i="18"/>
  <c r="N204" i="18" s="1"/>
  <c r="B204" i="18"/>
  <c r="Z203" i="18"/>
  <c r="X203" i="18"/>
  <c r="L203" i="18"/>
  <c r="N203" i="18" s="1"/>
  <c r="B203" i="18"/>
  <c r="Z202" i="18"/>
  <c r="X202" i="18"/>
  <c r="L202" i="18"/>
  <c r="N202" i="18" s="1"/>
  <c r="B202" i="18"/>
  <c r="Z201" i="18"/>
  <c r="X201" i="18"/>
  <c r="N201" i="18"/>
  <c r="L201" i="18"/>
  <c r="J201" i="18"/>
  <c r="B201" i="18"/>
  <c r="Z200" i="18"/>
  <c r="X200" i="18"/>
  <c r="L200" i="18"/>
  <c r="N200" i="18" s="1"/>
  <c r="B200" i="18"/>
  <c r="Z199" i="18"/>
  <c r="X199" i="18"/>
  <c r="L199" i="18"/>
  <c r="N199" i="18" s="1"/>
  <c r="B199" i="18"/>
  <c r="Z198" i="18"/>
  <c r="X198" i="18"/>
  <c r="R198" i="18"/>
  <c r="L198" i="18"/>
  <c r="N198" i="18" s="1"/>
  <c r="B198" i="18"/>
  <c r="Z197" i="18"/>
  <c r="X197" i="18"/>
  <c r="L197" i="18"/>
  <c r="N197" i="18" s="1"/>
  <c r="J197" i="18"/>
  <c r="B197" i="18"/>
  <c r="Z196" i="18"/>
  <c r="X196" i="18"/>
  <c r="L196" i="18"/>
  <c r="N196" i="18" s="1"/>
  <c r="B196" i="18"/>
  <c r="Z195" i="18"/>
  <c r="T195" i="18"/>
  <c r="P195" i="18"/>
  <c r="X195" i="18" s="1"/>
  <c r="N195" i="18"/>
  <c r="L195" i="18"/>
  <c r="J195" i="18"/>
  <c r="H195" i="18"/>
  <c r="D195" i="18"/>
  <c r="B195" i="18"/>
  <c r="T194" i="18"/>
  <c r="P194" i="18"/>
  <c r="X194" i="18" s="1"/>
  <c r="H194" i="18"/>
  <c r="D194" i="18"/>
  <c r="X190" i="18"/>
  <c r="Z190" i="18" s="1"/>
  <c r="N190" i="18"/>
  <c r="L190" i="18"/>
  <c r="B190" i="18"/>
  <c r="Z189" i="18"/>
  <c r="X189" i="18"/>
  <c r="N189" i="18"/>
  <c r="L189" i="18"/>
  <c r="B189" i="18"/>
  <c r="X188" i="18"/>
  <c r="Z188" i="18" s="1"/>
  <c r="L188" i="18"/>
  <c r="N188" i="18" s="1"/>
  <c r="B188" i="18"/>
  <c r="X187" i="18"/>
  <c r="Z187" i="18" s="1"/>
  <c r="N187" i="18"/>
  <c r="L187" i="18"/>
  <c r="B187" i="18"/>
  <c r="X186" i="18"/>
  <c r="Z186" i="18" s="1"/>
  <c r="N186" i="18"/>
  <c r="L186" i="18"/>
  <c r="B186" i="18"/>
  <c r="X185" i="18"/>
  <c r="Z185" i="18" s="1"/>
  <c r="N185" i="18"/>
  <c r="L185" i="18"/>
  <c r="B185" i="18"/>
  <c r="X184" i="18"/>
  <c r="Z184" i="18" s="1"/>
  <c r="L184" i="18"/>
  <c r="N184" i="18" s="1"/>
  <c r="B184" i="18"/>
  <c r="X183" i="18"/>
  <c r="Z183" i="18" s="1"/>
  <c r="N183" i="18"/>
  <c r="L183" i="18"/>
  <c r="B183" i="18"/>
  <c r="X182" i="18"/>
  <c r="Z182" i="18" s="1"/>
  <c r="N182" i="18"/>
  <c r="L182" i="18"/>
  <c r="B182" i="18"/>
  <c r="X181" i="18"/>
  <c r="Z181" i="18" s="1"/>
  <c r="N181" i="18"/>
  <c r="L181" i="18"/>
  <c r="B181" i="18"/>
  <c r="X180" i="18"/>
  <c r="Z180" i="18" s="1"/>
  <c r="L180" i="18"/>
  <c r="N180" i="18" s="1"/>
  <c r="B180" i="18"/>
  <c r="X179" i="18"/>
  <c r="Z179" i="18" s="1"/>
  <c r="N179" i="18"/>
  <c r="L179" i="18"/>
  <c r="B179" i="18"/>
  <c r="X178" i="18"/>
  <c r="Z178" i="18" s="1"/>
  <c r="N178" i="18"/>
  <c r="L178" i="18"/>
  <c r="B178" i="18"/>
  <c r="X177" i="18"/>
  <c r="Z177" i="18" s="1"/>
  <c r="L177" i="18"/>
  <c r="N177" i="18" s="1"/>
  <c r="B177" i="18"/>
  <c r="X176" i="18"/>
  <c r="Z176" i="18" s="1"/>
  <c r="L176" i="18"/>
  <c r="N176" i="18" s="1"/>
  <c r="B176" i="18"/>
  <c r="X175" i="18"/>
  <c r="Z175" i="18" s="1"/>
  <c r="N175" i="18"/>
  <c r="L175" i="18"/>
  <c r="B175" i="18"/>
  <c r="X174" i="18"/>
  <c r="Z174" i="18" s="1"/>
  <c r="N174" i="18"/>
  <c r="L174" i="18"/>
  <c r="B174" i="18"/>
  <c r="X173" i="18"/>
  <c r="Z173" i="18" s="1"/>
  <c r="N173" i="18"/>
  <c r="L173" i="18"/>
  <c r="B173" i="18"/>
  <c r="X172" i="18"/>
  <c r="Z172" i="18" s="1"/>
  <c r="N172" i="18"/>
  <c r="L172" i="18"/>
  <c r="B172" i="18"/>
  <c r="X171" i="18"/>
  <c r="Z171" i="18" s="1"/>
  <c r="N171" i="18"/>
  <c r="L171" i="18"/>
  <c r="B171" i="18"/>
  <c r="X170" i="18"/>
  <c r="Z170" i="18" s="1"/>
  <c r="N170" i="18"/>
  <c r="L170" i="18"/>
  <c r="B170" i="18"/>
  <c r="X169" i="18"/>
  <c r="Z169" i="18" s="1"/>
  <c r="N169" i="18"/>
  <c r="L169" i="18"/>
  <c r="B169" i="18"/>
  <c r="X168" i="18"/>
  <c r="Z168" i="18" s="1"/>
  <c r="L168" i="18"/>
  <c r="N168" i="18" s="1"/>
  <c r="B168" i="18"/>
  <c r="X167" i="18"/>
  <c r="Z167" i="18" s="1"/>
  <c r="N167" i="18"/>
  <c r="L167" i="18"/>
  <c r="B167" i="18"/>
  <c r="Z166" i="18"/>
  <c r="X166" i="18"/>
  <c r="N166" i="18"/>
  <c r="L166" i="18"/>
  <c r="B166" i="18"/>
  <c r="X165" i="18"/>
  <c r="Z165" i="18" s="1"/>
  <c r="L165" i="18"/>
  <c r="N165" i="18" s="1"/>
  <c r="B165" i="18"/>
  <c r="X164" i="18"/>
  <c r="Z164" i="18" s="1"/>
  <c r="N164" i="18"/>
  <c r="L164" i="18"/>
  <c r="B164" i="18"/>
  <c r="X163" i="18"/>
  <c r="Z163" i="18" s="1"/>
  <c r="N163" i="18"/>
  <c r="L163" i="18"/>
  <c r="B163" i="18"/>
  <c r="X162" i="18"/>
  <c r="Z162" i="18" s="1"/>
  <c r="N162" i="18"/>
  <c r="L162" i="18"/>
  <c r="B162" i="18"/>
  <c r="X161" i="18"/>
  <c r="Z161" i="18" s="1"/>
  <c r="N161" i="18"/>
  <c r="L161" i="18"/>
  <c r="B161" i="18"/>
  <c r="X160" i="18"/>
  <c r="Z160" i="18" s="1"/>
  <c r="L160" i="18"/>
  <c r="N160" i="18" s="1"/>
  <c r="B160" i="18"/>
  <c r="X159" i="18"/>
  <c r="Z159" i="18" s="1"/>
  <c r="N159" i="18"/>
  <c r="L159" i="18"/>
  <c r="B159" i="18"/>
  <c r="X158" i="18"/>
  <c r="Z158" i="18" s="1"/>
  <c r="N158" i="18"/>
  <c r="L158" i="18"/>
  <c r="B158" i="18"/>
  <c r="X157" i="18"/>
  <c r="Z157" i="18" s="1"/>
  <c r="L157" i="18"/>
  <c r="N157" i="18" s="1"/>
  <c r="B157" i="18"/>
  <c r="X156" i="18"/>
  <c r="Z156" i="18" s="1"/>
  <c r="L156" i="18"/>
  <c r="N156" i="18" s="1"/>
  <c r="B156" i="18"/>
  <c r="X155" i="18"/>
  <c r="Z155" i="18" s="1"/>
  <c r="N155" i="18"/>
  <c r="L155" i="18"/>
  <c r="B155" i="18"/>
  <c r="X154" i="18"/>
  <c r="Z154" i="18" s="1"/>
  <c r="N154" i="18"/>
  <c r="L154" i="18"/>
  <c r="B154" i="18"/>
  <c r="X153" i="18"/>
  <c r="Z153" i="18" s="1"/>
  <c r="L153" i="18"/>
  <c r="N153" i="18" s="1"/>
  <c r="B153" i="18"/>
  <c r="X152" i="18"/>
  <c r="Z152" i="18" s="1"/>
  <c r="L152" i="18"/>
  <c r="N152" i="18" s="1"/>
  <c r="B152" i="18"/>
  <c r="X151" i="18"/>
  <c r="Z151" i="18" s="1"/>
  <c r="N151" i="18"/>
  <c r="L151" i="18"/>
  <c r="B151" i="18"/>
  <c r="X150" i="18"/>
  <c r="Z150" i="18" s="1"/>
  <c r="N150" i="18"/>
  <c r="L150" i="18"/>
  <c r="B150" i="18"/>
  <c r="X149" i="18"/>
  <c r="Z149" i="18" s="1"/>
  <c r="N149" i="18"/>
  <c r="L149" i="18"/>
  <c r="B149" i="18"/>
  <c r="X148" i="18"/>
  <c r="Z148" i="18" s="1"/>
  <c r="N148" i="18"/>
  <c r="L148" i="18"/>
  <c r="B148" i="18"/>
  <c r="X147" i="18"/>
  <c r="Z147" i="18" s="1"/>
  <c r="N147" i="18"/>
  <c r="L147" i="18"/>
  <c r="B147" i="18"/>
  <c r="X146" i="18"/>
  <c r="Z146" i="18" s="1"/>
  <c r="N146" i="18"/>
  <c r="L146" i="18"/>
  <c r="B146" i="18"/>
  <c r="X145" i="18"/>
  <c r="Z145" i="18" s="1"/>
  <c r="L145" i="18"/>
  <c r="N145" i="18" s="1"/>
  <c r="B145" i="18"/>
  <c r="X144" i="18"/>
  <c r="Z144" i="18" s="1"/>
  <c r="L144" i="18"/>
  <c r="N144" i="18" s="1"/>
  <c r="B144" i="18"/>
  <c r="X143" i="18"/>
  <c r="Z143" i="18" s="1"/>
  <c r="N143" i="18"/>
  <c r="L143" i="18"/>
  <c r="B143" i="18"/>
  <c r="X142" i="18"/>
  <c r="Z142" i="18" s="1"/>
  <c r="N142" i="18"/>
  <c r="L142" i="18"/>
  <c r="B142" i="18"/>
  <c r="X141" i="18"/>
  <c r="Z141" i="18" s="1"/>
  <c r="N141" i="18"/>
  <c r="L141" i="18"/>
  <c r="B141" i="18"/>
  <c r="X140" i="18"/>
  <c r="Z140" i="18" s="1"/>
  <c r="N140" i="18"/>
  <c r="L140" i="18"/>
  <c r="B140" i="18"/>
  <c r="X139" i="18"/>
  <c r="Z139" i="18" s="1"/>
  <c r="N139" i="18"/>
  <c r="L139" i="18"/>
  <c r="B139" i="18"/>
  <c r="X138" i="18"/>
  <c r="Z138" i="18" s="1"/>
  <c r="N138" i="18"/>
  <c r="L138" i="18"/>
  <c r="B138" i="18"/>
  <c r="X137" i="18"/>
  <c r="Z137" i="18" s="1"/>
  <c r="N137" i="18"/>
  <c r="L137" i="18"/>
  <c r="B137" i="18"/>
  <c r="X136" i="18"/>
  <c r="Z136" i="18" s="1"/>
  <c r="L136" i="18"/>
  <c r="N136" i="18" s="1"/>
  <c r="B136" i="18"/>
  <c r="X135" i="18"/>
  <c r="Z135" i="18" s="1"/>
  <c r="N135" i="18"/>
  <c r="L135" i="18"/>
  <c r="B135" i="18"/>
  <c r="X134" i="18"/>
  <c r="Z134" i="18" s="1"/>
  <c r="N134" i="18"/>
  <c r="L134" i="18"/>
  <c r="B134" i="18"/>
  <c r="X133" i="18"/>
  <c r="Z133" i="18" s="1"/>
  <c r="L133" i="18"/>
  <c r="N133" i="18" s="1"/>
  <c r="B133" i="18"/>
  <c r="Z132" i="18"/>
  <c r="X132" i="18"/>
  <c r="N132" i="18"/>
  <c r="L132" i="18"/>
  <c r="B132" i="18"/>
  <c r="X131" i="18"/>
  <c r="T131" i="18"/>
  <c r="Z131" i="18" s="1"/>
  <c r="P131" i="18"/>
  <c r="J131" i="18"/>
  <c r="H131" i="18"/>
  <c r="D131" i="18"/>
  <c r="L131" i="18" s="1"/>
  <c r="N131" i="18" s="1"/>
  <c r="X129" i="18"/>
  <c r="T129" i="18"/>
  <c r="P129" i="18"/>
  <c r="N129" i="18"/>
  <c r="L129" i="18"/>
  <c r="H129" i="18"/>
  <c r="D129" i="18"/>
  <c r="B129" i="18"/>
  <c r="T128" i="18"/>
  <c r="P128" i="18"/>
  <c r="N128" i="18"/>
  <c r="H128" i="18"/>
  <c r="D128" i="18"/>
  <c r="L128" i="18" s="1"/>
  <c r="B128" i="18"/>
  <c r="T127" i="18"/>
  <c r="P127" i="18"/>
  <c r="N127" i="18"/>
  <c r="H127" i="18"/>
  <c r="D127" i="18"/>
  <c r="L127" i="18" s="1"/>
  <c r="B127" i="18"/>
  <c r="X126" i="18"/>
  <c r="T126" i="18"/>
  <c r="P126" i="18"/>
  <c r="N126" i="18"/>
  <c r="L126" i="18"/>
  <c r="H126" i="18"/>
  <c r="D126" i="18"/>
  <c r="B126" i="18"/>
  <c r="X125" i="18"/>
  <c r="T125" i="18"/>
  <c r="P125" i="18"/>
  <c r="N125" i="18"/>
  <c r="L125" i="18"/>
  <c r="H125" i="18"/>
  <c r="D125" i="18"/>
  <c r="B125" i="18"/>
  <c r="T124" i="18"/>
  <c r="P124" i="18"/>
  <c r="N124" i="18"/>
  <c r="H124" i="18"/>
  <c r="D124" i="18"/>
  <c r="L124" i="18" s="1"/>
  <c r="B124" i="18"/>
  <c r="T123" i="18"/>
  <c r="P123" i="18"/>
  <c r="H123" i="18"/>
  <c r="D123" i="18"/>
  <c r="L123" i="18" s="1"/>
  <c r="N123" i="18" s="1"/>
  <c r="B123" i="18"/>
  <c r="X122" i="18"/>
  <c r="T122" i="18"/>
  <c r="Z122" i="18" s="1"/>
  <c r="P122" i="18"/>
  <c r="L122" i="18"/>
  <c r="N122" i="18" s="1"/>
  <c r="H122" i="18"/>
  <c r="D122" i="18"/>
  <c r="B122" i="18"/>
  <c r="X121" i="18"/>
  <c r="T121" i="18"/>
  <c r="P121" i="18"/>
  <c r="N121" i="18"/>
  <c r="L121" i="18"/>
  <c r="H121" i="18"/>
  <c r="D121" i="18"/>
  <c r="B121" i="18"/>
  <c r="T120" i="18"/>
  <c r="P120" i="18"/>
  <c r="N120" i="18"/>
  <c r="H120" i="18"/>
  <c r="D120" i="18"/>
  <c r="L120" i="18" s="1"/>
  <c r="B120" i="18"/>
  <c r="T119" i="18"/>
  <c r="P119" i="18"/>
  <c r="N119" i="18"/>
  <c r="H119" i="18"/>
  <c r="D119" i="18"/>
  <c r="L119" i="18" s="1"/>
  <c r="B119" i="18"/>
  <c r="X118" i="18"/>
  <c r="T118" i="18"/>
  <c r="Z118" i="18" s="1"/>
  <c r="P118" i="18"/>
  <c r="N118" i="18"/>
  <c r="L118" i="18"/>
  <c r="H118" i="18"/>
  <c r="D118" i="18"/>
  <c r="B118" i="18"/>
  <c r="X117" i="18"/>
  <c r="T117" i="18"/>
  <c r="Z117" i="18" s="1"/>
  <c r="P117" i="18"/>
  <c r="N117" i="18"/>
  <c r="L117" i="18"/>
  <c r="H117" i="18"/>
  <c r="D117" i="18"/>
  <c r="B117" i="18"/>
  <c r="T116" i="18"/>
  <c r="P116" i="18"/>
  <c r="H116" i="18"/>
  <c r="D116" i="18"/>
  <c r="L116" i="18" s="1"/>
  <c r="N116" i="18" s="1"/>
  <c r="B116" i="18"/>
  <c r="T115" i="18"/>
  <c r="P115" i="18"/>
  <c r="N115" i="18"/>
  <c r="H115" i="18"/>
  <c r="D115" i="18"/>
  <c r="L115" i="18" s="1"/>
  <c r="B115" i="18"/>
  <c r="X114" i="18"/>
  <c r="T114" i="18"/>
  <c r="P114" i="18"/>
  <c r="L114" i="18"/>
  <c r="N114" i="18" s="1"/>
  <c r="H114" i="18"/>
  <c r="D114" i="18"/>
  <c r="B114" i="18"/>
  <c r="X113" i="18"/>
  <c r="T113" i="18"/>
  <c r="P113" i="18"/>
  <c r="N113" i="18"/>
  <c r="L113" i="18"/>
  <c r="H113" i="18"/>
  <c r="D113" i="18"/>
  <c r="B113" i="18"/>
  <c r="T112" i="18"/>
  <c r="P112" i="18"/>
  <c r="N112" i="18"/>
  <c r="L112" i="18"/>
  <c r="H112" i="18"/>
  <c r="D112" i="18"/>
  <c r="B112" i="18"/>
  <c r="T111" i="18"/>
  <c r="P111" i="18"/>
  <c r="H111" i="18"/>
  <c r="D111" i="18"/>
  <c r="L111" i="18" s="1"/>
  <c r="N111" i="18" s="1"/>
  <c r="B111" i="18"/>
  <c r="X110" i="18"/>
  <c r="T110" i="18"/>
  <c r="Z110" i="18" s="1"/>
  <c r="P110" i="18"/>
  <c r="L110" i="18"/>
  <c r="N110" i="18" s="1"/>
  <c r="H110" i="18"/>
  <c r="D110" i="18"/>
  <c r="B110" i="18"/>
  <c r="X109" i="18"/>
  <c r="T109" i="18"/>
  <c r="P109" i="18"/>
  <c r="N109" i="18"/>
  <c r="L109" i="18"/>
  <c r="H109" i="18"/>
  <c r="D109" i="18"/>
  <c r="B109" i="18"/>
  <c r="T108" i="18"/>
  <c r="P108" i="18"/>
  <c r="N108" i="18"/>
  <c r="H108" i="18"/>
  <c r="D108" i="18"/>
  <c r="L108" i="18" s="1"/>
  <c r="B108" i="18"/>
  <c r="T107" i="18"/>
  <c r="P107" i="18"/>
  <c r="N107" i="18"/>
  <c r="H107" i="18"/>
  <c r="D107" i="18"/>
  <c r="L107" i="18" s="1"/>
  <c r="B107" i="18"/>
  <c r="X106" i="18"/>
  <c r="T106" i="18"/>
  <c r="P106" i="18"/>
  <c r="L106" i="18"/>
  <c r="N106" i="18" s="1"/>
  <c r="H106" i="18"/>
  <c r="D106" i="18"/>
  <c r="B106" i="18"/>
  <c r="X105" i="18"/>
  <c r="T105" i="18"/>
  <c r="P105" i="18"/>
  <c r="N105" i="18"/>
  <c r="L105" i="18"/>
  <c r="H105" i="18"/>
  <c r="D105" i="18"/>
  <c r="B105" i="18"/>
  <c r="T104" i="18"/>
  <c r="P104" i="18"/>
  <c r="H104" i="18"/>
  <c r="D104" i="18"/>
  <c r="L104" i="18" s="1"/>
  <c r="N104" i="18" s="1"/>
  <c r="B104" i="18"/>
  <c r="T103" i="18"/>
  <c r="P103" i="18"/>
  <c r="H103" i="18"/>
  <c r="D103" i="18"/>
  <c r="L103" i="18" s="1"/>
  <c r="N103" i="18" s="1"/>
  <c r="B103" i="18"/>
  <c r="X102" i="18"/>
  <c r="T102" i="18"/>
  <c r="P102" i="18"/>
  <c r="L102" i="18"/>
  <c r="N102" i="18" s="1"/>
  <c r="H102" i="18"/>
  <c r="D102" i="18"/>
  <c r="B102" i="18"/>
  <c r="T101" i="18"/>
  <c r="P101" i="18"/>
  <c r="N101" i="18"/>
  <c r="L101" i="18"/>
  <c r="H101" i="18"/>
  <c r="D101" i="18"/>
  <c r="B101" i="18"/>
  <c r="T100" i="18"/>
  <c r="P100" i="18"/>
  <c r="N100" i="18"/>
  <c r="H100" i="18"/>
  <c r="D100" i="18"/>
  <c r="L100" i="18" s="1"/>
  <c r="B100" i="18"/>
  <c r="T99" i="18"/>
  <c r="P99" i="18"/>
  <c r="H99" i="18"/>
  <c r="D99" i="18"/>
  <c r="L99" i="18" s="1"/>
  <c r="N99" i="18" s="1"/>
  <c r="B99" i="18"/>
  <c r="X98" i="18"/>
  <c r="T98" i="18"/>
  <c r="Z98" i="18" s="1"/>
  <c r="P98" i="18"/>
  <c r="L98" i="18"/>
  <c r="N98" i="18" s="1"/>
  <c r="H98" i="18"/>
  <c r="D98" i="18"/>
  <c r="B98" i="18"/>
  <c r="T97" i="18"/>
  <c r="X97" i="18" s="1"/>
  <c r="P97" i="18"/>
  <c r="N97" i="18"/>
  <c r="L97" i="18"/>
  <c r="H97" i="18"/>
  <c r="D97" i="18"/>
  <c r="B97" i="18"/>
  <c r="T96" i="18"/>
  <c r="P96" i="18"/>
  <c r="N96" i="18"/>
  <c r="H96" i="18"/>
  <c r="D96" i="18"/>
  <c r="L96" i="18" s="1"/>
  <c r="B96" i="18"/>
  <c r="T95" i="18"/>
  <c r="P95" i="18"/>
  <c r="H95" i="18"/>
  <c r="D95" i="18"/>
  <c r="L95" i="18" s="1"/>
  <c r="N95" i="18" s="1"/>
  <c r="B95" i="18"/>
  <c r="X94" i="18"/>
  <c r="T94" i="18"/>
  <c r="Z94" i="18" s="1"/>
  <c r="P94" i="18"/>
  <c r="L94" i="18"/>
  <c r="N94" i="18" s="1"/>
  <c r="H94" i="18"/>
  <c r="D94" i="18"/>
  <c r="B94" i="18"/>
  <c r="X93" i="18"/>
  <c r="T93" i="18"/>
  <c r="P93" i="18"/>
  <c r="N93" i="18"/>
  <c r="L93" i="18"/>
  <c r="H93" i="18"/>
  <c r="D93" i="18"/>
  <c r="B93" i="18"/>
  <c r="T92" i="18"/>
  <c r="P92" i="18"/>
  <c r="N92" i="18"/>
  <c r="L92" i="18"/>
  <c r="H92" i="18"/>
  <c r="D92" i="18"/>
  <c r="B92" i="18"/>
  <c r="T91" i="18"/>
  <c r="P91" i="18"/>
  <c r="N91" i="18"/>
  <c r="H91" i="18"/>
  <c r="D91" i="18"/>
  <c r="L91" i="18" s="1"/>
  <c r="B91" i="18"/>
  <c r="X90" i="18"/>
  <c r="T90" i="18"/>
  <c r="Z90" i="18" s="1"/>
  <c r="P90" i="18"/>
  <c r="N90" i="18"/>
  <c r="L90" i="18"/>
  <c r="H90" i="18"/>
  <c r="D90" i="18"/>
  <c r="B90" i="18"/>
  <c r="T89" i="18"/>
  <c r="P89" i="18"/>
  <c r="N89" i="18"/>
  <c r="L89" i="18"/>
  <c r="H89" i="18"/>
  <c r="D89" i="18"/>
  <c r="B89" i="18"/>
  <c r="T88" i="18"/>
  <c r="P88" i="18"/>
  <c r="N88" i="18"/>
  <c r="H88" i="18"/>
  <c r="D88" i="18"/>
  <c r="L88" i="18" s="1"/>
  <c r="B88" i="18"/>
  <c r="T87" i="18"/>
  <c r="P87" i="18"/>
  <c r="N87" i="18"/>
  <c r="H87" i="18"/>
  <c r="D87" i="18"/>
  <c r="L87" i="18" s="1"/>
  <c r="B87" i="18"/>
  <c r="X86" i="18"/>
  <c r="T86" i="18"/>
  <c r="Z86" i="18" s="1"/>
  <c r="P86" i="18"/>
  <c r="L86" i="18"/>
  <c r="N86" i="18" s="1"/>
  <c r="H86" i="18"/>
  <c r="D86" i="18"/>
  <c r="B86" i="18"/>
  <c r="T85" i="18"/>
  <c r="X85" i="18" s="1"/>
  <c r="P85" i="18"/>
  <c r="N85" i="18"/>
  <c r="L85" i="18"/>
  <c r="H85" i="18"/>
  <c r="D85" i="18"/>
  <c r="B85" i="18"/>
  <c r="T84" i="18"/>
  <c r="P84" i="18"/>
  <c r="N84" i="18"/>
  <c r="H84" i="18"/>
  <c r="D84" i="18"/>
  <c r="L84" i="18" s="1"/>
  <c r="B84" i="18"/>
  <c r="T83" i="18"/>
  <c r="P83" i="18"/>
  <c r="H83" i="18"/>
  <c r="D83" i="18"/>
  <c r="L83" i="18" s="1"/>
  <c r="N83" i="18" s="1"/>
  <c r="B83" i="18"/>
  <c r="X82" i="18"/>
  <c r="T82" i="18"/>
  <c r="Z82" i="18" s="1"/>
  <c r="P82" i="18"/>
  <c r="L82" i="18"/>
  <c r="N82" i="18" s="1"/>
  <c r="H82" i="18"/>
  <c r="D82" i="18"/>
  <c r="B82" i="18"/>
  <c r="X81" i="18"/>
  <c r="T81" i="18"/>
  <c r="P81" i="18"/>
  <c r="N81" i="18"/>
  <c r="L81" i="18"/>
  <c r="H81" i="18"/>
  <c r="D81" i="18"/>
  <c r="B81" i="18"/>
  <c r="T80" i="18"/>
  <c r="P80" i="18"/>
  <c r="N80" i="18"/>
  <c r="L80" i="18"/>
  <c r="H80" i="18"/>
  <c r="D80" i="18"/>
  <c r="B80" i="18"/>
  <c r="T79" i="18"/>
  <c r="P79" i="18"/>
  <c r="H79" i="18"/>
  <c r="D79" i="18"/>
  <c r="B79" i="18"/>
  <c r="T78" i="18"/>
  <c r="X78" i="18" s="1"/>
  <c r="P78" i="18"/>
  <c r="L78" i="18"/>
  <c r="N78" i="18" s="1"/>
  <c r="H78" i="18"/>
  <c r="D78" i="18"/>
  <c r="B78" i="18"/>
  <c r="T77" i="18"/>
  <c r="P77" i="18"/>
  <c r="N77" i="18"/>
  <c r="L77" i="18"/>
  <c r="H77" i="18"/>
  <c r="D77" i="18"/>
  <c r="B77" i="18"/>
  <c r="T76" i="18"/>
  <c r="P76" i="18"/>
  <c r="H76" i="18"/>
  <c r="D76" i="18"/>
  <c r="L76" i="18" s="1"/>
  <c r="N76" i="18" s="1"/>
  <c r="B76" i="18"/>
  <c r="T75" i="18"/>
  <c r="P75" i="18"/>
  <c r="N75" i="18"/>
  <c r="H75" i="18"/>
  <c r="D75" i="18"/>
  <c r="L75" i="18" s="1"/>
  <c r="B75" i="18"/>
  <c r="T74" i="18"/>
  <c r="P74" i="18"/>
  <c r="L74" i="18"/>
  <c r="N74" i="18" s="1"/>
  <c r="H74" i="18"/>
  <c r="D74" i="18"/>
  <c r="B74" i="18"/>
  <c r="T73" i="18"/>
  <c r="X73" i="18" s="1"/>
  <c r="P73" i="18"/>
  <c r="N73" i="18"/>
  <c r="L73" i="18"/>
  <c r="H73" i="18"/>
  <c r="D73" i="18"/>
  <c r="B73" i="18"/>
  <c r="T72" i="18"/>
  <c r="P72" i="18"/>
  <c r="H72" i="18"/>
  <c r="D72" i="18"/>
  <c r="L72" i="18" s="1"/>
  <c r="N72" i="18" s="1"/>
  <c r="B72" i="18"/>
  <c r="T71" i="18"/>
  <c r="P71" i="18"/>
  <c r="H71" i="18"/>
  <c r="D71" i="18"/>
  <c r="L71" i="18" s="1"/>
  <c r="N71" i="18" s="1"/>
  <c r="B71" i="18"/>
  <c r="T70" i="18"/>
  <c r="P70" i="18"/>
  <c r="L70" i="18"/>
  <c r="N70" i="18" s="1"/>
  <c r="H70" i="18"/>
  <c r="D70" i="18"/>
  <c r="B70" i="18"/>
  <c r="X69" i="18"/>
  <c r="T69" i="18"/>
  <c r="P69" i="18"/>
  <c r="L69" i="18"/>
  <c r="N69" i="18" s="1"/>
  <c r="H69" i="18"/>
  <c r="D69" i="18"/>
  <c r="B69" i="18"/>
  <c r="T68" i="18"/>
  <c r="P68" i="18"/>
  <c r="N68" i="18"/>
  <c r="L68" i="18"/>
  <c r="H68" i="18"/>
  <c r="D68" i="18"/>
  <c r="B68" i="18"/>
  <c r="T67" i="18"/>
  <c r="P67" i="18"/>
  <c r="N67" i="18"/>
  <c r="L67" i="18"/>
  <c r="H67" i="18"/>
  <c r="D67" i="18"/>
  <c r="B67" i="18"/>
  <c r="X66" i="18"/>
  <c r="T66" i="18"/>
  <c r="P66" i="18"/>
  <c r="N66" i="18"/>
  <c r="L66" i="18"/>
  <c r="H66" i="18"/>
  <c r="D66" i="18"/>
  <c r="B66" i="18"/>
  <c r="X65" i="18"/>
  <c r="T65" i="18"/>
  <c r="P65" i="18"/>
  <c r="L65" i="18"/>
  <c r="N65" i="18" s="1"/>
  <c r="H65" i="18"/>
  <c r="D65" i="18"/>
  <c r="B65" i="18"/>
  <c r="T64" i="18"/>
  <c r="P64" i="18"/>
  <c r="N64" i="18"/>
  <c r="L64" i="18"/>
  <c r="H64" i="18"/>
  <c r="D64" i="18"/>
  <c r="B64" i="18"/>
  <c r="T63" i="18"/>
  <c r="P63" i="18"/>
  <c r="L63" i="18"/>
  <c r="N63" i="18" s="1"/>
  <c r="H63" i="18"/>
  <c r="D63" i="18"/>
  <c r="B63" i="18"/>
  <c r="T62" i="18"/>
  <c r="P62" i="18"/>
  <c r="N62" i="18"/>
  <c r="L62" i="18"/>
  <c r="H62" i="18"/>
  <c r="D62" i="18"/>
  <c r="B62" i="18"/>
  <c r="X61" i="18"/>
  <c r="T61" i="18"/>
  <c r="P61" i="18"/>
  <c r="N61" i="18"/>
  <c r="L61" i="18"/>
  <c r="H61" i="18"/>
  <c r="D61" i="18"/>
  <c r="B61" i="18"/>
  <c r="T60" i="18"/>
  <c r="P60" i="18"/>
  <c r="L60" i="18"/>
  <c r="N60" i="18" s="1"/>
  <c r="H60" i="18"/>
  <c r="D60" i="18"/>
  <c r="B60" i="18"/>
  <c r="T59" i="18"/>
  <c r="P59" i="18"/>
  <c r="N59" i="18"/>
  <c r="L59" i="18"/>
  <c r="H59" i="18"/>
  <c r="D59" i="18"/>
  <c r="B59" i="18"/>
  <c r="T58" i="18"/>
  <c r="P58" i="18"/>
  <c r="L58" i="18"/>
  <c r="N58" i="18" s="1"/>
  <c r="H58" i="18"/>
  <c r="D58" i="18"/>
  <c r="B58" i="18"/>
  <c r="T57" i="18"/>
  <c r="P57" i="18"/>
  <c r="N57" i="18"/>
  <c r="L57" i="18"/>
  <c r="H57" i="18"/>
  <c r="D57" i="18"/>
  <c r="B57" i="18"/>
  <c r="T56" i="18"/>
  <c r="P56" i="18"/>
  <c r="H56" i="18"/>
  <c r="D56" i="18"/>
  <c r="L56" i="18" s="1"/>
  <c r="N56" i="18" s="1"/>
  <c r="B56" i="18"/>
  <c r="T55" i="18"/>
  <c r="P55" i="18"/>
  <c r="H55" i="18"/>
  <c r="D55" i="18"/>
  <c r="L55" i="18" s="1"/>
  <c r="N55" i="18" s="1"/>
  <c r="B55" i="18"/>
  <c r="T54" i="18"/>
  <c r="P54" i="18"/>
  <c r="L54" i="18"/>
  <c r="N54" i="18" s="1"/>
  <c r="H54" i="18"/>
  <c r="D54" i="18"/>
  <c r="B54" i="18"/>
  <c r="T53" i="18"/>
  <c r="X53" i="18" s="1"/>
  <c r="P53" i="18"/>
  <c r="N53" i="18"/>
  <c r="L53" i="18"/>
  <c r="H53" i="18"/>
  <c r="D53" i="18"/>
  <c r="B53" i="18"/>
  <c r="T52" i="18"/>
  <c r="P52" i="18"/>
  <c r="N52" i="18"/>
  <c r="H52" i="18"/>
  <c r="D52" i="18"/>
  <c r="L52" i="18" s="1"/>
  <c r="B52" i="18"/>
  <c r="T51" i="18"/>
  <c r="P51" i="18"/>
  <c r="H51" i="18"/>
  <c r="D51" i="18"/>
  <c r="L51" i="18" s="1"/>
  <c r="N51" i="18" s="1"/>
  <c r="B51" i="18"/>
  <c r="T50" i="18"/>
  <c r="P50" i="18"/>
  <c r="L50" i="18"/>
  <c r="N50" i="18" s="1"/>
  <c r="H50" i="18"/>
  <c r="D50" i="18"/>
  <c r="B50" i="18"/>
  <c r="X49" i="18"/>
  <c r="T49" i="18"/>
  <c r="P49" i="18"/>
  <c r="N49" i="18"/>
  <c r="L49" i="18"/>
  <c r="H49" i="18"/>
  <c r="D49" i="18"/>
  <c r="B49" i="18"/>
  <c r="T48" i="18"/>
  <c r="P48" i="18"/>
  <c r="N48" i="18"/>
  <c r="L48" i="18"/>
  <c r="H48" i="18"/>
  <c r="D48" i="18"/>
  <c r="B48" i="18"/>
  <c r="T47" i="18"/>
  <c r="P47" i="18"/>
  <c r="L47" i="18"/>
  <c r="N47" i="18" s="1"/>
  <c r="H47" i="18"/>
  <c r="D47" i="18"/>
  <c r="B47" i="18"/>
  <c r="T46" i="18"/>
  <c r="P46" i="18"/>
  <c r="L46" i="18"/>
  <c r="N46" i="18" s="1"/>
  <c r="H46" i="18"/>
  <c r="D46" i="18"/>
  <c r="B46" i="18"/>
  <c r="T45" i="18"/>
  <c r="P45" i="18"/>
  <c r="N45" i="18"/>
  <c r="L45" i="18"/>
  <c r="H45" i="18"/>
  <c r="D45" i="18"/>
  <c r="B45" i="18"/>
  <c r="T44" i="18"/>
  <c r="P44" i="18"/>
  <c r="N44" i="18"/>
  <c r="H44" i="18"/>
  <c r="D44" i="18"/>
  <c r="L44" i="18" s="1"/>
  <c r="B44" i="18"/>
  <c r="T43" i="18"/>
  <c r="P43" i="18"/>
  <c r="H43" i="18"/>
  <c r="D43" i="18"/>
  <c r="L43" i="18" s="1"/>
  <c r="N43" i="18" s="1"/>
  <c r="B43" i="18"/>
  <c r="T42" i="18"/>
  <c r="P42" i="18"/>
  <c r="L42" i="18"/>
  <c r="N42" i="18" s="1"/>
  <c r="H42" i="18"/>
  <c r="D42" i="18"/>
  <c r="B42" i="18"/>
  <c r="T41" i="18"/>
  <c r="X41" i="18" s="1"/>
  <c r="P41" i="18"/>
  <c r="N41" i="18"/>
  <c r="L41" i="18"/>
  <c r="H41" i="18"/>
  <c r="D41" i="18"/>
  <c r="B41" i="18"/>
  <c r="T40" i="18"/>
  <c r="P40" i="18"/>
  <c r="N40" i="18"/>
  <c r="H40" i="18"/>
  <c r="D40" i="18"/>
  <c r="L40" i="18" s="1"/>
  <c r="B40" i="18"/>
  <c r="T39" i="18"/>
  <c r="P39" i="18"/>
  <c r="H39" i="18"/>
  <c r="D39" i="18"/>
  <c r="L39" i="18" s="1"/>
  <c r="N39" i="18" s="1"/>
  <c r="B39" i="18"/>
  <c r="T38" i="18"/>
  <c r="P38" i="18"/>
  <c r="L38" i="18"/>
  <c r="N38" i="18" s="1"/>
  <c r="H38" i="18"/>
  <c r="D38" i="18"/>
  <c r="B38" i="18"/>
  <c r="X37" i="18"/>
  <c r="T37" i="18"/>
  <c r="P37" i="18"/>
  <c r="L37" i="18"/>
  <c r="N37" i="18" s="1"/>
  <c r="H37" i="18"/>
  <c r="D37" i="18"/>
  <c r="B37" i="18"/>
  <c r="T36" i="18"/>
  <c r="P36" i="18"/>
  <c r="N36" i="18"/>
  <c r="L36" i="18"/>
  <c r="H36" i="18"/>
  <c r="D36" i="18"/>
  <c r="B36" i="18"/>
  <c r="T35" i="18"/>
  <c r="P35" i="18"/>
  <c r="L35" i="18"/>
  <c r="N35" i="18" s="1"/>
  <c r="H35" i="18"/>
  <c r="D35" i="18"/>
  <c r="B35" i="18"/>
  <c r="T34" i="18"/>
  <c r="P34" i="18"/>
  <c r="L34" i="18"/>
  <c r="N34" i="18" s="1"/>
  <c r="H34" i="18"/>
  <c r="D34" i="18"/>
  <c r="B34" i="18"/>
  <c r="T33" i="18"/>
  <c r="P33" i="18"/>
  <c r="N33" i="18"/>
  <c r="L33" i="18"/>
  <c r="H33" i="18"/>
  <c r="D33" i="18"/>
  <c r="B33" i="18"/>
  <c r="T32" i="18"/>
  <c r="P32" i="18"/>
  <c r="N32" i="18"/>
  <c r="H32" i="18"/>
  <c r="D32" i="18"/>
  <c r="L32" i="18" s="1"/>
  <c r="B32" i="18"/>
  <c r="T31" i="18"/>
  <c r="P31" i="18"/>
  <c r="N31" i="18"/>
  <c r="L31" i="18"/>
  <c r="H31" i="18"/>
  <c r="D31" i="18"/>
  <c r="B31" i="18"/>
  <c r="X30" i="18"/>
  <c r="T30" i="18"/>
  <c r="P30" i="18"/>
  <c r="N30" i="18"/>
  <c r="L30" i="18"/>
  <c r="H30" i="18"/>
  <c r="D30" i="18"/>
  <c r="B30" i="18"/>
  <c r="X29" i="18"/>
  <c r="T29" i="18"/>
  <c r="P29" i="18"/>
  <c r="N29" i="18"/>
  <c r="L29" i="18"/>
  <c r="H29" i="18"/>
  <c r="D29" i="18"/>
  <c r="B29" i="18"/>
  <c r="T28" i="18"/>
  <c r="P28" i="18"/>
  <c r="N28" i="18"/>
  <c r="H28" i="18"/>
  <c r="D28" i="18"/>
  <c r="L28" i="18" s="1"/>
  <c r="B28" i="18"/>
  <c r="T27" i="18"/>
  <c r="P27" i="18"/>
  <c r="H27" i="18"/>
  <c r="D27" i="18"/>
  <c r="L27" i="18" s="1"/>
  <c r="N27" i="18" s="1"/>
  <c r="B27" i="18"/>
  <c r="X26" i="18"/>
  <c r="T26" i="18"/>
  <c r="P26" i="18"/>
  <c r="L26" i="18"/>
  <c r="N26" i="18" s="1"/>
  <c r="H26" i="18"/>
  <c r="D26" i="18"/>
  <c r="B26" i="18"/>
  <c r="X25" i="18"/>
  <c r="T25" i="18"/>
  <c r="P25" i="18"/>
  <c r="L25" i="18"/>
  <c r="N25" i="18" s="1"/>
  <c r="H25" i="18"/>
  <c r="D25" i="18"/>
  <c r="B25" i="18"/>
  <c r="T24" i="18"/>
  <c r="P24" i="18"/>
  <c r="H24" i="18"/>
  <c r="D24" i="18"/>
  <c r="L24" i="18" s="1"/>
  <c r="N24" i="18" s="1"/>
  <c r="B24" i="18"/>
  <c r="T23" i="18"/>
  <c r="P23" i="18"/>
  <c r="N23" i="18"/>
  <c r="H23" i="18"/>
  <c r="D23" i="18"/>
  <c r="L23" i="18" s="1"/>
  <c r="B23" i="18"/>
  <c r="X22" i="18"/>
  <c r="T22" i="18"/>
  <c r="P22" i="18"/>
  <c r="L22" i="18"/>
  <c r="N22" i="18" s="1"/>
  <c r="H22" i="18"/>
  <c r="D22" i="18"/>
  <c r="B22" i="18"/>
  <c r="X21" i="18"/>
  <c r="T21" i="18"/>
  <c r="P21" i="18"/>
  <c r="N21" i="18"/>
  <c r="L21" i="18"/>
  <c r="H21" i="18"/>
  <c r="D21" i="18"/>
  <c r="B21" i="18"/>
  <c r="T20" i="18"/>
  <c r="P20" i="18"/>
  <c r="L20" i="18"/>
  <c r="N20" i="18" s="1"/>
  <c r="H20" i="18"/>
  <c r="D20" i="18"/>
  <c r="B20" i="18"/>
  <c r="T19" i="18"/>
  <c r="P19" i="18"/>
  <c r="N19" i="18"/>
  <c r="H19" i="18"/>
  <c r="D19" i="18"/>
  <c r="L19" i="18" s="1"/>
  <c r="B19" i="18"/>
  <c r="T18" i="18"/>
  <c r="P18" i="18"/>
  <c r="N18" i="18"/>
  <c r="L18" i="18"/>
  <c r="H18" i="18"/>
  <c r="D18" i="18"/>
  <c r="B18" i="18"/>
  <c r="T17" i="18"/>
  <c r="P17" i="18"/>
  <c r="N17" i="18"/>
  <c r="L17" i="18"/>
  <c r="H17" i="18"/>
  <c r="D17" i="18"/>
  <c r="B17" i="18"/>
  <c r="T16" i="18"/>
  <c r="P16" i="18"/>
  <c r="H16" i="18"/>
  <c r="D16" i="18"/>
  <c r="L16" i="18" s="1"/>
  <c r="N16" i="18" s="1"/>
  <c r="B16" i="18"/>
  <c r="T15" i="18"/>
  <c r="P15" i="18"/>
  <c r="L15" i="18"/>
  <c r="N15" i="18" s="1"/>
  <c r="H15" i="18"/>
  <c r="D15" i="18"/>
  <c r="B15" i="18"/>
  <c r="X14" i="18"/>
  <c r="T14" i="18"/>
  <c r="P14" i="18"/>
  <c r="L14" i="18"/>
  <c r="N14" i="18" s="1"/>
  <c r="H14" i="18"/>
  <c r="D14" i="18"/>
  <c r="B14" i="18"/>
  <c r="T13" i="18"/>
  <c r="P13" i="18"/>
  <c r="P12" i="18" s="1"/>
  <c r="N13" i="18"/>
  <c r="L13" i="18"/>
  <c r="H13" i="18"/>
  <c r="D13" i="18"/>
  <c r="B13" i="18"/>
  <c r="H12" i="18"/>
  <c r="J292" i="18" s="1"/>
  <c r="D4" i="18"/>
  <c r="Z274" i="15"/>
  <c r="X274" i="15"/>
  <c r="L274" i="15"/>
  <c r="N274" i="15" s="1"/>
  <c r="T270" i="15"/>
  <c r="P270" i="15"/>
  <c r="H270" i="15"/>
  <c r="D270" i="15"/>
  <c r="B270" i="15"/>
  <c r="T269" i="15"/>
  <c r="P269" i="15"/>
  <c r="H269" i="15"/>
  <c r="N269" i="15" s="1"/>
  <c r="D269" i="15"/>
  <c r="L269" i="15" s="1"/>
  <c r="B269" i="15"/>
  <c r="X268" i="15"/>
  <c r="T268" i="15"/>
  <c r="Z268" i="15" s="1"/>
  <c r="P268" i="15"/>
  <c r="H268" i="15"/>
  <c r="N268" i="15" s="1"/>
  <c r="D268" i="15"/>
  <c r="L268" i="15" s="1"/>
  <c r="B268" i="15"/>
  <c r="T267" i="15"/>
  <c r="X267" i="15" s="1"/>
  <c r="P267" i="15"/>
  <c r="H267" i="15"/>
  <c r="D267" i="15"/>
  <c r="B267" i="15"/>
  <c r="T266" i="15"/>
  <c r="P266" i="15"/>
  <c r="H266" i="15"/>
  <c r="N266" i="15" s="1"/>
  <c r="D266" i="15"/>
  <c r="L266" i="15" s="1"/>
  <c r="B266" i="15"/>
  <c r="T265" i="15"/>
  <c r="P265" i="15"/>
  <c r="X265" i="15" s="1"/>
  <c r="H265" i="15"/>
  <c r="D265" i="15"/>
  <c r="L265" i="15" s="1"/>
  <c r="N265" i="15" s="1"/>
  <c r="B265" i="15"/>
  <c r="T264" i="15"/>
  <c r="P264" i="15"/>
  <c r="L264" i="15"/>
  <c r="H264" i="15"/>
  <c r="N264" i="15" s="1"/>
  <c r="D264" i="15"/>
  <c r="B264" i="15"/>
  <c r="T263" i="15"/>
  <c r="T261" i="15" s="1"/>
  <c r="P263" i="15"/>
  <c r="H263" i="15"/>
  <c r="N263" i="15" s="1"/>
  <c r="D263" i="15"/>
  <c r="L263" i="15" s="1"/>
  <c r="B263" i="15"/>
  <c r="T262" i="15"/>
  <c r="P262" i="15"/>
  <c r="P261" i="15" s="1"/>
  <c r="X261" i="15" s="1"/>
  <c r="Z261" i="15" s="1"/>
  <c r="H262" i="15"/>
  <c r="D262" i="15"/>
  <c r="L262" i="15" s="1"/>
  <c r="B262" i="15"/>
  <c r="X259" i="15"/>
  <c r="Z259" i="15" s="1"/>
  <c r="L259" i="15"/>
  <c r="N259" i="15" s="1"/>
  <c r="B259" i="15"/>
  <c r="T258" i="15"/>
  <c r="P258" i="15"/>
  <c r="X258" i="15" s="1"/>
  <c r="H258" i="15"/>
  <c r="D258" i="15"/>
  <c r="B258" i="15"/>
  <c r="Z257" i="15"/>
  <c r="X257" i="15"/>
  <c r="N257" i="15"/>
  <c r="L257" i="15"/>
  <c r="B257" i="15"/>
  <c r="Z256" i="15"/>
  <c r="X256" i="15"/>
  <c r="N256" i="15"/>
  <c r="L256" i="15"/>
  <c r="B256" i="15"/>
  <c r="X255" i="15"/>
  <c r="Z255" i="15" s="1"/>
  <c r="N255" i="15"/>
  <c r="L255" i="15"/>
  <c r="B255" i="15"/>
  <c r="X254" i="15"/>
  <c r="Z254" i="15" s="1"/>
  <c r="T254" i="15"/>
  <c r="P254" i="15"/>
  <c r="N254" i="15"/>
  <c r="H254" i="15"/>
  <c r="D254" i="15"/>
  <c r="L254" i="15" s="1"/>
  <c r="B254" i="15"/>
  <c r="Z253" i="15"/>
  <c r="X253" i="15"/>
  <c r="L253" i="15"/>
  <c r="N253" i="15" s="1"/>
  <c r="B253" i="15"/>
  <c r="T252" i="15"/>
  <c r="P252" i="15"/>
  <c r="H252" i="15"/>
  <c r="D252" i="15"/>
  <c r="L252" i="15" s="1"/>
  <c r="N252" i="15" s="1"/>
  <c r="B252" i="15"/>
  <c r="X251" i="15"/>
  <c r="Z251" i="15" s="1"/>
  <c r="L251" i="15"/>
  <c r="N251" i="15" s="1"/>
  <c r="B251" i="15"/>
  <c r="X250" i="15"/>
  <c r="Z250" i="15" s="1"/>
  <c r="L250" i="15"/>
  <c r="N250" i="15" s="1"/>
  <c r="B250" i="15"/>
  <c r="X249" i="15"/>
  <c r="Z249" i="15" s="1"/>
  <c r="T249" i="15"/>
  <c r="P249" i="15"/>
  <c r="L249" i="15"/>
  <c r="N249" i="15" s="1"/>
  <c r="H249" i="15"/>
  <c r="D249" i="15"/>
  <c r="B249" i="15"/>
  <c r="Z248" i="15"/>
  <c r="X248" i="15"/>
  <c r="N248" i="15"/>
  <c r="L248" i="15"/>
  <c r="B248" i="15"/>
  <c r="X247" i="15"/>
  <c r="Z247" i="15" s="1"/>
  <c r="N247" i="15"/>
  <c r="L247" i="15"/>
  <c r="B247" i="15"/>
  <c r="Z246" i="15"/>
  <c r="X246" i="15"/>
  <c r="L246" i="15"/>
  <c r="N246" i="15" s="1"/>
  <c r="B246" i="15"/>
  <c r="Z245" i="15"/>
  <c r="X245" i="15"/>
  <c r="N245" i="15"/>
  <c r="L245" i="15"/>
  <c r="B245" i="15"/>
  <c r="Z244" i="15"/>
  <c r="X244" i="15"/>
  <c r="L244" i="15"/>
  <c r="N244" i="15" s="1"/>
  <c r="B244" i="15"/>
  <c r="X243" i="15"/>
  <c r="Z243" i="15" s="1"/>
  <c r="N243" i="15"/>
  <c r="L243" i="15"/>
  <c r="B243" i="15"/>
  <c r="X242" i="15"/>
  <c r="Z242" i="15" s="1"/>
  <c r="L242" i="15"/>
  <c r="N242" i="15" s="1"/>
  <c r="B242" i="15"/>
  <c r="Z241" i="15"/>
  <c r="X241" i="15"/>
  <c r="N241" i="15"/>
  <c r="L241" i="15"/>
  <c r="B241" i="15"/>
  <c r="T240" i="15"/>
  <c r="P240" i="15"/>
  <c r="X240" i="15" s="1"/>
  <c r="Z240" i="15" s="1"/>
  <c r="L240" i="15"/>
  <c r="N240" i="15" s="1"/>
  <c r="H240" i="15"/>
  <c r="D240" i="15"/>
  <c r="B240" i="15"/>
  <c r="Z239" i="15"/>
  <c r="X239" i="15"/>
  <c r="N239" i="15"/>
  <c r="L239" i="15"/>
  <c r="B239" i="15"/>
  <c r="X238" i="15"/>
  <c r="Z238" i="15" s="1"/>
  <c r="L238" i="15"/>
  <c r="N238" i="15" s="1"/>
  <c r="B238" i="15"/>
  <c r="T237" i="15"/>
  <c r="P237" i="15"/>
  <c r="X237" i="15" s="1"/>
  <c r="Z237" i="15" s="1"/>
  <c r="H237" i="15"/>
  <c r="N237" i="15" s="1"/>
  <c r="D237" i="15"/>
  <c r="L237" i="15" s="1"/>
  <c r="B237" i="15"/>
  <c r="Z236" i="15"/>
  <c r="X236" i="15"/>
  <c r="N236" i="15"/>
  <c r="L236" i="15"/>
  <c r="B236" i="15"/>
  <c r="X235" i="15"/>
  <c r="Z235" i="15" s="1"/>
  <c r="L235" i="15"/>
  <c r="N235" i="15" s="1"/>
  <c r="B235" i="15"/>
  <c r="X234" i="15"/>
  <c r="Z234" i="15" s="1"/>
  <c r="N234" i="15"/>
  <c r="L234" i="15"/>
  <c r="B234" i="15"/>
  <c r="Z233" i="15"/>
  <c r="X233" i="15"/>
  <c r="N233" i="15"/>
  <c r="L233" i="15"/>
  <c r="B233" i="15"/>
  <c r="T232" i="15"/>
  <c r="P232" i="15"/>
  <c r="X232" i="15" s="1"/>
  <c r="H232" i="15"/>
  <c r="D232" i="15"/>
  <c r="L232" i="15" s="1"/>
  <c r="B232" i="15"/>
  <c r="X231" i="15"/>
  <c r="Z231" i="15" s="1"/>
  <c r="N231" i="15"/>
  <c r="L231" i="15"/>
  <c r="B231" i="15"/>
  <c r="Z230" i="15"/>
  <c r="X230" i="15"/>
  <c r="N230" i="15"/>
  <c r="L230" i="15"/>
  <c r="B230" i="15"/>
  <c r="Z229" i="15"/>
  <c r="X229" i="15"/>
  <c r="N229" i="15"/>
  <c r="L229" i="15"/>
  <c r="B229" i="15"/>
  <c r="T228" i="15"/>
  <c r="P228" i="15"/>
  <c r="X228" i="15" s="1"/>
  <c r="Z228" i="15" s="1"/>
  <c r="N228" i="15"/>
  <c r="L228" i="15"/>
  <c r="H228" i="15"/>
  <c r="D228" i="15"/>
  <c r="B228" i="15"/>
  <c r="Z227" i="15"/>
  <c r="X227" i="15"/>
  <c r="L227" i="15"/>
  <c r="N227" i="15" s="1"/>
  <c r="B227" i="15"/>
  <c r="X226" i="15"/>
  <c r="Z226" i="15" s="1"/>
  <c r="L226" i="15"/>
  <c r="N226" i="15" s="1"/>
  <c r="B226" i="15"/>
  <c r="Z225" i="15"/>
  <c r="X225" i="15"/>
  <c r="N225" i="15"/>
  <c r="L225" i="15"/>
  <c r="B225" i="15"/>
  <c r="X224" i="15"/>
  <c r="Z224" i="15" s="1"/>
  <c r="N224" i="15"/>
  <c r="L224" i="15"/>
  <c r="B224" i="15"/>
  <c r="T223" i="15"/>
  <c r="P223" i="15"/>
  <c r="X223" i="15" s="1"/>
  <c r="N223" i="15"/>
  <c r="H223" i="15"/>
  <c r="D223" i="15"/>
  <c r="L223" i="15" s="1"/>
  <c r="B223" i="15"/>
  <c r="X222" i="15"/>
  <c r="Z222" i="15" s="1"/>
  <c r="L222" i="15"/>
  <c r="N222" i="15" s="1"/>
  <c r="B222" i="15"/>
  <c r="Z221" i="15"/>
  <c r="X221" i="15"/>
  <c r="T221" i="15"/>
  <c r="P221" i="15"/>
  <c r="L221" i="15"/>
  <c r="N221" i="15" s="1"/>
  <c r="H221" i="15"/>
  <c r="D221" i="15"/>
  <c r="B221" i="15"/>
  <c r="Z220" i="15"/>
  <c r="X220" i="15"/>
  <c r="N220" i="15"/>
  <c r="L220" i="15"/>
  <c r="B220" i="15"/>
  <c r="T219" i="15"/>
  <c r="X219" i="15" s="1"/>
  <c r="P219" i="15"/>
  <c r="H219" i="15"/>
  <c r="D219" i="15"/>
  <c r="B219" i="15"/>
  <c r="Z218" i="15"/>
  <c r="X218" i="15"/>
  <c r="N218" i="15"/>
  <c r="L218" i="15"/>
  <c r="B218" i="15"/>
  <c r="Z217" i="15"/>
  <c r="X217" i="15"/>
  <c r="N217" i="15"/>
  <c r="L217" i="15"/>
  <c r="B217" i="15"/>
  <c r="X216" i="15"/>
  <c r="Z216" i="15" s="1"/>
  <c r="N216" i="15"/>
  <c r="L216" i="15"/>
  <c r="B216" i="15"/>
  <c r="T215" i="15"/>
  <c r="P215" i="15"/>
  <c r="X215" i="15" s="1"/>
  <c r="N215" i="15"/>
  <c r="H215" i="15"/>
  <c r="D215" i="15"/>
  <c r="L215" i="15" s="1"/>
  <c r="B215" i="15"/>
  <c r="X214" i="15"/>
  <c r="Z214" i="15" s="1"/>
  <c r="L214" i="15"/>
  <c r="N214" i="15" s="1"/>
  <c r="B214" i="15"/>
  <c r="Z213" i="15"/>
  <c r="X213" i="15"/>
  <c r="T213" i="15"/>
  <c r="P213" i="15"/>
  <c r="L213" i="15"/>
  <c r="N213" i="15" s="1"/>
  <c r="H213" i="15"/>
  <c r="D213" i="15"/>
  <c r="B213" i="15"/>
  <c r="Z212" i="15"/>
  <c r="X212" i="15"/>
  <c r="L212" i="15"/>
  <c r="N212" i="15" s="1"/>
  <c r="B212" i="15"/>
  <c r="T211" i="15"/>
  <c r="X211" i="15" s="1"/>
  <c r="P211" i="15"/>
  <c r="H211" i="15"/>
  <c r="D211" i="15"/>
  <c r="B211" i="15"/>
  <c r="X210" i="15"/>
  <c r="Z210" i="15" s="1"/>
  <c r="L210" i="15"/>
  <c r="N210" i="15" s="1"/>
  <c r="B210" i="15"/>
  <c r="Z209" i="15"/>
  <c r="X209" i="15"/>
  <c r="N209" i="15"/>
  <c r="L209" i="15"/>
  <c r="B209" i="15"/>
  <c r="T208" i="15"/>
  <c r="P208" i="15"/>
  <c r="L208" i="15"/>
  <c r="N208" i="15" s="1"/>
  <c r="H208" i="15"/>
  <c r="D208" i="15"/>
  <c r="B208" i="15"/>
  <c r="X207" i="15"/>
  <c r="Z207" i="15" s="1"/>
  <c r="L207" i="15"/>
  <c r="N207" i="15" s="1"/>
  <c r="B207" i="15"/>
  <c r="T206" i="15"/>
  <c r="Z206" i="15" s="1"/>
  <c r="P206" i="15"/>
  <c r="X206" i="15" s="1"/>
  <c r="H206" i="15"/>
  <c r="D206" i="15"/>
  <c r="B206" i="15"/>
  <c r="Z205" i="15"/>
  <c r="X205" i="15"/>
  <c r="N205" i="15"/>
  <c r="L205" i="15"/>
  <c r="B205" i="15"/>
  <c r="T204" i="15"/>
  <c r="P204" i="15"/>
  <c r="X204" i="15" s="1"/>
  <c r="Z204" i="15" s="1"/>
  <c r="N204" i="15"/>
  <c r="L204" i="15"/>
  <c r="H204" i="15"/>
  <c r="D204" i="15"/>
  <c r="B204" i="15"/>
  <c r="Z203" i="15"/>
  <c r="X203" i="15"/>
  <c r="L203" i="15"/>
  <c r="N203" i="15" s="1"/>
  <c r="B203" i="15"/>
  <c r="X202" i="15"/>
  <c r="Z202" i="15" s="1"/>
  <c r="T202" i="15"/>
  <c r="P202" i="15"/>
  <c r="H202" i="15"/>
  <c r="D202" i="15"/>
  <c r="B202" i="15"/>
  <c r="Z201" i="15"/>
  <c r="X201" i="15"/>
  <c r="N201" i="15"/>
  <c r="L201" i="15"/>
  <c r="B201" i="15"/>
  <c r="X200" i="15"/>
  <c r="Z200" i="15" s="1"/>
  <c r="N200" i="15"/>
  <c r="L200" i="15"/>
  <c r="B200" i="15"/>
  <c r="X199" i="15"/>
  <c r="Z199" i="15" s="1"/>
  <c r="T199" i="15"/>
  <c r="P199" i="15"/>
  <c r="N199" i="15"/>
  <c r="L199" i="15"/>
  <c r="H199" i="15"/>
  <c r="D199" i="15"/>
  <c r="B199" i="15"/>
  <c r="Z198" i="15"/>
  <c r="X198" i="15"/>
  <c r="N198" i="15"/>
  <c r="L198" i="15"/>
  <c r="B198" i="15"/>
  <c r="Z197" i="15"/>
  <c r="X197" i="15"/>
  <c r="N197" i="15"/>
  <c r="L197" i="15"/>
  <c r="B197" i="15"/>
  <c r="Z196" i="15"/>
  <c r="X196" i="15"/>
  <c r="L196" i="15"/>
  <c r="N196" i="15" s="1"/>
  <c r="B196" i="15"/>
  <c r="T195" i="15"/>
  <c r="X195" i="15" s="1"/>
  <c r="P195" i="15"/>
  <c r="H195" i="15"/>
  <c r="D195" i="15"/>
  <c r="B195" i="15"/>
  <c r="X194" i="15"/>
  <c r="Z194" i="15" s="1"/>
  <c r="L194" i="15"/>
  <c r="N194" i="15" s="1"/>
  <c r="B194" i="15"/>
  <c r="T193" i="15"/>
  <c r="P193" i="15"/>
  <c r="X193" i="15" s="1"/>
  <c r="Z193" i="15" s="1"/>
  <c r="H193" i="15"/>
  <c r="N193" i="15" s="1"/>
  <c r="D193" i="15"/>
  <c r="L193" i="15" s="1"/>
  <c r="B193" i="15"/>
  <c r="Z192" i="15"/>
  <c r="X192" i="15"/>
  <c r="N192" i="15"/>
  <c r="L192" i="15"/>
  <c r="B192" i="15"/>
  <c r="X191" i="15"/>
  <c r="Z191" i="15" s="1"/>
  <c r="L191" i="15"/>
  <c r="N191" i="15" s="1"/>
  <c r="B191" i="15"/>
  <c r="T190" i="15"/>
  <c r="P190" i="15"/>
  <c r="X190" i="15" s="1"/>
  <c r="H190" i="15"/>
  <c r="D190" i="15"/>
  <c r="B190" i="15"/>
  <c r="Z189" i="15"/>
  <c r="X189" i="15"/>
  <c r="N189" i="15"/>
  <c r="L189" i="15"/>
  <c r="B189" i="15"/>
  <c r="T188" i="15"/>
  <c r="P188" i="15"/>
  <c r="X188" i="15" s="1"/>
  <c r="Z188" i="15" s="1"/>
  <c r="N188" i="15"/>
  <c r="L188" i="15"/>
  <c r="H188" i="15"/>
  <c r="D188" i="15"/>
  <c r="B188" i="15"/>
  <c r="Z187" i="15"/>
  <c r="X187" i="15"/>
  <c r="N187" i="15"/>
  <c r="L187" i="15"/>
  <c r="B187" i="15"/>
  <c r="X186" i="15"/>
  <c r="Z186" i="15" s="1"/>
  <c r="L186" i="15"/>
  <c r="N186" i="15" s="1"/>
  <c r="B186" i="15"/>
  <c r="Z185" i="15"/>
  <c r="X185" i="15"/>
  <c r="N185" i="15"/>
  <c r="L185" i="15"/>
  <c r="B185" i="15"/>
  <c r="X184" i="15"/>
  <c r="Z184" i="15" s="1"/>
  <c r="L184" i="15"/>
  <c r="N184" i="15" s="1"/>
  <c r="B184" i="15"/>
  <c r="Z183" i="15"/>
  <c r="X183" i="15"/>
  <c r="L183" i="15"/>
  <c r="N183" i="15" s="1"/>
  <c r="B183" i="15"/>
  <c r="X182" i="15"/>
  <c r="Z182" i="15" s="1"/>
  <c r="L182" i="15"/>
  <c r="N182" i="15" s="1"/>
  <c r="B182" i="15"/>
  <c r="Z181" i="15"/>
  <c r="X181" i="15"/>
  <c r="N181" i="15"/>
  <c r="L181" i="15"/>
  <c r="B181" i="15"/>
  <c r="T180" i="15"/>
  <c r="P180" i="15"/>
  <c r="L180" i="15"/>
  <c r="N180" i="15" s="1"/>
  <c r="H180" i="15"/>
  <c r="D180" i="15"/>
  <c r="B180" i="15"/>
  <c r="X179" i="15"/>
  <c r="Z179" i="15" s="1"/>
  <c r="L179" i="15"/>
  <c r="N179" i="15" s="1"/>
  <c r="B179" i="15"/>
  <c r="X178" i="15"/>
  <c r="Z178" i="15" s="1"/>
  <c r="L178" i="15"/>
  <c r="N178" i="15" s="1"/>
  <c r="B178" i="15"/>
  <c r="Z177" i="15"/>
  <c r="X177" i="15"/>
  <c r="N177" i="15"/>
  <c r="L177" i="15"/>
  <c r="B177" i="15"/>
  <c r="X176" i="15"/>
  <c r="Z176" i="15" s="1"/>
  <c r="N176" i="15"/>
  <c r="L176" i="15"/>
  <c r="B176" i="15"/>
  <c r="Z175" i="15"/>
  <c r="X175" i="15"/>
  <c r="N175" i="15"/>
  <c r="L175" i="15"/>
  <c r="B175" i="15"/>
  <c r="X174" i="15"/>
  <c r="Z174" i="15" s="1"/>
  <c r="N174" i="15"/>
  <c r="L174" i="15"/>
  <c r="B174" i="15"/>
  <c r="Z173" i="15"/>
  <c r="X173" i="15"/>
  <c r="N173" i="15"/>
  <c r="L173" i="15"/>
  <c r="B173" i="15"/>
  <c r="X172" i="15"/>
  <c r="Z172" i="15" s="1"/>
  <c r="N172" i="15"/>
  <c r="L172" i="15"/>
  <c r="B172" i="15"/>
  <c r="X171" i="15"/>
  <c r="Z171" i="15" s="1"/>
  <c r="L171" i="15"/>
  <c r="N171" i="15" s="1"/>
  <c r="B171" i="15"/>
  <c r="X170" i="15"/>
  <c r="Z170" i="15" s="1"/>
  <c r="N170" i="15"/>
  <c r="L170" i="15"/>
  <c r="B170" i="15"/>
  <c r="Z169" i="15"/>
  <c r="X169" i="15"/>
  <c r="T169" i="15"/>
  <c r="P169" i="15"/>
  <c r="L169" i="15"/>
  <c r="N169" i="15" s="1"/>
  <c r="H169" i="15"/>
  <c r="D169" i="15"/>
  <c r="B169" i="15"/>
  <c r="T168" i="15"/>
  <c r="Z168" i="15" s="1"/>
  <c r="P168" i="15"/>
  <c r="X168" i="15" s="1"/>
  <c r="H168" i="15"/>
  <c r="D168" i="15"/>
  <c r="L168" i="15" s="1"/>
  <c r="N168" i="15" s="1"/>
  <c r="Z164" i="15"/>
  <c r="X164" i="15"/>
  <c r="L164" i="15"/>
  <c r="N164" i="15" s="1"/>
  <c r="B164" i="15"/>
  <c r="Z163" i="15"/>
  <c r="X163" i="15"/>
  <c r="N163" i="15"/>
  <c r="L163" i="15"/>
  <c r="B163" i="15"/>
  <c r="X162" i="15"/>
  <c r="Z162" i="15" s="1"/>
  <c r="N162" i="15"/>
  <c r="L162" i="15"/>
  <c r="B162" i="15"/>
  <c r="Z161" i="15"/>
  <c r="X161" i="15"/>
  <c r="N161" i="15"/>
  <c r="L161" i="15"/>
  <c r="B161" i="15"/>
  <c r="Z160" i="15"/>
  <c r="X160" i="15"/>
  <c r="L160" i="15"/>
  <c r="N160" i="15" s="1"/>
  <c r="B160" i="15"/>
  <c r="Z159" i="15"/>
  <c r="X159" i="15"/>
  <c r="N159" i="15"/>
  <c r="L159" i="15"/>
  <c r="B159" i="15"/>
  <c r="Z158" i="15"/>
  <c r="X158" i="15"/>
  <c r="L158" i="15"/>
  <c r="N158" i="15" s="1"/>
  <c r="B158" i="15"/>
  <c r="Z157" i="15"/>
  <c r="X157" i="15"/>
  <c r="N157" i="15"/>
  <c r="L157" i="15"/>
  <c r="B157" i="15"/>
  <c r="Z156" i="15"/>
  <c r="X156" i="15"/>
  <c r="L156" i="15"/>
  <c r="N156" i="15" s="1"/>
  <c r="B156" i="15"/>
  <c r="Z155" i="15"/>
  <c r="X155" i="15"/>
  <c r="N155" i="15"/>
  <c r="L155" i="15"/>
  <c r="B155" i="15"/>
  <c r="X154" i="15"/>
  <c r="Z154" i="15" s="1"/>
  <c r="L154" i="15"/>
  <c r="N154" i="15" s="1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N151" i="15"/>
  <c r="L151" i="15"/>
  <c r="B151" i="15"/>
  <c r="X150" i="15"/>
  <c r="Z150" i="15" s="1"/>
  <c r="L150" i="15"/>
  <c r="N150" i="15" s="1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X146" i="15"/>
  <c r="Z146" i="15" s="1"/>
  <c r="L146" i="15"/>
  <c r="N146" i="15" s="1"/>
  <c r="B146" i="15"/>
  <c r="Z145" i="15"/>
  <c r="X145" i="15"/>
  <c r="N145" i="15"/>
  <c r="L145" i="15"/>
  <c r="B145" i="15"/>
  <c r="Z144" i="15"/>
  <c r="X144" i="15"/>
  <c r="L144" i="15"/>
  <c r="N144" i="15" s="1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X138" i="15"/>
  <c r="Z138" i="15" s="1"/>
  <c r="L138" i="15"/>
  <c r="N138" i="15" s="1"/>
  <c r="B138" i="15"/>
  <c r="Z137" i="15"/>
  <c r="X137" i="15"/>
  <c r="N137" i="15"/>
  <c r="L137" i="15"/>
  <c r="B137" i="15"/>
  <c r="Z136" i="15"/>
  <c r="X136" i="15"/>
  <c r="L136" i="15"/>
  <c r="N136" i="15" s="1"/>
  <c r="B136" i="15"/>
  <c r="Z135" i="15"/>
  <c r="X135" i="15"/>
  <c r="N135" i="15"/>
  <c r="L135" i="15"/>
  <c r="B135" i="15"/>
  <c r="Z134" i="15"/>
  <c r="X134" i="15"/>
  <c r="L134" i="15"/>
  <c r="N134" i="15" s="1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L127" i="15"/>
  <c r="N127" i="15" s="1"/>
  <c r="B127" i="15"/>
  <c r="Z126" i="15"/>
  <c r="X126" i="15"/>
  <c r="L126" i="15"/>
  <c r="N126" i="15" s="1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Z117" i="15"/>
  <c r="X117" i="15"/>
  <c r="N117" i="15"/>
  <c r="L117" i="15"/>
  <c r="B117" i="15"/>
  <c r="Z116" i="15"/>
  <c r="X116" i="15"/>
  <c r="L116" i="15"/>
  <c r="N116" i="15" s="1"/>
  <c r="B116" i="15"/>
  <c r="Z115" i="15"/>
  <c r="X115" i="15"/>
  <c r="L115" i="15"/>
  <c r="N115" i="15" s="1"/>
  <c r="B115" i="15"/>
  <c r="Z114" i="15"/>
  <c r="X114" i="15"/>
  <c r="N114" i="15"/>
  <c r="L114" i="15"/>
  <c r="B114" i="15"/>
  <c r="T113" i="15"/>
  <c r="P113" i="15"/>
  <c r="H113" i="15"/>
  <c r="L113" i="15" s="1"/>
  <c r="D113" i="15"/>
  <c r="T111" i="15"/>
  <c r="P111" i="15"/>
  <c r="X111" i="15" s="1"/>
  <c r="N111" i="15"/>
  <c r="H111" i="15"/>
  <c r="D111" i="15"/>
  <c r="L111" i="15" s="1"/>
  <c r="B111" i="15"/>
  <c r="T110" i="15"/>
  <c r="P110" i="15"/>
  <c r="X110" i="15" s="1"/>
  <c r="Z110" i="15" s="1"/>
  <c r="H110" i="15"/>
  <c r="N110" i="15" s="1"/>
  <c r="D110" i="15"/>
  <c r="L110" i="15" s="1"/>
  <c r="B110" i="15"/>
  <c r="T109" i="15"/>
  <c r="P109" i="15"/>
  <c r="X109" i="15" s="1"/>
  <c r="H109" i="15"/>
  <c r="N109" i="15" s="1"/>
  <c r="D109" i="15"/>
  <c r="L109" i="15" s="1"/>
  <c r="B109" i="15"/>
  <c r="Z108" i="15"/>
  <c r="X108" i="15"/>
  <c r="T108" i="15"/>
  <c r="P108" i="15"/>
  <c r="L108" i="15"/>
  <c r="H108" i="15"/>
  <c r="N108" i="15" s="1"/>
  <c r="D108" i="15"/>
  <c r="B108" i="15"/>
  <c r="T107" i="15"/>
  <c r="P107" i="15"/>
  <c r="N107" i="15"/>
  <c r="H107" i="15"/>
  <c r="D107" i="15"/>
  <c r="L107" i="15" s="1"/>
  <c r="B107" i="15"/>
  <c r="T106" i="15"/>
  <c r="P106" i="15"/>
  <c r="X106" i="15" s="1"/>
  <c r="Z106" i="15" s="1"/>
  <c r="H106" i="15"/>
  <c r="N106" i="15" s="1"/>
  <c r="D106" i="15"/>
  <c r="B106" i="15"/>
  <c r="T105" i="15"/>
  <c r="P105" i="15"/>
  <c r="H105" i="15"/>
  <c r="N105" i="15" s="1"/>
  <c r="D105" i="15"/>
  <c r="L105" i="15" s="1"/>
  <c r="B105" i="15"/>
  <c r="X104" i="15"/>
  <c r="Z104" i="15" s="1"/>
  <c r="T104" i="15"/>
  <c r="P104" i="15"/>
  <c r="L104" i="15"/>
  <c r="H104" i="15"/>
  <c r="N104" i="15" s="1"/>
  <c r="D104" i="15"/>
  <c r="B104" i="15"/>
  <c r="T103" i="15"/>
  <c r="P103" i="15"/>
  <c r="X103" i="15" s="1"/>
  <c r="N103" i="15"/>
  <c r="H103" i="15"/>
  <c r="D103" i="15"/>
  <c r="L103" i="15" s="1"/>
  <c r="B103" i="15"/>
  <c r="T102" i="15"/>
  <c r="P102" i="15"/>
  <c r="X102" i="15" s="1"/>
  <c r="Z102" i="15" s="1"/>
  <c r="L102" i="15"/>
  <c r="H102" i="15"/>
  <c r="N102" i="15" s="1"/>
  <c r="D102" i="15"/>
  <c r="B102" i="15"/>
  <c r="T101" i="15"/>
  <c r="P101" i="15"/>
  <c r="X101" i="15" s="1"/>
  <c r="H101" i="15"/>
  <c r="N101" i="15" s="1"/>
  <c r="D101" i="15"/>
  <c r="L101" i="15" s="1"/>
  <c r="B101" i="15"/>
  <c r="Z100" i="15"/>
  <c r="X100" i="15"/>
  <c r="T100" i="15"/>
  <c r="P100" i="15"/>
  <c r="L100" i="15"/>
  <c r="H100" i="15"/>
  <c r="N100" i="15" s="1"/>
  <c r="D100" i="15"/>
  <c r="B100" i="15"/>
  <c r="T99" i="15"/>
  <c r="P99" i="15"/>
  <c r="X99" i="15" s="1"/>
  <c r="H99" i="15"/>
  <c r="D99" i="15"/>
  <c r="L99" i="15" s="1"/>
  <c r="N99" i="15" s="1"/>
  <c r="B99" i="15"/>
  <c r="T98" i="15"/>
  <c r="P98" i="15"/>
  <c r="X98" i="15" s="1"/>
  <c r="Z98" i="15" s="1"/>
  <c r="H98" i="15"/>
  <c r="D98" i="15"/>
  <c r="L98" i="15" s="1"/>
  <c r="B98" i="15"/>
  <c r="T97" i="15"/>
  <c r="P97" i="15"/>
  <c r="X97" i="15" s="1"/>
  <c r="H97" i="15"/>
  <c r="N97" i="15" s="1"/>
  <c r="D97" i="15"/>
  <c r="L97" i="15" s="1"/>
  <c r="B97" i="15"/>
  <c r="X96" i="15"/>
  <c r="Z96" i="15" s="1"/>
  <c r="T96" i="15"/>
  <c r="P96" i="15"/>
  <c r="L96" i="15"/>
  <c r="H96" i="15"/>
  <c r="N96" i="15" s="1"/>
  <c r="D96" i="15"/>
  <c r="B96" i="15"/>
  <c r="T95" i="15"/>
  <c r="P95" i="15"/>
  <c r="N95" i="15"/>
  <c r="H95" i="15"/>
  <c r="L95" i="15" s="1"/>
  <c r="D95" i="15"/>
  <c r="B95" i="15"/>
  <c r="T94" i="15"/>
  <c r="P94" i="15"/>
  <c r="X94" i="15" s="1"/>
  <c r="Z94" i="15" s="1"/>
  <c r="H94" i="15"/>
  <c r="D94" i="15"/>
  <c r="L94" i="15" s="1"/>
  <c r="B94" i="15"/>
  <c r="T93" i="15"/>
  <c r="P93" i="15"/>
  <c r="H93" i="15"/>
  <c r="D93" i="15"/>
  <c r="L93" i="15" s="1"/>
  <c r="B93" i="15"/>
  <c r="Z92" i="15"/>
  <c r="X92" i="15"/>
  <c r="T92" i="15"/>
  <c r="P92" i="15"/>
  <c r="L92" i="15"/>
  <c r="H92" i="15"/>
  <c r="N92" i="15" s="1"/>
  <c r="D92" i="15"/>
  <c r="B92" i="15"/>
  <c r="T91" i="15"/>
  <c r="P91" i="15"/>
  <c r="N91" i="15"/>
  <c r="H91" i="15"/>
  <c r="L91" i="15" s="1"/>
  <c r="D91" i="15"/>
  <c r="B91" i="15"/>
  <c r="T90" i="15"/>
  <c r="P90" i="15"/>
  <c r="X90" i="15" s="1"/>
  <c r="Z90" i="15" s="1"/>
  <c r="L90" i="15"/>
  <c r="H90" i="15"/>
  <c r="D90" i="15"/>
  <c r="B90" i="15"/>
  <c r="T89" i="15"/>
  <c r="P89" i="15"/>
  <c r="H89" i="15"/>
  <c r="N89" i="15" s="1"/>
  <c r="D89" i="15"/>
  <c r="L89" i="15" s="1"/>
  <c r="B89" i="15"/>
  <c r="Z88" i="15"/>
  <c r="X88" i="15"/>
  <c r="T88" i="15"/>
  <c r="P88" i="15"/>
  <c r="L88" i="15"/>
  <c r="H88" i="15"/>
  <c r="N88" i="15" s="1"/>
  <c r="D88" i="15"/>
  <c r="B88" i="15"/>
  <c r="T87" i="15"/>
  <c r="P87" i="15"/>
  <c r="N87" i="15"/>
  <c r="L87" i="15"/>
  <c r="H87" i="15"/>
  <c r="D87" i="15"/>
  <c r="B87" i="15"/>
  <c r="T86" i="15"/>
  <c r="P86" i="15"/>
  <c r="X86" i="15" s="1"/>
  <c r="Z86" i="15" s="1"/>
  <c r="L86" i="15"/>
  <c r="H86" i="15"/>
  <c r="D86" i="15"/>
  <c r="B86" i="15"/>
  <c r="T85" i="15"/>
  <c r="P85" i="15"/>
  <c r="X85" i="15" s="1"/>
  <c r="H85" i="15"/>
  <c r="D85" i="15"/>
  <c r="B85" i="15"/>
  <c r="Z84" i="15"/>
  <c r="X84" i="15"/>
  <c r="T84" i="15"/>
  <c r="P84" i="15"/>
  <c r="L84" i="15"/>
  <c r="H84" i="15"/>
  <c r="D84" i="15"/>
  <c r="B84" i="15"/>
  <c r="T83" i="15"/>
  <c r="P83" i="15"/>
  <c r="N83" i="15"/>
  <c r="L83" i="15"/>
  <c r="H83" i="15"/>
  <c r="D83" i="15"/>
  <c r="B83" i="15"/>
  <c r="T82" i="15"/>
  <c r="P82" i="15"/>
  <c r="X82" i="15" s="1"/>
  <c r="Z82" i="15" s="1"/>
  <c r="L82" i="15"/>
  <c r="H82" i="15"/>
  <c r="N82" i="15" s="1"/>
  <c r="D82" i="15"/>
  <c r="B82" i="15"/>
  <c r="T81" i="15"/>
  <c r="P81" i="15"/>
  <c r="H81" i="15"/>
  <c r="D81" i="15"/>
  <c r="B81" i="15"/>
  <c r="Z80" i="15"/>
  <c r="X80" i="15"/>
  <c r="T80" i="15"/>
  <c r="P80" i="15"/>
  <c r="L80" i="15"/>
  <c r="H80" i="15"/>
  <c r="N80" i="15" s="1"/>
  <c r="D80" i="15"/>
  <c r="B80" i="15"/>
  <c r="T79" i="15"/>
  <c r="P79" i="15"/>
  <c r="N79" i="15"/>
  <c r="L79" i="15"/>
  <c r="H79" i="15"/>
  <c r="D79" i="15"/>
  <c r="B79" i="15"/>
  <c r="T78" i="15"/>
  <c r="P78" i="15"/>
  <c r="X78" i="15" s="1"/>
  <c r="Z78" i="15" s="1"/>
  <c r="L78" i="15"/>
  <c r="H78" i="15"/>
  <c r="N78" i="15" s="1"/>
  <c r="D78" i="15"/>
  <c r="B78" i="15"/>
  <c r="T77" i="15"/>
  <c r="P77" i="15"/>
  <c r="X77" i="15" s="1"/>
  <c r="H77" i="15"/>
  <c r="D77" i="15"/>
  <c r="B77" i="15"/>
  <c r="Z76" i="15"/>
  <c r="X76" i="15"/>
  <c r="T76" i="15"/>
  <c r="P76" i="15"/>
  <c r="L76" i="15"/>
  <c r="H76" i="15"/>
  <c r="D76" i="15"/>
  <c r="B76" i="15"/>
  <c r="T75" i="15"/>
  <c r="P75" i="15"/>
  <c r="N75" i="15"/>
  <c r="L75" i="15"/>
  <c r="H75" i="15"/>
  <c r="D75" i="15"/>
  <c r="B75" i="15"/>
  <c r="T74" i="15"/>
  <c r="P74" i="15"/>
  <c r="X74" i="15" s="1"/>
  <c r="Z74" i="15" s="1"/>
  <c r="L74" i="15"/>
  <c r="H74" i="15"/>
  <c r="N74" i="15" s="1"/>
  <c r="D74" i="15"/>
  <c r="B74" i="15"/>
  <c r="T73" i="15"/>
  <c r="P73" i="15"/>
  <c r="H73" i="15"/>
  <c r="D73" i="15"/>
  <c r="B73" i="15"/>
  <c r="Z72" i="15"/>
  <c r="X72" i="15"/>
  <c r="T72" i="15"/>
  <c r="P72" i="15"/>
  <c r="L72" i="15"/>
  <c r="H72" i="15"/>
  <c r="N72" i="15" s="1"/>
  <c r="D72" i="15"/>
  <c r="B72" i="15"/>
  <c r="T71" i="15"/>
  <c r="P71" i="15"/>
  <c r="N71" i="15"/>
  <c r="L71" i="15"/>
  <c r="H71" i="15"/>
  <c r="D71" i="15"/>
  <c r="B71" i="15"/>
  <c r="T70" i="15"/>
  <c r="P70" i="15"/>
  <c r="X70" i="15" s="1"/>
  <c r="Z70" i="15" s="1"/>
  <c r="L70" i="15"/>
  <c r="H70" i="15"/>
  <c r="D70" i="15"/>
  <c r="B70" i="15"/>
  <c r="T69" i="15"/>
  <c r="P69" i="15"/>
  <c r="X69" i="15" s="1"/>
  <c r="H69" i="15"/>
  <c r="D69" i="15"/>
  <c r="B69" i="15"/>
  <c r="Z68" i="15"/>
  <c r="X68" i="15"/>
  <c r="T68" i="15"/>
  <c r="P68" i="15"/>
  <c r="L68" i="15"/>
  <c r="H68" i="15"/>
  <c r="D68" i="15"/>
  <c r="B68" i="15"/>
  <c r="T67" i="15"/>
  <c r="P67" i="15"/>
  <c r="N67" i="15"/>
  <c r="L67" i="15"/>
  <c r="H67" i="15"/>
  <c r="D67" i="15"/>
  <c r="B67" i="15"/>
  <c r="T66" i="15"/>
  <c r="P66" i="15"/>
  <c r="X66" i="15" s="1"/>
  <c r="Z66" i="15" s="1"/>
  <c r="H66" i="15"/>
  <c r="D66" i="15"/>
  <c r="L66" i="15" s="1"/>
  <c r="B66" i="15"/>
  <c r="T65" i="15"/>
  <c r="P65" i="15"/>
  <c r="X65" i="15" s="1"/>
  <c r="H65" i="15"/>
  <c r="D65" i="15"/>
  <c r="B65" i="15"/>
  <c r="Z64" i="15"/>
  <c r="X64" i="15"/>
  <c r="T64" i="15"/>
  <c r="P64" i="15"/>
  <c r="L64" i="15"/>
  <c r="H64" i="15"/>
  <c r="N64" i="15" s="1"/>
  <c r="D64" i="15"/>
  <c r="B64" i="15"/>
  <c r="Z63" i="15"/>
  <c r="T63" i="15"/>
  <c r="P63" i="15"/>
  <c r="X63" i="15" s="1"/>
  <c r="N63" i="15"/>
  <c r="L63" i="15"/>
  <c r="H63" i="15"/>
  <c r="D63" i="15"/>
  <c r="B63" i="15"/>
  <c r="Z62" i="15"/>
  <c r="T62" i="15"/>
  <c r="P62" i="15"/>
  <c r="X62" i="15" s="1"/>
  <c r="H62" i="15"/>
  <c r="D62" i="15"/>
  <c r="L62" i="15" s="1"/>
  <c r="B62" i="15"/>
  <c r="T61" i="15"/>
  <c r="P61" i="15"/>
  <c r="H61" i="15"/>
  <c r="D61" i="15"/>
  <c r="B61" i="15"/>
  <c r="Z60" i="15"/>
  <c r="X60" i="15"/>
  <c r="T60" i="15"/>
  <c r="P60" i="15"/>
  <c r="L60" i="15"/>
  <c r="H60" i="15"/>
  <c r="D60" i="15"/>
  <c r="B60" i="15"/>
  <c r="T59" i="15"/>
  <c r="P59" i="15"/>
  <c r="X59" i="15" s="1"/>
  <c r="Z59" i="15" s="1"/>
  <c r="N59" i="15"/>
  <c r="L59" i="15"/>
  <c r="H59" i="15"/>
  <c r="D59" i="15"/>
  <c r="B59" i="15"/>
  <c r="Z58" i="15"/>
  <c r="T58" i="15"/>
  <c r="P58" i="15"/>
  <c r="X58" i="15" s="1"/>
  <c r="L58" i="15"/>
  <c r="H58" i="15"/>
  <c r="D58" i="15"/>
  <c r="B58" i="15"/>
  <c r="T57" i="15"/>
  <c r="P57" i="15"/>
  <c r="X57" i="15" s="1"/>
  <c r="H57" i="15"/>
  <c r="D57" i="15"/>
  <c r="B57" i="15"/>
  <c r="Z56" i="15"/>
  <c r="X56" i="15"/>
  <c r="T56" i="15"/>
  <c r="P56" i="15"/>
  <c r="L56" i="15"/>
  <c r="H56" i="15"/>
  <c r="N56" i="15" s="1"/>
  <c r="D56" i="15"/>
  <c r="B56" i="15"/>
  <c r="T55" i="15"/>
  <c r="P55" i="15"/>
  <c r="N55" i="15"/>
  <c r="L55" i="15"/>
  <c r="H55" i="15"/>
  <c r="D55" i="15"/>
  <c r="B55" i="15"/>
  <c r="T54" i="15"/>
  <c r="P54" i="15"/>
  <c r="X54" i="15" s="1"/>
  <c r="Z54" i="15" s="1"/>
  <c r="H54" i="15"/>
  <c r="D54" i="15"/>
  <c r="L54" i="15" s="1"/>
  <c r="B54" i="15"/>
  <c r="T53" i="15"/>
  <c r="P53" i="15"/>
  <c r="X53" i="15" s="1"/>
  <c r="H53" i="15"/>
  <c r="D53" i="15"/>
  <c r="B53" i="15"/>
  <c r="Z52" i="15"/>
  <c r="X52" i="15"/>
  <c r="T52" i="15"/>
  <c r="P52" i="15"/>
  <c r="L52" i="15"/>
  <c r="H52" i="15"/>
  <c r="D52" i="15"/>
  <c r="B52" i="15"/>
  <c r="Z51" i="15"/>
  <c r="T51" i="15"/>
  <c r="P51" i="15"/>
  <c r="X51" i="15" s="1"/>
  <c r="N51" i="15"/>
  <c r="L51" i="15"/>
  <c r="H51" i="15"/>
  <c r="D51" i="15"/>
  <c r="B51" i="15"/>
  <c r="Z50" i="15"/>
  <c r="T50" i="15"/>
  <c r="P50" i="15"/>
  <c r="X50" i="15" s="1"/>
  <c r="H50" i="15"/>
  <c r="N50" i="15" s="1"/>
  <c r="D50" i="15"/>
  <c r="L50" i="15" s="1"/>
  <c r="B50" i="15"/>
  <c r="T49" i="15"/>
  <c r="P49" i="15"/>
  <c r="H49" i="15"/>
  <c r="D49" i="15"/>
  <c r="B49" i="15"/>
  <c r="Z48" i="15"/>
  <c r="X48" i="15"/>
  <c r="T48" i="15"/>
  <c r="P48" i="15"/>
  <c r="L48" i="15"/>
  <c r="H48" i="15"/>
  <c r="D48" i="15"/>
  <c r="B48" i="15"/>
  <c r="T47" i="15"/>
  <c r="P47" i="15"/>
  <c r="X47" i="15" s="1"/>
  <c r="Z47" i="15" s="1"/>
  <c r="N47" i="15"/>
  <c r="L47" i="15"/>
  <c r="H47" i="15"/>
  <c r="D47" i="15"/>
  <c r="B47" i="15"/>
  <c r="Z46" i="15"/>
  <c r="T46" i="15"/>
  <c r="P46" i="15"/>
  <c r="X46" i="15" s="1"/>
  <c r="L46" i="15"/>
  <c r="H46" i="15"/>
  <c r="N46" i="15" s="1"/>
  <c r="D46" i="15"/>
  <c r="B46" i="15"/>
  <c r="T45" i="15"/>
  <c r="P45" i="15"/>
  <c r="X45" i="15" s="1"/>
  <c r="H45" i="15"/>
  <c r="D45" i="15"/>
  <c r="B45" i="15"/>
  <c r="T44" i="15"/>
  <c r="X44" i="15" s="1"/>
  <c r="Z44" i="15" s="1"/>
  <c r="P44" i="15"/>
  <c r="L44" i="15"/>
  <c r="H44" i="15"/>
  <c r="N44" i="15" s="1"/>
  <c r="D44" i="15"/>
  <c r="B44" i="15"/>
  <c r="T43" i="15"/>
  <c r="P43" i="15"/>
  <c r="N43" i="15"/>
  <c r="L43" i="15"/>
  <c r="H43" i="15"/>
  <c r="D43" i="15"/>
  <c r="B43" i="15"/>
  <c r="T42" i="15"/>
  <c r="P42" i="15"/>
  <c r="X42" i="15" s="1"/>
  <c r="Z42" i="15" s="1"/>
  <c r="H42" i="15"/>
  <c r="N42" i="15" s="1"/>
  <c r="D42" i="15"/>
  <c r="L42" i="15" s="1"/>
  <c r="B42" i="15"/>
  <c r="T41" i="15"/>
  <c r="P41" i="15"/>
  <c r="X41" i="15" s="1"/>
  <c r="H41" i="15"/>
  <c r="D41" i="15"/>
  <c r="B41" i="15"/>
  <c r="T40" i="15"/>
  <c r="P40" i="15"/>
  <c r="L40" i="15"/>
  <c r="H40" i="15"/>
  <c r="N40" i="15" s="1"/>
  <c r="D40" i="15"/>
  <c r="B40" i="15"/>
  <c r="Z39" i="15"/>
  <c r="T39" i="15"/>
  <c r="P39" i="15"/>
  <c r="X39" i="15" s="1"/>
  <c r="N39" i="15"/>
  <c r="L39" i="15"/>
  <c r="H39" i="15"/>
  <c r="D39" i="15"/>
  <c r="B39" i="15"/>
  <c r="Z38" i="15"/>
  <c r="T38" i="15"/>
  <c r="P38" i="15"/>
  <c r="X38" i="15" s="1"/>
  <c r="H38" i="15"/>
  <c r="D38" i="15"/>
  <c r="L38" i="15" s="1"/>
  <c r="B38" i="15"/>
  <c r="T37" i="15"/>
  <c r="P37" i="15"/>
  <c r="H37" i="15"/>
  <c r="D37" i="15"/>
  <c r="B37" i="15"/>
  <c r="Z36" i="15"/>
  <c r="X36" i="15"/>
  <c r="T36" i="15"/>
  <c r="P36" i="15"/>
  <c r="L36" i="15"/>
  <c r="H36" i="15"/>
  <c r="D36" i="15"/>
  <c r="B36" i="15"/>
  <c r="T35" i="15"/>
  <c r="P35" i="15"/>
  <c r="X35" i="15" s="1"/>
  <c r="Z35" i="15" s="1"/>
  <c r="L35" i="15"/>
  <c r="N35" i="15" s="1"/>
  <c r="H35" i="15"/>
  <c r="D35" i="15"/>
  <c r="B35" i="15"/>
  <c r="Z34" i="15"/>
  <c r="T34" i="15"/>
  <c r="P34" i="15"/>
  <c r="X34" i="15" s="1"/>
  <c r="L34" i="15"/>
  <c r="H34" i="15"/>
  <c r="D34" i="15"/>
  <c r="B34" i="15"/>
  <c r="T33" i="15"/>
  <c r="P33" i="15"/>
  <c r="X33" i="15" s="1"/>
  <c r="H33" i="15"/>
  <c r="D33" i="15"/>
  <c r="B33" i="15"/>
  <c r="T32" i="15"/>
  <c r="X32" i="15" s="1"/>
  <c r="Z32" i="15" s="1"/>
  <c r="P32" i="15"/>
  <c r="L32" i="15"/>
  <c r="H32" i="15"/>
  <c r="N32" i="15" s="1"/>
  <c r="D32" i="15"/>
  <c r="B32" i="15"/>
  <c r="T31" i="15"/>
  <c r="P31" i="15"/>
  <c r="N31" i="15"/>
  <c r="L31" i="15"/>
  <c r="H31" i="15"/>
  <c r="D31" i="15"/>
  <c r="B31" i="15"/>
  <c r="T30" i="15"/>
  <c r="P30" i="15"/>
  <c r="X30" i="15" s="1"/>
  <c r="Z30" i="15" s="1"/>
  <c r="H30" i="15"/>
  <c r="N30" i="15" s="1"/>
  <c r="D30" i="15"/>
  <c r="B30" i="15"/>
  <c r="T29" i="15"/>
  <c r="P29" i="15"/>
  <c r="X29" i="15" s="1"/>
  <c r="H29" i="15"/>
  <c r="N29" i="15" s="1"/>
  <c r="D29" i="15"/>
  <c r="B29" i="15"/>
  <c r="X28" i="15"/>
  <c r="T28" i="15"/>
  <c r="Z28" i="15" s="1"/>
  <c r="P28" i="15"/>
  <c r="L28" i="15"/>
  <c r="H28" i="15"/>
  <c r="N28" i="15" s="1"/>
  <c r="D28" i="15"/>
  <c r="B28" i="15"/>
  <c r="T27" i="15"/>
  <c r="Z27" i="15" s="1"/>
  <c r="P27" i="15"/>
  <c r="X27" i="15" s="1"/>
  <c r="N27" i="15"/>
  <c r="L27" i="15"/>
  <c r="H27" i="15"/>
  <c r="D27" i="15"/>
  <c r="B27" i="15"/>
  <c r="T26" i="15"/>
  <c r="P26" i="15"/>
  <c r="L26" i="15"/>
  <c r="H26" i="15"/>
  <c r="D26" i="15"/>
  <c r="B26" i="15"/>
  <c r="T25" i="15"/>
  <c r="P25" i="15"/>
  <c r="L25" i="15"/>
  <c r="H25" i="15"/>
  <c r="D25" i="15"/>
  <c r="B25" i="15"/>
  <c r="T24" i="15"/>
  <c r="P24" i="15"/>
  <c r="H24" i="15"/>
  <c r="D24" i="15"/>
  <c r="B24" i="15"/>
  <c r="Z23" i="15"/>
  <c r="T23" i="15"/>
  <c r="P23" i="15"/>
  <c r="X23" i="15" s="1"/>
  <c r="N23" i="15"/>
  <c r="L23" i="15"/>
  <c r="H23" i="15"/>
  <c r="D23" i="15"/>
  <c r="B23" i="15"/>
  <c r="T22" i="15"/>
  <c r="P22" i="15"/>
  <c r="H22" i="15"/>
  <c r="D22" i="15"/>
  <c r="L22" i="15" s="1"/>
  <c r="B22" i="15"/>
  <c r="T21" i="15"/>
  <c r="P21" i="15"/>
  <c r="H21" i="15"/>
  <c r="N21" i="15" s="1"/>
  <c r="D21" i="15"/>
  <c r="B21" i="15"/>
  <c r="Z20" i="15"/>
  <c r="X20" i="15"/>
  <c r="T20" i="15"/>
  <c r="P20" i="15"/>
  <c r="H20" i="15"/>
  <c r="D20" i="15"/>
  <c r="B20" i="15"/>
  <c r="T19" i="15"/>
  <c r="P19" i="15"/>
  <c r="N19" i="15"/>
  <c r="L19" i="15"/>
  <c r="H19" i="15"/>
  <c r="D19" i="15"/>
  <c r="B19" i="15"/>
  <c r="T18" i="15"/>
  <c r="P18" i="15"/>
  <c r="H18" i="15"/>
  <c r="N18" i="15" s="1"/>
  <c r="D18" i="15"/>
  <c r="L18" i="15" s="1"/>
  <c r="B18" i="15"/>
  <c r="T17" i="15"/>
  <c r="P17" i="15"/>
  <c r="X17" i="15" s="1"/>
  <c r="L17" i="15"/>
  <c r="H17" i="15"/>
  <c r="N17" i="15" s="1"/>
  <c r="D17" i="15"/>
  <c r="B17" i="15"/>
  <c r="Z16" i="15"/>
  <c r="X16" i="15"/>
  <c r="T16" i="15"/>
  <c r="P16" i="15"/>
  <c r="L16" i="15"/>
  <c r="H16" i="15"/>
  <c r="D16" i="15"/>
  <c r="B16" i="15"/>
  <c r="T15" i="15"/>
  <c r="P15" i="15"/>
  <c r="X15" i="15" s="1"/>
  <c r="Z15" i="15" s="1"/>
  <c r="L15" i="15"/>
  <c r="N15" i="15" s="1"/>
  <c r="H15" i="15"/>
  <c r="D15" i="15"/>
  <c r="B15" i="15"/>
  <c r="Z14" i="15"/>
  <c r="T14" i="15"/>
  <c r="P14" i="15"/>
  <c r="X14" i="15" s="1"/>
  <c r="L14" i="15"/>
  <c r="H14" i="15"/>
  <c r="D14" i="15"/>
  <c r="B14" i="15"/>
  <c r="T13" i="15"/>
  <c r="Z13" i="15" s="1"/>
  <c r="P13" i="15"/>
  <c r="L13" i="15"/>
  <c r="H13" i="15"/>
  <c r="N13" i="15" s="1"/>
  <c r="D13" i="15"/>
  <c r="B13" i="15"/>
  <c r="D4" i="15"/>
  <c r="X283" i="12"/>
  <c r="Z283" i="12" s="1"/>
  <c r="N283" i="12"/>
  <c r="L283" i="12"/>
  <c r="T279" i="12"/>
  <c r="P279" i="12"/>
  <c r="H279" i="12"/>
  <c r="N279" i="12" s="1"/>
  <c r="D279" i="12"/>
  <c r="L279" i="12" s="1"/>
  <c r="B279" i="12"/>
  <c r="X278" i="12"/>
  <c r="Z278" i="12" s="1"/>
  <c r="T278" i="12"/>
  <c r="P278" i="12"/>
  <c r="N278" i="12"/>
  <c r="L278" i="12"/>
  <c r="H278" i="12"/>
  <c r="D278" i="12"/>
  <c r="B278" i="12"/>
  <c r="T277" i="12"/>
  <c r="P277" i="12"/>
  <c r="H277" i="12"/>
  <c r="N277" i="12" s="1"/>
  <c r="D277" i="12"/>
  <c r="L277" i="12" s="1"/>
  <c r="B277" i="12"/>
  <c r="V276" i="12"/>
  <c r="T276" i="12"/>
  <c r="P276" i="12"/>
  <c r="X276" i="12" s="1"/>
  <c r="Z276" i="12" s="1"/>
  <c r="H276" i="12"/>
  <c r="D276" i="12"/>
  <c r="L276" i="12" s="1"/>
  <c r="N276" i="12" s="1"/>
  <c r="B276" i="12"/>
  <c r="X275" i="12"/>
  <c r="T275" i="12"/>
  <c r="P275" i="12"/>
  <c r="L275" i="12"/>
  <c r="H275" i="12"/>
  <c r="N275" i="12" s="1"/>
  <c r="D275" i="12"/>
  <c r="B275" i="12"/>
  <c r="Z274" i="12"/>
  <c r="T274" i="12"/>
  <c r="X274" i="12" s="1"/>
  <c r="P274" i="12"/>
  <c r="H274" i="12"/>
  <c r="D274" i="12"/>
  <c r="B274" i="12"/>
  <c r="T273" i="12"/>
  <c r="Z273" i="12" s="1"/>
  <c r="P273" i="12"/>
  <c r="X273" i="12" s="1"/>
  <c r="H273" i="12"/>
  <c r="N273" i="12" s="1"/>
  <c r="D273" i="12"/>
  <c r="L273" i="12" s="1"/>
  <c r="B273" i="12"/>
  <c r="Z272" i="12"/>
  <c r="X272" i="12"/>
  <c r="T272" i="12"/>
  <c r="P272" i="12"/>
  <c r="N272" i="12"/>
  <c r="L272" i="12"/>
  <c r="H272" i="12"/>
  <c r="D272" i="12"/>
  <c r="B272" i="12"/>
  <c r="T271" i="12"/>
  <c r="P271" i="12"/>
  <c r="X271" i="12" s="1"/>
  <c r="H271" i="12"/>
  <c r="D271" i="12"/>
  <c r="B271" i="12"/>
  <c r="Z268" i="12"/>
  <c r="X268" i="12"/>
  <c r="L268" i="12"/>
  <c r="N268" i="12" s="1"/>
  <c r="B268" i="12"/>
  <c r="T267" i="12"/>
  <c r="P267" i="12"/>
  <c r="X267" i="12" s="1"/>
  <c r="Z267" i="12" s="1"/>
  <c r="H267" i="12"/>
  <c r="D267" i="12"/>
  <c r="L267" i="12" s="1"/>
  <c r="B267" i="12"/>
  <c r="Z266" i="12"/>
  <c r="X266" i="12"/>
  <c r="N266" i="12"/>
  <c r="L266" i="12"/>
  <c r="B266" i="12"/>
  <c r="X265" i="12"/>
  <c r="Z265" i="12" s="1"/>
  <c r="N265" i="12"/>
  <c r="L265" i="12"/>
  <c r="B265" i="12"/>
  <c r="X264" i="12"/>
  <c r="Z264" i="12" s="1"/>
  <c r="N264" i="12"/>
  <c r="L264" i="12"/>
  <c r="B264" i="12"/>
  <c r="X263" i="12"/>
  <c r="T263" i="12"/>
  <c r="Z263" i="12" s="1"/>
  <c r="P263" i="12"/>
  <c r="L263" i="12"/>
  <c r="H263" i="12"/>
  <c r="N263" i="12" s="1"/>
  <c r="D263" i="12"/>
  <c r="B263" i="12"/>
  <c r="Z262" i="12"/>
  <c r="X262" i="12"/>
  <c r="N262" i="12"/>
  <c r="L262" i="12"/>
  <c r="B262" i="12"/>
  <c r="T261" i="12"/>
  <c r="P261" i="12"/>
  <c r="X261" i="12" s="1"/>
  <c r="H261" i="12"/>
  <c r="D261" i="12"/>
  <c r="L261" i="12" s="1"/>
  <c r="B261" i="12"/>
  <c r="Z260" i="12"/>
  <c r="X260" i="12"/>
  <c r="L260" i="12"/>
  <c r="N260" i="12" s="1"/>
  <c r="B260" i="12"/>
  <c r="X259" i="12"/>
  <c r="Z259" i="12" s="1"/>
  <c r="L259" i="12"/>
  <c r="N259" i="12" s="1"/>
  <c r="B259" i="12"/>
  <c r="V258" i="12"/>
  <c r="T258" i="12"/>
  <c r="P258" i="12"/>
  <c r="X258" i="12" s="1"/>
  <c r="Z258" i="12" s="1"/>
  <c r="H258" i="12"/>
  <c r="D258" i="12"/>
  <c r="L258" i="12" s="1"/>
  <c r="N258" i="12" s="1"/>
  <c r="B258" i="12"/>
  <c r="X257" i="12"/>
  <c r="Z257" i="12" s="1"/>
  <c r="N257" i="12"/>
  <c r="L257" i="12"/>
  <c r="B257" i="12"/>
  <c r="X256" i="12"/>
  <c r="Z256" i="12" s="1"/>
  <c r="N256" i="12"/>
  <c r="L256" i="12"/>
  <c r="B256" i="12"/>
  <c r="X255" i="12"/>
  <c r="Z255" i="12" s="1"/>
  <c r="N255" i="12"/>
  <c r="L255" i="12"/>
  <c r="B255" i="12"/>
  <c r="Z254" i="12"/>
  <c r="X254" i="12"/>
  <c r="N254" i="12"/>
  <c r="L254" i="12"/>
  <c r="B254" i="12"/>
  <c r="X253" i="12"/>
  <c r="Z253" i="12" s="1"/>
  <c r="N253" i="12"/>
  <c r="L253" i="12"/>
  <c r="B253" i="12"/>
  <c r="X252" i="12"/>
  <c r="Z252" i="12" s="1"/>
  <c r="N252" i="12"/>
  <c r="L252" i="12"/>
  <c r="B252" i="12"/>
  <c r="X251" i="12"/>
  <c r="Z251" i="12" s="1"/>
  <c r="N251" i="12"/>
  <c r="L251" i="12"/>
  <c r="B251" i="12"/>
  <c r="Z250" i="12"/>
  <c r="X250" i="12"/>
  <c r="N250" i="12"/>
  <c r="L250" i="12"/>
  <c r="B250" i="12"/>
  <c r="X249" i="12"/>
  <c r="Z249" i="12" s="1"/>
  <c r="N249" i="12"/>
  <c r="L249" i="12"/>
  <c r="B249" i="12"/>
  <c r="X248" i="12"/>
  <c r="Z248" i="12" s="1"/>
  <c r="T248" i="12"/>
  <c r="P248" i="12"/>
  <c r="L248" i="12"/>
  <c r="N248" i="12" s="1"/>
  <c r="H248" i="12"/>
  <c r="D248" i="12"/>
  <c r="B248" i="12"/>
  <c r="Z247" i="12"/>
  <c r="X247" i="12"/>
  <c r="N247" i="12"/>
  <c r="L247" i="12"/>
  <c r="B247" i="12"/>
  <c r="Z246" i="12"/>
  <c r="X246" i="12"/>
  <c r="N246" i="12"/>
  <c r="L246" i="12"/>
  <c r="B246" i="12"/>
  <c r="T245" i="12"/>
  <c r="Z245" i="12" s="1"/>
  <c r="P245" i="12"/>
  <c r="X245" i="12" s="1"/>
  <c r="H245" i="12"/>
  <c r="D245" i="12"/>
  <c r="B245" i="12"/>
  <c r="Z244" i="12"/>
  <c r="X244" i="12"/>
  <c r="L244" i="12"/>
  <c r="N244" i="12" s="1"/>
  <c r="B244" i="12"/>
  <c r="X243" i="12"/>
  <c r="Z243" i="12" s="1"/>
  <c r="L243" i="12"/>
  <c r="N243" i="12" s="1"/>
  <c r="B243" i="12"/>
  <c r="Z242" i="12"/>
  <c r="X242" i="12"/>
  <c r="V242" i="12"/>
  <c r="N242" i="12"/>
  <c r="L242" i="12"/>
  <c r="B242" i="12"/>
  <c r="X241" i="12"/>
  <c r="Z241" i="12" s="1"/>
  <c r="N241" i="12"/>
  <c r="L241" i="12"/>
  <c r="B241" i="12"/>
  <c r="Z240" i="12"/>
  <c r="X240" i="12"/>
  <c r="L240" i="12"/>
  <c r="N240" i="12" s="1"/>
  <c r="B240" i="12"/>
  <c r="T239" i="12"/>
  <c r="Z239" i="12" s="1"/>
  <c r="P239" i="12"/>
  <c r="X239" i="12" s="1"/>
  <c r="H239" i="12"/>
  <c r="N239" i="12" s="1"/>
  <c r="D239" i="12"/>
  <c r="L239" i="12" s="1"/>
  <c r="B239" i="12"/>
  <c r="X238" i="12"/>
  <c r="Z238" i="12" s="1"/>
  <c r="N238" i="12"/>
  <c r="L238" i="12"/>
  <c r="B238" i="12"/>
  <c r="X237" i="12"/>
  <c r="Z237" i="12" s="1"/>
  <c r="N237" i="12"/>
  <c r="L237" i="12"/>
  <c r="B237" i="12"/>
  <c r="X236" i="12"/>
  <c r="Z236" i="12" s="1"/>
  <c r="N236" i="12"/>
  <c r="L236" i="12"/>
  <c r="B236" i="12"/>
  <c r="T235" i="12"/>
  <c r="P235" i="12"/>
  <c r="X235" i="12" s="1"/>
  <c r="L235" i="12"/>
  <c r="H235" i="12"/>
  <c r="N235" i="12" s="1"/>
  <c r="D235" i="12"/>
  <c r="B235" i="12"/>
  <c r="Z234" i="12"/>
  <c r="X234" i="12"/>
  <c r="N234" i="12"/>
  <c r="L234" i="12"/>
  <c r="B234" i="12"/>
  <c r="Z233" i="12"/>
  <c r="X233" i="12"/>
  <c r="L233" i="12"/>
  <c r="N233" i="12" s="1"/>
  <c r="B233" i="12"/>
  <c r="Z232" i="12"/>
  <c r="X232" i="12"/>
  <c r="N232" i="12"/>
  <c r="L232" i="12"/>
  <c r="B232" i="12"/>
  <c r="Z231" i="12"/>
  <c r="X231" i="12"/>
  <c r="N231" i="12"/>
  <c r="L231" i="12"/>
  <c r="B231" i="12"/>
  <c r="T230" i="12"/>
  <c r="P230" i="12"/>
  <c r="N230" i="12"/>
  <c r="H230" i="12"/>
  <c r="L230" i="12" s="1"/>
  <c r="D230" i="12"/>
  <c r="B230" i="12"/>
  <c r="X229" i="12"/>
  <c r="Z229" i="12" s="1"/>
  <c r="L229" i="12"/>
  <c r="N229" i="12" s="1"/>
  <c r="B229" i="12"/>
  <c r="T228" i="12"/>
  <c r="P228" i="12"/>
  <c r="X228" i="12" s="1"/>
  <c r="Z228" i="12" s="1"/>
  <c r="H228" i="12"/>
  <c r="D228" i="12"/>
  <c r="L228" i="12" s="1"/>
  <c r="N228" i="12" s="1"/>
  <c r="B228" i="12"/>
  <c r="X227" i="12"/>
  <c r="Z227" i="12" s="1"/>
  <c r="N227" i="12"/>
  <c r="L227" i="12"/>
  <c r="B227" i="12"/>
  <c r="X226" i="12"/>
  <c r="Z226" i="12" s="1"/>
  <c r="T226" i="12"/>
  <c r="P226" i="12"/>
  <c r="N226" i="12"/>
  <c r="L226" i="12"/>
  <c r="H226" i="12"/>
  <c r="D226" i="12"/>
  <c r="B226" i="12"/>
  <c r="Z225" i="12"/>
  <c r="X225" i="12"/>
  <c r="N225" i="12"/>
  <c r="L225" i="12"/>
  <c r="B225" i="12"/>
  <c r="Z224" i="12"/>
  <c r="X224" i="12"/>
  <c r="N224" i="12"/>
  <c r="L224" i="12"/>
  <c r="B224" i="12"/>
  <c r="Z223" i="12"/>
  <c r="X223" i="12"/>
  <c r="L223" i="12"/>
  <c r="N223" i="12" s="1"/>
  <c r="B223" i="12"/>
  <c r="T222" i="12"/>
  <c r="P222" i="12"/>
  <c r="H222" i="12"/>
  <c r="L222" i="12" s="1"/>
  <c r="N222" i="12" s="1"/>
  <c r="D222" i="12"/>
  <c r="B222" i="12"/>
  <c r="X221" i="12"/>
  <c r="Z221" i="12" s="1"/>
  <c r="L221" i="12"/>
  <c r="N221" i="12" s="1"/>
  <c r="B221" i="12"/>
  <c r="T220" i="12"/>
  <c r="P220" i="12"/>
  <c r="X220" i="12" s="1"/>
  <c r="Z220" i="12" s="1"/>
  <c r="H220" i="12"/>
  <c r="D220" i="12"/>
  <c r="L220" i="12" s="1"/>
  <c r="N220" i="12" s="1"/>
  <c r="B220" i="12"/>
  <c r="X219" i="12"/>
  <c r="Z219" i="12" s="1"/>
  <c r="N219" i="12"/>
  <c r="L219" i="12"/>
  <c r="B219" i="12"/>
  <c r="X218" i="12"/>
  <c r="Z218" i="12" s="1"/>
  <c r="T218" i="12"/>
  <c r="P218" i="12"/>
  <c r="L218" i="12"/>
  <c r="N218" i="12" s="1"/>
  <c r="H218" i="12"/>
  <c r="D218" i="12"/>
  <c r="B218" i="12"/>
  <c r="Z217" i="12"/>
  <c r="X217" i="12"/>
  <c r="L217" i="12"/>
  <c r="N217" i="12" s="1"/>
  <c r="B217" i="12"/>
  <c r="Z216" i="12"/>
  <c r="T216" i="12"/>
  <c r="X216" i="12" s="1"/>
  <c r="P216" i="12"/>
  <c r="H216" i="12"/>
  <c r="D216" i="12"/>
  <c r="B216" i="12"/>
  <c r="X215" i="12"/>
  <c r="Z215" i="12" s="1"/>
  <c r="L215" i="12"/>
  <c r="N215" i="12" s="1"/>
  <c r="B215" i="12"/>
  <c r="Z214" i="12"/>
  <c r="X214" i="12"/>
  <c r="V214" i="12"/>
  <c r="L214" i="12"/>
  <c r="N214" i="12" s="1"/>
  <c r="B214" i="12"/>
  <c r="T213" i="12"/>
  <c r="Z213" i="12" s="1"/>
  <c r="P213" i="12"/>
  <c r="X213" i="12" s="1"/>
  <c r="H213" i="12"/>
  <c r="D213" i="12"/>
  <c r="L213" i="12" s="1"/>
  <c r="B213" i="12"/>
  <c r="X212" i="12"/>
  <c r="Z212" i="12" s="1"/>
  <c r="N212" i="12"/>
  <c r="L212" i="12"/>
  <c r="B212" i="12"/>
  <c r="X211" i="12"/>
  <c r="T211" i="12"/>
  <c r="Z211" i="12" s="1"/>
  <c r="P211" i="12"/>
  <c r="L211" i="12"/>
  <c r="H211" i="12"/>
  <c r="D211" i="12"/>
  <c r="B211" i="12"/>
  <c r="Z210" i="12"/>
  <c r="X210" i="12"/>
  <c r="N210" i="12"/>
  <c r="L210" i="12"/>
  <c r="B210" i="12"/>
  <c r="T209" i="12"/>
  <c r="Z209" i="12" s="1"/>
  <c r="P209" i="12"/>
  <c r="X209" i="12" s="1"/>
  <c r="H209" i="12"/>
  <c r="D209" i="12"/>
  <c r="B209" i="12"/>
  <c r="Z208" i="12"/>
  <c r="X208" i="12"/>
  <c r="L208" i="12"/>
  <c r="N208" i="12" s="1"/>
  <c r="B208" i="12"/>
  <c r="T207" i="12"/>
  <c r="P207" i="12"/>
  <c r="X207" i="12" s="1"/>
  <c r="H207" i="12"/>
  <c r="D207" i="12"/>
  <c r="L207" i="12" s="1"/>
  <c r="B207" i="12"/>
  <c r="X206" i="12"/>
  <c r="Z206" i="12" s="1"/>
  <c r="N206" i="12"/>
  <c r="L206" i="12"/>
  <c r="B206" i="12"/>
  <c r="X205" i="12"/>
  <c r="Z205" i="12" s="1"/>
  <c r="N205" i="12"/>
  <c r="L205" i="12"/>
  <c r="B205" i="12"/>
  <c r="X204" i="12"/>
  <c r="Z204" i="12" s="1"/>
  <c r="T204" i="12"/>
  <c r="P204" i="12"/>
  <c r="L204" i="12"/>
  <c r="N204" i="12" s="1"/>
  <c r="H204" i="12"/>
  <c r="D204" i="12"/>
  <c r="B204" i="12"/>
  <c r="Z203" i="12"/>
  <c r="X203" i="12"/>
  <c r="N203" i="12"/>
  <c r="L203" i="12"/>
  <c r="B203" i="12"/>
  <c r="Z202" i="12"/>
  <c r="X202" i="12"/>
  <c r="N202" i="12"/>
  <c r="L202" i="12"/>
  <c r="B202" i="12"/>
  <c r="Z201" i="12"/>
  <c r="X201" i="12"/>
  <c r="L201" i="12"/>
  <c r="N201" i="12" s="1"/>
  <c r="B201" i="12"/>
  <c r="Z200" i="12"/>
  <c r="T200" i="12"/>
  <c r="X200" i="12" s="1"/>
  <c r="P200" i="12"/>
  <c r="H200" i="12"/>
  <c r="D200" i="12"/>
  <c r="B200" i="12"/>
  <c r="X199" i="12"/>
  <c r="Z199" i="12" s="1"/>
  <c r="L199" i="12"/>
  <c r="N199" i="12" s="1"/>
  <c r="B199" i="12"/>
  <c r="V198" i="12"/>
  <c r="T198" i="12"/>
  <c r="P198" i="12"/>
  <c r="X198" i="12" s="1"/>
  <c r="Z198" i="12" s="1"/>
  <c r="H198" i="12"/>
  <c r="D198" i="12"/>
  <c r="L198" i="12" s="1"/>
  <c r="N198" i="12" s="1"/>
  <c r="B198" i="12"/>
  <c r="X197" i="12"/>
  <c r="Z197" i="12" s="1"/>
  <c r="N197" i="12"/>
  <c r="L197" i="12"/>
  <c r="B197" i="12"/>
  <c r="X196" i="12"/>
  <c r="Z196" i="12" s="1"/>
  <c r="N196" i="12"/>
  <c r="L196" i="12"/>
  <c r="B196" i="12"/>
  <c r="T195" i="12"/>
  <c r="P195" i="12"/>
  <c r="X195" i="12" s="1"/>
  <c r="L195" i="12"/>
  <c r="H195" i="12"/>
  <c r="N195" i="12" s="1"/>
  <c r="D195" i="12"/>
  <c r="B195" i="12"/>
  <c r="Z194" i="12"/>
  <c r="X194" i="12"/>
  <c r="N194" i="12"/>
  <c r="L194" i="12"/>
  <c r="B194" i="12"/>
  <c r="T193" i="12"/>
  <c r="P193" i="12"/>
  <c r="H193" i="12"/>
  <c r="D193" i="12"/>
  <c r="B193" i="12"/>
  <c r="Z192" i="12"/>
  <c r="X192" i="12"/>
  <c r="N192" i="12"/>
  <c r="L192" i="12"/>
  <c r="B192" i="12"/>
  <c r="X191" i="12"/>
  <c r="Z191" i="12" s="1"/>
  <c r="L191" i="12"/>
  <c r="N191" i="12" s="1"/>
  <c r="B191" i="12"/>
  <c r="Z190" i="12"/>
  <c r="X190" i="12"/>
  <c r="V190" i="12"/>
  <c r="L190" i="12"/>
  <c r="N190" i="12" s="1"/>
  <c r="B190" i="12"/>
  <c r="X189" i="12"/>
  <c r="Z189" i="12" s="1"/>
  <c r="V189" i="12"/>
  <c r="L189" i="12"/>
  <c r="N189" i="12" s="1"/>
  <c r="B189" i="12"/>
  <c r="Z188" i="12"/>
  <c r="X188" i="12"/>
  <c r="L188" i="12"/>
  <c r="N188" i="12" s="1"/>
  <c r="B188" i="12"/>
  <c r="X187" i="12"/>
  <c r="Z187" i="12" s="1"/>
  <c r="L187" i="12"/>
  <c r="N187" i="12" s="1"/>
  <c r="B187" i="12"/>
  <c r="Z186" i="12"/>
  <c r="X186" i="12"/>
  <c r="V186" i="12"/>
  <c r="N186" i="12"/>
  <c r="L186" i="12"/>
  <c r="B186" i="12"/>
  <c r="V185" i="12"/>
  <c r="T185" i="12"/>
  <c r="P185" i="12"/>
  <c r="X185" i="12" s="1"/>
  <c r="H185" i="12"/>
  <c r="D185" i="12"/>
  <c r="L185" i="12" s="1"/>
  <c r="B185" i="12"/>
  <c r="X184" i="12"/>
  <c r="Z184" i="12" s="1"/>
  <c r="N184" i="12"/>
  <c r="L184" i="12"/>
  <c r="B184" i="12"/>
  <c r="X183" i="12"/>
  <c r="Z183" i="12" s="1"/>
  <c r="N183" i="12"/>
  <c r="L183" i="12"/>
  <c r="B183" i="12"/>
  <c r="X182" i="12"/>
  <c r="Z182" i="12" s="1"/>
  <c r="N182" i="12"/>
  <c r="L182" i="12"/>
  <c r="B182" i="12"/>
  <c r="X181" i="12"/>
  <c r="Z181" i="12" s="1"/>
  <c r="N181" i="12"/>
  <c r="L181" i="12"/>
  <c r="B181" i="12"/>
  <c r="Z180" i="12"/>
  <c r="X180" i="12"/>
  <c r="N180" i="12"/>
  <c r="L180" i="12"/>
  <c r="B180" i="12"/>
  <c r="X179" i="12"/>
  <c r="Z179" i="12" s="1"/>
  <c r="N179" i="12"/>
  <c r="L179" i="12"/>
  <c r="B179" i="12"/>
  <c r="X178" i="12"/>
  <c r="Z178" i="12" s="1"/>
  <c r="N178" i="12"/>
  <c r="L178" i="12"/>
  <c r="B178" i="12"/>
  <c r="X177" i="12"/>
  <c r="Z177" i="12" s="1"/>
  <c r="N177" i="12"/>
  <c r="L177" i="12"/>
  <c r="B177" i="12"/>
  <c r="X176" i="12"/>
  <c r="Z176" i="12" s="1"/>
  <c r="N176" i="12"/>
  <c r="L176" i="12"/>
  <c r="B176" i="12"/>
  <c r="X175" i="12"/>
  <c r="Z175" i="12" s="1"/>
  <c r="N175" i="12"/>
  <c r="L175" i="12"/>
  <c r="B175" i="12"/>
  <c r="X174" i="12"/>
  <c r="Z174" i="12" s="1"/>
  <c r="T174" i="12"/>
  <c r="P174" i="12"/>
  <c r="L174" i="12"/>
  <c r="N174" i="12" s="1"/>
  <c r="H174" i="12"/>
  <c r="D174" i="12"/>
  <c r="B174" i="12"/>
  <c r="T173" i="12"/>
  <c r="P173" i="12"/>
  <c r="H173" i="12"/>
  <c r="D173" i="12"/>
  <c r="Z169" i="12"/>
  <c r="X169" i="12"/>
  <c r="L169" i="12"/>
  <c r="N169" i="12" s="1"/>
  <c r="B169" i="12"/>
  <c r="Z168" i="12"/>
  <c r="X168" i="12"/>
  <c r="N168" i="12"/>
  <c r="L168" i="12"/>
  <c r="B168" i="12"/>
  <c r="Z167" i="12"/>
  <c r="X167" i="12"/>
  <c r="N167" i="12"/>
  <c r="L167" i="12"/>
  <c r="B167" i="12"/>
  <c r="Z166" i="12"/>
  <c r="X166" i="12"/>
  <c r="N166" i="12"/>
  <c r="L166" i="12"/>
  <c r="B166" i="12"/>
  <c r="Z165" i="12"/>
  <c r="X165" i="12"/>
  <c r="L165" i="12"/>
  <c r="N165" i="12" s="1"/>
  <c r="B165" i="12"/>
  <c r="Z164" i="12"/>
  <c r="X164" i="12"/>
  <c r="N164" i="12"/>
  <c r="L164" i="12"/>
  <c r="B164" i="12"/>
  <c r="Z163" i="12"/>
  <c r="X163" i="12"/>
  <c r="L163" i="12"/>
  <c r="N163" i="12" s="1"/>
  <c r="B163" i="12"/>
  <c r="Z162" i="12"/>
  <c r="X162" i="12"/>
  <c r="N162" i="12"/>
  <c r="L162" i="12"/>
  <c r="B162" i="12"/>
  <c r="X161" i="12"/>
  <c r="Z161" i="12" s="1"/>
  <c r="L161" i="12"/>
  <c r="N161" i="12" s="1"/>
  <c r="B161" i="12"/>
  <c r="Z160" i="12"/>
  <c r="X160" i="12"/>
  <c r="N160" i="12"/>
  <c r="L160" i="12"/>
  <c r="B160" i="12"/>
  <c r="Z159" i="12"/>
  <c r="X159" i="12"/>
  <c r="L159" i="12"/>
  <c r="N159" i="12" s="1"/>
  <c r="B159" i="12"/>
  <c r="Z158" i="12"/>
  <c r="X158" i="12"/>
  <c r="N158" i="12"/>
  <c r="L158" i="12"/>
  <c r="B158" i="12"/>
  <c r="X157" i="12"/>
  <c r="Z157" i="12" s="1"/>
  <c r="N157" i="12"/>
  <c r="L157" i="12"/>
  <c r="B157" i="12"/>
  <c r="Z156" i="12"/>
  <c r="X156" i="12"/>
  <c r="N156" i="12"/>
  <c r="L156" i="12"/>
  <c r="B156" i="12"/>
  <c r="Z155" i="12"/>
  <c r="X155" i="12"/>
  <c r="L155" i="12"/>
  <c r="N155" i="12" s="1"/>
  <c r="B155" i="12"/>
  <c r="Z154" i="12"/>
  <c r="X154" i="12"/>
  <c r="N154" i="12"/>
  <c r="L154" i="12"/>
  <c r="B154" i="12"/>
  <c r="X153" i="12"/>
  <c r="Z153" i="12" s="1"/>
  <c r="N153" i="12"/>
  <c r="L153" i="12"/>
  <c r="B153" i="12"/>
  <c r="Z152" i="12"/>
  <c r="X152" i="12"/>
  <c r="N152" i="12"/>
  <c r="L152" i="12"/>
  <c r="B152" i="12"/>
  <c r="Z151" i="12"/>
  <c r="X151" i="12"/>
  <c r="L151" i="12"/>
  <c r="N151" i="12" s="1"/>
  <c r="B151" i="12"/>
  <c r="Z150" i="12"/>
  <c r="X150" i="12"/>
  <c r="N150" i="12"/>
  <c r="L150" i="12"/>
  <c r="B150" i="12"/>
  <c r="X149" i="12"/>
  <c r="Z149" i="12" s="1"/>
  <c r="L149" i="12"/>
  <c r="N149" i="12" s="1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X145" i="12"/>
  <c r="Z145" i="12" s="1"/>
  <c r="N145" i="12"/>
  <c r="L145" i="12"/>
  <c r="B145" i="12"/>
  <c r="Z144" i="12"/>
  <c r="X144" i="12"/>
  <c r="N144" i="12"/>
  <c r="L144" i="12"/>
  <c r="B144" i="12"/>
  <c r="Z143" i="12"/>
  <c r="X143" i="12"/>
  <c r="L143" i="12"/>
  <c r="N143" i="12" s="1"/>
  <c r="B143" i="12"/>
  <c r="Z142" i="12"/>
  <c r="X142" i="12"/>
  <c r="N142" i="12"/>
  <c r="L142" i="12"/>
  <c r="B142" i="12"/>
  <c r="X141" i="12"/>
  <c r="Z141" i="12" s="1"/>
  <c r="L141" i="12"/>
  <c r="N141" i="12" s="1"/>
  <c r="B141" i="12"/>
  <c r="Z140" i="12"/>
  <c r="X140" i="12"/>
  <c r="N140" i="12"/>
  <c r="L140" i="12"/>
  <c r="B140" i="12"/>
  <c r="Z139" i="12"/>
  <c r="X139" i="12"/>
  <c r="L139" i="12"/>
  <c r="N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X133" i="12"/>
  <c r="Z133" i="12" s="1"/>
  <c r="N133" i="12"/>
  <c r="L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B130" i="12"/>
  <c r="X129" i="12"/>
  <c r="Z129" i="12" s="1"/>
  <c r="L129" i="12"/>
  <c r="N129" i="12" s="1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X125" i="12"/>
  <c r="Z125" i="12" s="1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X121" i="12"/>
  <c r="Z121" i="12" s="1"/>
  <c r="L121" i="12"/>
  <c r="N121" i="12" s="1"/>
  <c r="B121" i="12"/>
  <c r="Z120" i="12"/>
  <c r="X120" i="12"/>
  <c r="N120" i="12"/>
  <c r="L120" i="12"/>
  <c r="B120" i="12"/>
  <c r="Z119" i="12"/>
  <c r="X119" i="12"/>
  <c r="L119" i="12"/>
  <c r="N119" i="12" s="1"/>
  <c r="B119" i="12"/>
  <c r="Z118" i="12"/>
  <c r="X118" i="12"/>
  <c r="N118" i="12"/>
  <c r="L118" i="12"/>
  <c r="B118" i="12"/>
  <c r="Z117" i="12"/>
  <c r="X117" i="12"/>
  <c r="N117" i="12"/>
  <c r="L117" i="12"/>
  <c r="B117" i="12"/>
  <c r="T116" i="12"/>
  <c r="X116" i="12" s="1"/>
  <c r="Z116" i="12" s="1"/>
  <c r="P116" i="12"/>
  <c r="H116" i="12"/>
  <c r="D116" i="12"/>
  <c r="Z114" i="12"/>
  <c r="T114" i="12"/>
  <c r="P114" i="12"/>
  <c r="X114" i="12" s="1"/>
  <c r="H114" i="12"/>
  <c r="N114" i="12" s="1"/>
  <c r="D114" i="12"/>
  <c r="L114" i="12" s="1"/>
  <c r="B114" i="12"/>
  <c r="T113" i="12"/>
  <c r="P113" i="12"/>
  <c r="X113" i="12" s="1"/>
  <c r="Z113" i="12" s="1"/>
  <c r="L113" i="12"/>
  <c r="H113" i="12"/>
  <c r="N113" i="12" s="1"/>
  <c r="D113" i="12"/>
  <c r="B113" i="12"/>
  <c r="T112" i="12"/>
  <c r="P112" i="12"/>
  <c r="X112" i="12" s="1"/>
  <c r="H112" i="12"/>
  <c r="N112" i="12" s="1"/>
  <c r="D112" i="12"/>
  <c r="B112" i="12"/>
  <c r="T111" i="12"/>
  <c r="P111" i="12"/>
  <c r="X111" i="12" s="1"/>
  <c r="Z111" i="12" s="1"/>
  <c r="H111" i="12"/>
  <c r="D111" i="12"/>
  <c r="B111" i="12"/>
  <c r="T110" i="12"/>
  <c r="P110" i="12"/>
  <c r="X110" i="12" s="1"/>
  <c r="Z110" i="12" s="1"/>
  <c r="H110" i="12"/>
  <c r="N110" i="12" s="1"/>
  <c r="D110" i="12"/>
  <c r="L110" i="12" s="1"/>
  <c r="B110" i="12"/>
  <c r="T109" i="12"/>
  <c r="P109" i="12"/>
  <c r="X109" i="12" s="1"/>
  <c r="Z109" i="12" s="1"/>
  <c r="L109" i="12"/>
  <c r="H109" i="12"/>
  <c r="N109" i="12" s="1"/>
  <c r="D109" i="12"/>
  <c r="B109" i="12"/>
  <c r="T108" i="12"/>
  <c r="Z108" i="12" s="1"/>
  <c r="P108" i="12"/>
  <c r="X108" i="12" s="1"/>
  <c r="H108" i="12"/>
  <c r="N108" i="12" s="1"/>
  <c r="D108" i="12"/>
  <c r="B108" i="12"/>
  <c r="T107" i="12"/>
  <c r="P107" i="12"/>
  <c r="X107" i="12" s="1"/>
  <c r="Z107" i="12" s="1"/>
  <c r="H107" i="12"/>
  <c r="D107" i="12"/>
  <c r="B107" i="12"/>
  <c r="T106" i="12"/>
  <c r="P106" i="12"/>
  <c r="X106" i="12" s="1"/>
  <c r="Z106" i="12" s="1"/>
  <c r="H106" i="12"/>
  <c r="N106" i="12" s="1"/>
  <c r="D106" i="12"/>
  <c r="L106" i="12" s="1"/>
  <c r="B106" i="12"/>
  <c r="Z105" i="12"/>
  <c r="T105" i="12"/>
  <c r="P105" i="12"/>
  <c r="X105" i="12" s="1"/>
  <c r="L105" i="12"/>
  <c r="H105" i="12"/>
  <c r="N105" i="12" s="1"/>
  <c r="D105" i="12"/>
  <c r="B105" i="12"/>
  <c r="T104" i="12"/>
  <c r="P104" i="12"/>
  <c r="X104" i="12" s="1"/>
  <c r="H104" i="12"/>
  <c r="D104" i="12"/>
  <c r="L104" i="12" s="1"/>
  <c r="B104" i="12"/>
  <c r="T103" i="12"/>
  <c r="P103" i="12"/>
  <c r="X103" i="12" s="1"/>
  <c r="Z103" i="12" s="1"/>
  <c r="H103" i="12"/>
  <c r="D103" i="12"/>
  <c r="B103" i="12"/>
  <c r="Z102" i="12"/>
  <c r="T102" i="12"/>
  <c r="P102" i="12"/>
  <c r="X102" i="12" s="1"/>
  <c r="H102" i="12"/>
  <c r="N102" i="12" s="1"/>
  <c r="D102" i="12"/>
  <c r="L102" i="12" s="1"/>
  <c r="B102" i="12"/>
  <c r="Z101" i="12"/>
  <c r="T101" i="12"/>
  <c r="P101" i="12"/>
  <c r="X101" i="12" s="1"/>
  <c r="L101" i="12"/>
  <c r="H101" i="12"/>
  <c r="N101" i="12" s="1"/>
  <c r="D101" i="12"/>
  <c r="B101" i="12"/>
  <c r="T100" i="12"/>
  <c r="Z100" i="12" s="1"/>
  <c r="P100" i="12"/>
  <c r="X100" i="12" s="1"/>
  <c r="H100" i="12"/>
  <c r="N100" i="12" s="1"/>
  <c r="D100" i="12"/>
  <c r="B100" i="12"/>
  <c r="T99" i="12"/>
  <c r="P99" i="12"/>
  <c r="X99" i="12" s="1"/>
  <c r="Z99" i="12" s="1"/>
  <c r="H99" i="12"/>
  <c r="D99" i="12"/>
  <c r="B99" i="12"/>
  <c r="T98" i="12"/>
  <c r="P98" i="12"/>
  <c r="X98" i="12" s="1"/>
  <c r="Z98" i="12" s="1"/>
  <c r="H98" i="12"/>
  <c r="N98" i="12" s="1"/>
  <c r="D98" i="12"/>
  <c r="L98" i="12" s="1"/>
  <c r="B98" i="12"/>
  <c r="Z97" i="12"/>
  <c r="T97" i="12"/>
  <c r="P97" i="12"/>
  <c r="X97" i="12" s="1"/>
  <c r="L97" i="12"/>
  <c r="H97" i="12"/>
  <c r="N97" i="12" s="1"/>
  <c r="D97" i="12"/>
  <c r="B97" i="12"/>
  <c r="T96" i="12"/>
  <c r="Z96" i="12" s="1"/>
  <c r="P96" i="12"/>
  <c r="X96" i="12" s="1"/>
  <c r="H96" i="12"/>
  <c r="D96" i="12"/>
  <c r="L96" i="12" s="1"/>
  <c r="B96" i="12"/>
  <c r="T95" i="12"/>
  <c r="P95" i="12"/>
  <c r="X95" i="12" s="1"/>
  <c r="Z95" i="12" s="1"/>
  <c r="H95" i="12"/>
  <c r="D95" i="12"/>
  <c r="B95" i="12"/>
  <c r="T94" i="12"/>
  <c r="P94" i="12"/>
  <c r="X94" i="12" s="1"/>
  <c r="Z94" i="12" s="1"/>
  <c r="H94" i="12"/>
  <c r="N94" i="12" s="1"/>
  <c r="D94" i="12"/>
  <c r="L94" i="12" s="1"/>
  <c r="B94" i="12"/>
  <c r="Z93" i="12"/>
  <c r="T93" i="12"/>
  <c r="P93" i="12"/>
  <c r="X93" i="12" s="1"/>
  <c r="L93" i="12"/>
  <c r="H93" i="12"/>
  <c r="N93" i="12" s="1"/>
  <c r="D93" i="12"/>
  <c r="B93" i="12"/>
  <c r="T92" i="12"/>
  <c r="P92" i="12"/>
  <c r="X92" i="12" s="1"/>
  <c r="H92" i="12"/>
  <c r="D92" i="12"/>
  <c r="B92" i="12"/>
  <c r="T91" i="12"/>
  <c r="P91" i="12"/>
  <c r="X91" i="12" s="1"/>
  <c r="Z91" i="12" s="1"/>
  <c r="H91" i="12"/>
  <c r="D91" i="12"/>
  <c r="B91" i="12"/>
  <c r="T90" i="12"/>
  <c r="P90" i="12"/>
  <c r="X90" i="12" s="1"/>
  <c r="Z90" i="12" s="1"/>
  <c r="H90" i="12"/>
  <c r="N90" i="12" s="1"/>
  <c r="D90" i="12"/>
  <c r="L90" i="12" s="1"/>
  <c r="B90" i="12"/>
  <c r="Z89" i="12"/>
  <c r="T89" i="12"/>
  <c r="P89" i="12"/>
  <c r="X89" i="12" s="1"/>
  <c r="L89" i="12"/>
  <c r="H89" i="12"/>
  <c r="N89" i="12" s="1"/>
  <c r="D89" i="12"/>
  <c r="B89" i="12"/>
  <c r="T88" i="12"/>
  <c r="P88" i="12"/>
  <c r="X88" i="12" s="1"/>
  <c r="H88" i="12"/>
  <c r="D88" i="12"/>
  <c r="B88" i="12"/>
  <c r="T87" i="12"/>
  <c r="P87" i="12"/>
  <c r="X87" i="12" s="1"/>
  <c r="Z87" i="12" s="1"/>
  <c r="H87" i="12"/>
  <c r="D87" i="12"/>
  <c r="B87" i="12"/>
  <c r="T86" i="12"/>
  <c r="P86" i="12"/>
  <c r="X86" i="12" s="1"/>
  <c r="Z86" i="12" s="1"/>
  <c r="H86" i="12"/>
  <c r="N86" i="12" s="1"/>
  <c r="D86" i="12"/>
  <c r="L86" i="12" s="1"/>
  <c r="B86" i="12"/>
  <c r="T85" i="12"/>
  <c r="P85" i="12"/>
  <c r="X85" i="12" s="1"/>
  <c r="Z85" i="12" s="1"/>
  <c r="L85" i="12"/>
  <c r="H85" i="12"/>
  <c r="N85" i="12" s="1"/>
  <c r="D85" i="12"/>
  <c r="B85" i="12"/>
  <c r="T84" i="12"/>
  <c r="P84" i="12"/>
  <c r="X84" i="12" s="1"/>
  <c r="H84" i="12"/>
  <c r="N84" i="12" s="1"/>
  <c r="D84" i="12"/>
  <c r="L84" i="12" s="1"/>
  <c r="B84" i="12"/>
  <c r="T83" i="12"/>
  <c r="P83" i="12"/>
  <c r="X83" i="12" s="1"/>
  <c r="Z83" i="12" s="1"/>
  <c r="H83" i="12"/>
  <c r="D83" i="12"/>
  <c r="B83" i="12"/>
  <c r="Z82" i="12"/>
  <c r="T82" i="12"/>
  <c r="P82" i="12"/>
  <c r="X82" i="12" s="1"/>
  <c r="H82" i="12"/>
  <c r="N82" i="12" s="1"/>
  <c r="D82" i="12"/>
  <c r="L82" i="12" s="1"/>
  <c r="B82" i="12"/>
  <c r="T81" i="12"/>
  <c r="P81" i="12"/>
  <c r="X81" i="12" s="1"/>
  <c r="Z81" i="12" s="1"/>
  <c r="L81" i="12"/>
  <c r="H81" i="12"/>
  <c r="N81" i="12" s="1"/>
  <c r="D81" i="12"/>
  <c r="B81" i="12"/>
  <c r="T80" i="12"/>
  <c r="P80" i="12"/>
  <c r="X80" i="12" s="1"/>
  <c r="H80" i="12"/>
  <c r="D80" i="12"/>
  <c r="L80" i="12" s="1"/>
  <c r="B80" i="12"/>
  <c r="T79" i="12"/>
  <c r="P79" i="12"/>
  <c r="X79" i="12" s="1"/>
  <c r="Z79" i="12" s="1"/>
  <c r="H79" i="12"/>
  <c r="D79" i="12"/>
  <c r="B79" i="12"/>
  <c r="Z78" i="12"/>
  <c r="T78" i="12"/>
  <c r="P78" i="12"/>
  <c r="X78" i="12" s="1"/>
  <c r="H78" i="12"/>
  <c r="D78" i="12"/>
  <c r="L78" i="12" s="1"/>
  <c r="B78" i="12"/>
  <c r="Z77" i="12"/>
  <c r="T77" i="12"/>
  <c r="P77" i="12"/>
  <c r="X77" i="12" s="1"/>
  <c r="L77" i="12"/>
  <c r="H77" i="12"/>
  <c r="N77" i="12" s="1"/>
  <c r="D77" i="12"/>
  <c r="B77" i="12"/>
  <c r="T76" i="12"/>
  <c r="Z76" i="12" s="1"/>
  <c r="P76" i="12"/>
  <c r="X76" i="12" s="1"/>
  <c r="H76" i="12"/>
  <c r="N76" i="12" s="1"/>
  <c r="D76" i="12"/>
  <c r="L76" i="12" s="1"/>
  <c r="B76" i="12"/>
  <c r="T75" i="12"/>
  <c r="P75" i="12"/>
  <c r="X75" i="12" s="1"/>
  <c r="Z75" i="12" s="1"/>
  <c r="H75" i="12"/>
  <c r="D75" i="12"/>
  <c r="B75" i="12"/>
  <c r="Z74" i="12"/>
  <c r="T74" i="12"/>
  <c r="P74" i="12"/>
  <c r="X74" i="12" s="1"/>
  <c r="H74" i="12"/>
  <c r="D74" i="12"/>
  <c r="L74" i="12" s="1"/>
  <c r="B74" i="12"/>
  <c r="T73" i="12"/>
  <c r="P73" i="12"/>
  <c r="X73" i="12" s="1"/>
  <c r="Z73" i="12" s="1"/>
  <c r="L73" i="12"/>
  <c r="H73" i="12"/>
  <c r="N73" i="12" s="1"/>
  <c r="D73" i="12"/>
  <c r="B73" i="12"/>
  <c r="T72" i="12"/>
  <c r="Z72" i="12" s="1"/>
  <c r="P72" i="12"/>
  <c r="X72" i="12" s="1"/>
  <c r="H72" i="12"/>
  <c r="D72" i="12"/>
  <c r="L72" i="12" s="1"/>
  <c r="B72" i="12"/>
  <c r="T71" i="12"/>
  <c r="P71" i="12"/>
  <c r="X71" i="12" s="1"/>
  <c r="Z71" i="12" s="1"/>
  <c r="H71" i="12"/>
  <c r="D71" i="12"/>
  <c r="B71" i="12"/>
  <c r="Z70" i="12"/>
  <c r="T70" i="12"/>
  <c r="P70" i="12"/>
  <c r="X70" i="12" s="1"/>
  <c r="H70" i="12"/>
  <c r="D70" i="12"/>
  <c r="B70" i="12"/>
  <c r="T69" i="12"/>
  <c r="P69" i="12"/>
  <c r="X69" i="12" s="1"/>
  <c r="Z69" i="12" s="1"/>
  <c r="L69" i="12"/>
  <c r="H69" i="12"/>
  <c r="N69" i="12" s="1"/>
  <c r="D69" i="12"/>
  <c r="B69" i="12"/>
  <c r="T68" i="12"/>
  <c r="Z68" i="12" s="1"/>
  <c r="P68" i="12"/>
  <c r="X68" i="12" s="1"/>
  <c r="H68" i="12"/>
  <c r="D68" i="12"/>
  <c r="B68" i="12"/>
  <c r="T67" i="12"/>
  <c r="P67" i="12"/>
  <c r="X67" i="12" s="1"/>
  <c r="Z67" i="12" s="1"/>
  <c r="H67" i="12"/>
  <c r="D67" i="12"/>
  <c r="B67" i="12"/>
  <c r="Z66" i="12"/>
  <c r="T66" i="12"/>
  <c r="P66" i="12"/>
  <c r="X66" i="12" s="1"/>
  <c r="H66" i="12"/>
  <c r="D66" i="12"/>
  <c r="B66" i="12"/>
  <c r="T65" i="12"/>
  <c r="P65" i="12"/>
  <c r="X65" i="12" s="1"/>
  <c r="Z65" i="12" s="1"/>
  <c r="L65" i="12"/>
  <c r="H65" i="12"/>
  <c r="N65" i="12" s="1"/>
  <c r="D65" i="12"/>
  <c r="B65" i="12"/>
  <c r="T64" i="12"/>
  <c r="P64" i="12"/>
  <c r="X64" i="12" s="1"/>
  <c r="H64" i="12"/>
  <c r="D64" i="12"/>
  <c r="B64" i="12"/>
  <c r="T63" i="12"/>
  <c r="P63" i="12"/>
  <c r="X63" i="12" s="1"/>
  <c r="Z63" i="12" s="1"/>
  <c r="H63" i="12"/>
  <c r="D63" i="12"/>
  <c r="B63" i="12"/>
  <c r="T62" i="12"/>
  <c r="P62" i="12"/>
  <c r="X62" i="12" s="1"/>
  <c r="Z62" i="12" s="1"/>
  <c r="H62" i="12"/>
  <c r="N62" i="12" s="1"/>
  <c r="D62" i="12"/>
  <c r="B62" i="12"/>
  <c r="T61" i="12"/>
  <c r="P61" i="12"/>
  <c r="X61" i="12" s="1"/>
  <c r="Z61" i="12" s="1"/>
  <c r="L61" i="12"/>
  <c r="H61" i="12"/>
  <c r="N61" i="12" s="1"/>
  <c r="D61" i="12"/>
  <c r="B61" i="12"/>
  <c r="T60" i="12"/>
  <c r="Z60" i="12" s="1"/>
  <c r="P60" i="12"/>
  <c r="X60" i="12" s="1"/>
  <c r="H60" i="12"/>
  <c r="D60" i="12"/>
  <c r="B60" i="12"/>
  <c r="T59" i="12"/>
  <c r="P59" i="12"/>
  <c r="X59" i="12" s="1"/>
  <c r="Z59" i="12" s="1"/>
  <c r="H59" i="12"/>
  <c r="D59" i="12"/>
  <c r="B59" i="12"/>
  <c r="T58" i="12"/>
  <c r="P58" i="12"/>
  <c r="X58" i="12" s="1"/>
  <c r="Z58" i="12" s="1"/>
  <c r="H58" i="12"/>
  <c r="D58" i="12"/>
  <c r="B58" i="12"/>
  <c r="Z57" i="12"/>
  <c r="T57" i="12"/>
  <c r="P57" i="12"/>
  <c r="X57" i="12" s="1"/>
  <c r="L57" i="12"/>
  <c r="H57" i="12"/>
  <c r="N57" i="12" s="1"/>
  <c r="D57" i="12"/>
  <c r="B57" i="12"/>
  <c r="T56" i="12"/>
  <c r="P56" i="12"/>
  <c r="X56" i="12" s="1"/>
  <c r="H56" i="12"/>
  <c r="D56" i="12"/>
  <c r="B56" i="12"/>
  <c r="T55" i="12"/>
  <c r="P55" i="12"/>
  <c r="X55" i="12" s="1"/>
  <c r="Z55" i="12" s="1"/>
  <c r="H55" i="12"/>
  <c r="D55" i="12"/>
  <c r="B55" i="12"/>
  <c r="Z54" i="12"/>
  <c r="T54" i="12"/>
  <c r="P54" i="12"/>
  <c r="X54" i="12" s="1"/>
  <c r="H54" i="12"/>
  <c r="D54" i="12"/>
  <c r="B54" i="12"/>
  <c r="Z53" i="12"/>
  <c r="T53" i="12"/>
  <c r="P53" i="12"/>
  <c r="X53" i="12" s="1"/>
  <c r="L53" i="12"/>
  <c r="H53" i="12"/>
  <c r="N53" i="12" s="1"/>
  <c r="D53" i="12"/>
  <c r="B53" i="12"/>
  <c r="T52" i="12"/>
  <c r="Z52" i="12" s="1"/>
  <c r="P52" i="12"/>
  <c r="X52" i="12" s="1"/>
  <c r="H52" i="12"/>
  <c r="D52" i="12"/>
  <c r="B52" i="12"/>
  <c r="T51" i="12"/>
  <c r="P51" i="12"/>
  <c r="X51" i="12" s="1"/>
  <c r="Z51" i="12" s="1"/>
  <c r="H51" i="12"/>
  <c r="D51" i="12"/>
  <c r="B51" i="12"/>
  <c r="T50" i="12"/>
  <c r="P50" i="12"/>
  <c r="X50" i="12" s="1"/>
  <c r="Z50" i="12" s="1"/>
  <c r="H50" i="12"/>
  <c r="D50" i="12"/>
  <c r="B50" i="12"/>
  <c r="Z49" i="12"/>
  <c r="T49" i="12"/>
  <c r="P49" i="12"/>
  <c r="X49" i="12" s="1"/>
  <c r="L49" i="12"/>
  <c r="H49" i="12"/>
  <c r="N49" i="12" s="1"/>
  <c r="D49" i="12"/>
  <c r="B49" i="12"/>
  <c r="T48" i="12"/>
  <c r="Z48" i="12" s="1"/>
  <c r="P48" i="12"/>
  <c r="X48" i="12" s="1"/>
  <c r="H48" i="12"/>
  <c r="D48" i="12"/>
  <c r="B48" i="12"/>
  <c r="T47" i="12"/>
  <c r="P47" i="12"/>
  <c r="X47" i="12" s="1"/>
  <c r="Z47" i="12" s="1"/>
  <c r="H47" i="12"/>
  <c r="D47" i="12"/>
  <c r="B47" i="12"/>
  <c r="T46" i="12"/>
  <c r="P46" i="12"/>
  <c r="X46" i="12" s="1"/>
  <c r="Z46" i="12" s="1"/>
  <c r="H46" i="12"/>
  <c r="D46" i="12"/>
  <c r="B46" i="12"/>
  <c r="Z45" i="12"/>
  <c r="T45" i="12"/>
  <c r="P45" i="12"/>
  <c r="X45" i="12" s="1"/>
  <c r="L45" i="12"/>
  <c r="H45" i="12"/>
  <c r="N45" i="12" s="1"/>
  <c r="D45" i="12"/>
  <c r="B45" i="12"/>
  <c r="T44" i="12"/>
  <c r="P44" i="12"/>
  <c r="X44" i="12" s="1"/>
  <c r="H44" i="12"/>
  <c r="D44" i="12"/>
  <c r="B44" i="12"/>
  <c r="T43" i="12"/>
  <c r="P43" i="12"/>
  <c r="X43" i="12" s="1"/>
  <c r="Z43" i="12" s="1"/>
  <c r="H43" i="12"/>
  <c r="D43" i="12"/>
  <c r="B43" i="12"/>
  <c r="T42" i="12"/>
  <c r="P42" i="12"/>
  <c r="X42" i="12" s="1"/>
  <c r="Z42" i="12" s="1"/>
  <c r="H42" i="12"/>
  <c r="N42" i="12" s="1"/>
  <c r="D42" i="12"/>
  <c r="B42" i="12"/>
  <c r="Z41" i="12"/>
  <c r="T41" i="12"/>
  <c r="P41" i="12"/>
  <c r="X41" i="12" s="1"/>
  <c r="L41" i="12"/>
  <c r="H41" i="12"/>
  <c r="N41" i="12" s="1"/>
  <c r="D41" i="12"/>
  <c r="B41" i="12"/>
  <c r="T40" i="12"/>
  <c r="P40" i="12"/>
  <c r="X40" i="12" s="1"/>
  <c r="H40" i="12"/>
  <c r="D40" i="12"/>
  <c r="B40" i="12"/>
  <c r="T39" i="12"/>
  <c r="Z39" i="12" s="1"/>
  <c r="P39" i="12"/>
  <c r="X39" i="12" s="1"/>
  <c r="H39" i="12"/>
  <c r="D39" i="12"/>
  <c r="B39" i="12"/>
  <c r="T38" i="12"/>
  <c r="P38" i="12"/>
  <c r="X38" i="12" s="1"/>
  <c r="Z38" i="12" s="1"/>
  <c r="H38" i="12"/>
  <c r="D38" i="12"/>
  <c r="B38" i="12"/>
  <c r="T37" i="12"/>
  <c r="P37" i="12"/>
  <c r="X37" i="12" s="1"/>
  <c r="Z37" i="12" s="1"/>
  <c r="L37" i="12"/>
  <c r="H37" i="12"/>
  <c r="N37" i="12" s="1"/>
  <c r="D37" i="12"/>
  <c r="B37" i="12"/>
  <c r="T36" i="12"/>
  <c r="P36" i="12"/>
  <c r="X36" i="12" s="1"/>
  <c r="H36" i="12"/>
  <c r="D36" i="12"/>
  <c r="B36" i="12"/>
  <c r="T35" i="12"/>
  <c r="P35" i="12"/>
  <c r="X35" i="12" s="1"/>
  <c r="H35" i="12"/>
  <c r="D35" i="12"/>
  <c r="B35" i="12"/>
  <c r="Z34" i="12"/>
  <c r="T34" i="12"/>
  <c r="P34" i="12"/>
  <c r="X34" i="12" s="1"/>
  <c r="H34" i="12"/>
  <c r="D34" i="12"/>
  <c r="B34" i="12"/>
  <c r="T33" i="12"/>
  <c r="P33" i="12"/>
  <c r="X33" i="12" s="1"/>
  <c r="Z33" i="12" s="1"/>
  <c r="L33" i="12"/>
  <c r="H33" i="12"/>
  <c r="N33" i="12" s="1"/>
  <c r="D33" i="12"/>
  <c r="B33" i="12"/>
  <c r="T32" i="12"/>
  <c r="P32" i="12"/>
  <c r="X32" i="12" s="1"/>
  <c r="H32" i="12"/>
  <c r="D32" i="12"/>
  <c r="B32" i="12"/>
  <c r="T31" i="12"/>
  <c r="Z31" i="12" s="1"/>
  <c r="P31" i="12"/>
  <c r="X31" i="12" s="1"/>
  <c r="H31" i="12"/>
  <c r="D31" i="12"/>
  <c r="B31" i="12"/>
  <c r="Z30" i="12"/>
  <c r="T30" i="12"/>
  <c r="P30" i="12"/>
  <c r="X30" i="12" s="1"/>
  <c r="H30" i="12"/>
  <c r="N30" i="12" s="1"/>
  <c r="D30" i="12"/>
  <c r="B30" i="12"/>
  <c r="Z29" i="12"/>
  <c r="T29" i="12"/>
  <c r="P29" i="12"/>
  <c r="X29" i="12" s="1"/>
  <c r="L29" i="12"/>
  <c r="H29" i="12"/>
  <c r="N29" i="12" s="1"/>
  <c r="D29" i="12"/>
  <c r="B29" i="12"/>
  <c r="T28" i="12"/>
  <c r="Z28" i="12" s="1"/>
  <c r="P28" i="12"/>
  <c r="X28" i="12" s="1"/>
  <c r="H28" i="12"/>
  <c r="D28" i="12"/>
  <c r="B28" i="12"/>
  <c r="T27" i="12"/>
  <c r="Z27" i="12" s="1"/>
  <c r="P27" i="12"/>
  <c r="X27" i="12" s="1"/>
  <c r="H27" i="12"/>
  <c r="D27" i="12"/>
  <c r="B27" i="12"/>
  <c r="Z26" i="12"/>
  <c r="T26" i="12"/>
  <c r="P26" i="12"/>
  <c r="X26" i="12" s="1"/>
  <c r="H26" i="12"/>
  <c r="D26" i="12"/>
  <c r="B26" i="12"/>
  <c r="T25" i="12"/>
  <c r="P25" i="12"/>
  <c r="X25" i="12" s="1"/>
  <c r="Z25" i="12" s="1"/>
  <c r="L25" i="12"/>
  <c r="H25" i="12"/>
  <c r="N25" i="12" s="1"/>
  <c r="D25" i="12"/>
  <c r="B25" i="12"/>
  <c r="T24" i="12"/>
  <c r="Z24" i="12" s="1"/>
  <c r="P24" i="12"/>
  <c r="X24" i="12" s="1"/>
  <c r="H24" i="12"/>
  <c r="D24" i="12"/>
  <c r="B24" i="12"/>
  <c r="T23" i="12"/>
  <c r="P23" i="12"/>
  <c r="X23" i="12" s="1"/>
  <c r="H23" i="12"/>
  <c r="D23" i="12"/>
  <c r="B23" i="12"/>
  <c r="Z22" i="12"/>
  <c r="T22" i="12"/>
  <c r="P22" i="12"/>
  <c r="X22" i="12" s="1"/>
  <c r="H22" i="12"/>
  <c r="D22" i="12"/>
  <c r="B22" i="12"/>
  <c r="T21" i="12"/>
  <c r="P21" i="12"/>
  <c r="X21" i="12" s="1"/>
  <c r="Z21" i="12" s="1"/>
  <c r="L21" i="12"/>
  <c r="H21" i="12"/>
  <c r="N21" i="12" s="1"/>
  <c r="D21" i="12"/>
  <c r="B21" i="12"/>
  <c r="T20" i="12"/>
  <c r="Z20" i="12" s="1"/>
  <c r="P20" i="12"/>
  <c r="X20" i="12" s="1"/>
  <c r="H20" i="12"/>
  <c r="D20" i="12"/>
  <c r="B20" i="12"/>
  <c r="T19" i="12"/>
  <c r="P19" i="12"/>
  <c r="X19" i="12" s="1"/>
  <c r="H19" i="12"/>
  <c r="D19" i="12"/>
  <c r="B19" i="12"/>
  <c r="Z18" i="12"/>
  <c r="T18" i="12"/>
  <c r="P18" i="12"/>
  <c r="X18" i="12" s="1"/>
  <c r="L18" i="12"/>
  <c r="H18" i="12"/>
  <c r="N18" i="12" s="1"/>
  <c r="D18" i="12"/>
  <c r="B18" i="12"/>
  <c r="T17" i="12"/>
  <c r="P17" i="12"/>
  <c r="X17" i="12" s="1"/>
  <c r="Z17" i="12" s="1"/>
  <c r="L17" i="12"/>
  <c r="H17" i="12"/>
  <c r="N17" i="12" s="1"/>
  <c r="D17" i="12"/>
  <c r="B17" i="12"/>
  <c r="T16" i="12"/>
  <c r="Z16" i="12" s="1"/>
  <c r="P16" i="12"/>
  <c r="X16" i="12" s="1"/>
  <c r="H16" i="12"/>
  <c r="D16" i="12"/>
  <c r="B16" i="12"/>
  <c r="T15" i="12"/>
  <c r="P15" i="12"/>
  <c r="X15" i="12" s="1"/>
  <c r="H15" i="12"/>
  <c r="D15" i="12"/>
  <c r="B15" i="12"/>
  <c r="Z14" i="12"/>
  <c r="T14" i="12"/>
  <c r="P14" i="12"/>
  <c r="X14" i="12" s="1"/>
  <c r="L14" i="12"/>
  <c r="H14" i="12"/>
  <c r="N14" i="12" s="1"/>
  <c r="D14" i="12"/>
  <c r="B14" i="12"/>
  <c r="Z13" i="12"/>
  <c r="T13" i="12"/>
  <c r="P13" i="12"/>
  <c r="X13" i="12" s="1"/>
  <c r="L13" i="12"/>
  <c r="H13" i="12"/>
  <c r="N13" i="12" s="1"/>
  <c r="D13" i="12"/>
  <c r="D12" i="12" s="1"/>
  <c r="F255" i="12" s="1"/>
  <c r="B13" i="12"/>
  <c r="T12" i="12"/>
  <c r="D4" i="12"/>
  <c r="R95" i="9"/>
  <c r="Z93" i="9"/>
  <c r="X93" i="9"/>
  <c r="N93" i="9"/>
  <c r="L93" i="9"/>
  <c r="F93" i="9"/>
  <c r="X89" i="9"/>
  <c r="T89" i="9"/>
  <c r="Z89" i="9" s="1"/>
  <c r="P89" i="9"/>
  <c r="J89" i="9"/>
  <c r="H89" i="9"/>
  <c r="N89" i="9" s="1"/>
  <c r="D89" i="9"/>
  <c r="L89" i="9" s="1"/>
  <c r="X87" i="9"/>
  <c r="Z87" i="9" s="1"/>
  <c r="N87" i="9"/>
  <c r="L87" i="9"/>
  <c r="F87" i="9"/>
  <c r="B87" i="9"/>
  <c r="X86" i="9"/>
  <c r="Z86" i="9" s="1"/>
  <c r="V86" i="9"/>
  <c r="N86" i="9"/>
  <c r="L86" i="9"/>
  <c r="B86" i="9"/>
  <c r="T85" i="9"/>
  <c r="Z85" i="9" s="1"/>
  <c r="P85" i="9"/>
  <c r="X85" i="9" s="1"/>
  <c r="L85" i="9"/>
  <c r="H85" i="9"/>
  <c r="N85" i="9" s="1"/>
  <c r="D85" i="9"/>
  <c r="B85" i="9"/>
  <c r="X84" i="9"/>
  <c r="Z84" i="9" s="1"/>
  <c r="N84" i="9"/>
  <c r="L84" i="9"/>
  <c r="B84" i="9"/>
  <c r="T83" i="9"/>
  <c r="P83" i="9"/>
  <c r="L83" i="9"/>
  <c r="H83" i="9"/>
  <c r="D83" i="9"/>
  <c r="B83" i="9"/>
  <c r="Z82" i="9"/>
  <c r="X82" i="9"/>
  <c r="R82" i="9"/>
  <c r="L82" i="9"/>
  <c r="N82" i="9" s="1"/>
  <c r="B82" i="9"/>
  <c r="X81" i="9"/>
  <c r="Z81" i="9" s="1"/>
  <c r="L81" i="9"/>
  <c r="N81" i="9" s="1"/>
  <c r="B81" i="9"/>
  <c r="T80" i="9"/>
  <c r="P80" i="9"/>
  <c r="X80" i="9" s="1"/>
  <c r="Z80" i="9" s="1"/>
  <c r="H80" i="9"/>
  <c r="D80" i="9"/>
  <c r="L80" i="9" s="1"/>
  <c r="B80" i="9"/>
  <c r="X79" i="9"/>
  <c r="Z79" i="9" s="1"/>
  <c r="N79" i="9"/>
  <c r="L79" i="9"/>
  <c r="F79" i="9"/>
  <c r="B79" i="9"/>
  <c r="X78" i="9"/>
  <c r="Z78" i="9" s="1"/>
  <c r="N78" i="9"/>
  <c r="L78" i="9"/>
  <c r="B78" i="9"/>
  <c r="X77" i="9"/>
  <c r="Z77" i="9" s="1"/>
  <c r="L77" i="9"/>
  <c r="N77" i="9" s="1"/>
  <c r="F77" i="9"/>
  <c r="B77" i="9"/>
  <c r="X76" i="9"/>
  <c r="Z76" i="9" s="1"/>
  <c r="L76" i="9"/>
  <c r="N76" i="9" s="1"/>
  <c r="B76" i="9"/>
  <c r="X75" i="9"/>
  <c r="Z75" i="9" s="1"/>
  <c r="N75" i="9"/>
  <c r="L75" i="9"/>
  <c r="F75" i="9"/>
  <c r="B75" i="9"/>
  <c r="X74" i="9"/>
  <c r="Z74" i="9" s="1"/>
  <c r="T74" i="9"/>
  <c r="P74" i="9"/>
  <c r="H74" i="9"/>
  <c r="F74" i="9"/>
  <c r="D74" i="9"/>
  <c r="L74" i="9" s="1"/>
  <c r="N74" i="9" s="1"/>
  <c r="B74" i="9"/>
  <c r="X73" i="9"/>
  <c r="Z73" i="9" s="1"/>
  <c r="N73" i="9"/>
  <c r="L73" i="9"/>
  <c r="B73" i="9"/>
  <c r="X72" i="9"/>
  <c r="Z72" i="9" s="1"/>
  <c r="T72" i="9"/>
  <c r="R72" i="9"/>
  <c r="P72" i="9"/>
  <c r="N72" i="9"/>
  <c r="H72" i="9"/>
  <c r="L72" i="9" s="1"/>
  <c r="D72" i="9"/>
  <c r="B72" i="9"/>
  <c r="Z71" i="9"/>
  <c r="X71" i="9"/>
  <c r="N71" i="9"/>
  <c r="L71" i="9"/>
  <c r="B71" i="9"/>
  <c r="Z70" i="9"/>
  <c r="X70" i="9"/>
  <c r="L70" i="9"/>
  <c r="N70" i="9" s="1"/>
  <c r="B70" i="9"/>
  <c r="T69" i="9"/>
  <c r="P69" i="9"/>
  <c r="X69" i="9" s="1"/>
  <c r="H69" i="9"/>
  <c r="D69" i="9"/>
  <c r="B69" i="9"/>
  <c r="X68" i="9"/>
  <c r="Z68" i="9" s="1"/>
  <c r="N68" i="9"/>
  <c r="L68" i="9"/>
  <c r="B68" i="9"/>
  <c r="X67" i="9"/>
  <c r="Z67" i="9" s="1"/>
  <c r="N67" i="9"/>
  <c r="L67" i="9"/>
  <c r="F67" i="9"/>
  <c r="B67" i="9"/>
  <c r="X66" i="9"/>
  <c r="Z66" i="9" s="1"/>
  <c r="N66" i="9"/>
  <c r="L66" i="9"/>
  <c r="B66" i="9"/>
  <c r="T65" i="9"/>
  <c r="Z65" i="9" s="1"/>
  <c r="P65" i="9"/>
  <c r="X65" i="9" s="1"/>
  <c r="L65" i="9"/>
  <c r="H65" i="9"/>
  <c r="N65" i="9" s="1"/>
  <c r="D65" i="9"/>
  <c r="B65" i="9"/>
  <c r="X64" i="9"/>
  <c r="Z64" i="9" s="1"/>
  <c r="N64" i="9"/>
  <c r="L64" i="9"/>
  <c r="B64" i="9"/>
  <c r="Z63" i="9"/>
  <c r="X63" i="9"/>
  <c r="N63" i="9"/>
  <c r="L63" i="9"/>
  <c r="F63" i="9"/>
  <c r="B63" i="9"/>
  <c r="Z62" i="9"/>
  <c r="X62" i="9"/>
  <c r="N62" i="9"/>
  <c r="L62" i="9"/>
  <c r="F62" i="9"/>
  <c r="B62" i="9"/>
  <c r="X61" i="9"/>
  <c r="Z61" i="9" s="1"/>
  <c r="N61" i="9"/>
  <c r="L61" i="9"/>
  <c r="B61" i="9"/>
  <c r="X60" i="9"/>
  <c r="Z60" i="9" s="1"/>
  <c r="T60" i="9"/>
  <c r="P60" i="9"/>
  <c r="N60" i="9"/>
  <c r="H60" i="9"/>
  <c r="L60" i="9" s="1"/>
  <c r="D60" i="9"/>
  <c r="B60" i="9"/>
  <c r="Z59" i="9"/>
  <c r="X59" i="9"/>
  <c r="L59" i="9"/>
  <c r="N59" i="9" s="1"/>
  <c r="B59" i="9"/>
  <c r="T58" i="9"/>
  <c r="P58" i="9"/>
  <c r="X58" i="9" s="1"/>
  <c r="N58" i="9"/>
  <c r="H58" i="9"/>
  <c r="D58" i="9"/>
  <c r="L58" i="9" s="1"/>
  <c r="B58" i="9"/>
  <c r="X57" i="9"/>
  <c r="Z57" i="9" s="1"/>
  <c r="N57" i="9"/>
  <c r="L57" i="9"/>
  <c r="F57" i="9"/>
  <c r="B57" i="9"/>
  <c r="T56" i="9"/>
  <c r="P56" i="9"/>
  <c r="X56" i="9" s="1"/>
  <c r="Z56" i="9" s="1"/>
  <c r="N56" i="9"/>
  <c r="L56" i="9"/>
  <c r="J56" i="9"/>
  <c r="H56" i="9"/>
  <c r="F56" i="9"/>
  <c r="D56" i="9"/>
  <c r="B56" i="9"/>
  <c r="Z55" i="9"/>
  <c r="X55" i="9"/>
  <c r="N55" i="9"/>
  <c r="L55" i="9"/>
  <c r="F55" i="9"/>
  <c r="B55" i="9"/>
  <c r="Z54" i="9"/>
  <c r="X54" i="9"/>
  <c r="N54" i="9"/>
  <c r="L54" i="9"/>
  <c r="F54" i="9"/>
  <c r="B54" i="9"/>
  <c r="T53" i="9"/>
  <c r="P53" i="9"/>
  <c r="H53" i="9"/>
  <c r="F53" i="9"/>
  <c r="D53" i="9"/>
  <c r="B53" i="9"/>
  <c r="Z52" i="9"/>
  <c r="X52" i="9"/>
  <c r="L52" i="9"/>
  <c r="N52" i="9" s="1"/>
  <c r="B52" i="9"/>
  <c r="T51" i="9"/>
  <c r="Z51" i="9" s="1"/>
  <c r="P51" i="9"/>
  <c r="X51" i="9" s="1"/>
  <c r="H51" i="9"/>
  <c r="N51" i="9" s="1"/>
  <c r="D51" i="9"/>
  <c r="L51" i="9" s="1"/>
  <c r="B51" i="9"/>
  <c r="X50" i="9"/>
  <c r="Z50" i="9" s="1"/>
  <c r="N50" i="9"/>
  <c r="L50" i="9"/>
  <c r="B50" i="9"/>
  <c r="T49" i="9"/>
  <c r="P49" i="9"/>
  <c r="X49" i="9" s="1"/>
  <c r="L49" i="9"/>
  <c r="H49" i="9"/>
  <c r="N49" i="9" s="1"/>
  <c r="D49" i="9"/>
  <c r="B49" i="9"/>
  <c r="X48" i="9"/>
  <c r="Z48" i="9" s="1"/>
  <c r="N48" i="9"/>
  <c r="L48" i="9"/>
  <c r="B48" i="9"/>
  <c r="T47" i="9"/>
  <c r="R47" i="9"/>
  <c r="P47" i="9"/>
  <c r="H47" i="9"/>
  <c r="N47" i="9" s="1"/>
  <c r="D47" i="9"/>
  <c r="B47" i="9"/>
  <c r="Z46" i="9"/>
  <c r="X46" i="9"/>
  <c r="L46" i="9"/>
  <c r="N46" i="9" s="1"/>
  <c r="B46" i="9"/>
  <c r="T45" i="9"/>
  <c r="Z45" i="9" s="1"/>
  <c r="P45" i="9"/>
  <c r="X45" i="9" s="1"/>
  <c r="N45" i="9"/>
  <c r="H45" i="9"/>
  <c r="D45" i="9"/>
  <c r="L45" i="9" s="1"/>
  <c r="B45" i="9"/>
  <c r="X44" i="9"/>
  <c r="Z44" i="9" s="1"/>
  <c r="L44" i="9"/>
  <c r="N44" i="9" s="1"/>
  <c r="B44" i="9"/>
  <c r="X43" i="9"/>
  <c r="T43" i="9"/>
  <c r="Z43" i="9" s="1"/>
  <c r="P43" i="9"/>
  <c r="J43" i="9"/>
  <c r="H43" i="9"/>
  <c r="D43" i="9"/>
  <c r="L43" i="9" s="1"/>
  <c r="B43" i="9"/>
  <c r="Z42" i="9"/>
  <c r="X42" i="9"/>
  <c r="N42" i="9"/>
  <c r="L42" i="9"/>
  <c r="F42" i="9"/>
  <c r="B42" i="9"/>
  <c r="T41" i="9"/>
  <c r="P41" i="9"/>
  <c r="H41" i="9"/>
  <c r="F41" i="9"/>
  <c r="D41" i="9"/>
  <c r="B41" i="9"/>
  <c r="Z40" i="9"/>
  <c r="X40" i="9"/>
  <c r="V40" i="9"/>
  <c r="L40" i="9"/>
  <c r="N40" i="9" s="1"/>
  <c r="B40" i="9"/>
  <c r="T39" i="9"/>
  <c r="P39" i="9"/>
  <c r="H39" i="9"/>
  <c r="D39" i="9"/>
  <c r="L39" i="9" s="1"/>
  <c r="B39" i="9"/>
  <c r="X38" i="9"/>
  <c r="Z38" i="9" s="1"/>
  <c r="N38" i="9"/>
  <c r="L38" i="9"/>
  <c r="F38" i="9"/>
  <c r="B38" i="9"/>
  <c r="X37" i="9"/>
  <c r="Z37" i="9" s="1"/>
  <c r="V37" i="9"/>
  <c r="N37" i="9"/>
  <c r="L37" i="9"/>
  <c r="F37" i="9"/>
  <c r="B37" i="9"/>
  <c r="X36" i="9"/>
  <c r="Z36" i="9" s="1"/>
  <c r="N36" i="9"/>
  <c r="L36" i="9"/>
  <c r="F36" i="9"/>
  <c r="B36" i="9"/>
  <c r="X35" i="9"/>
  <c r="Z35" i="9" s="1"/>
  <c r="N35" i="9"/>
  <c r="L35" i="9"/>
  <c r="F35" i="9"/>
  <c r="B35" i="9"/>
  <c r="X34" i="9"/>
  <c r="Z34" i="9" s="1"/>
  <c r="N34" i="9"/>
  <c r="L34" i="9"/>
  <c r="F34" i="9"/>
  <c r="B34" i="9"/>
  <c r="X33" i="9"/>
  <c r="Z33" i="9" s="1"/>
  <c r="V33" i="9"/>
  <c r="L33" i="9"/>
  <c r="N33" i="9" s="1"/>
  <c r="F33" i="9"/>
  <c r="B33" i="9"/>
  <c r="X32" i="9"/>
  <c r="Z32" i="9" s="1"/>
  <c r="N32" i="9"/>
  <c r="L32" i="9"/>
  <c r="F32" i="9"/>
  <c r="B32" i="9"/>
  <c r="X31" i="9"/>
  <c r="T31" i="9"/>
  <c r="Z31" i="9" s="1"/>
  <c r="P31" i="9"/>
  <c r="L31" i="9"/>
  <c r="H31" i="9"/>
  <c r="N31" i="9" s="1"/>
  <c r="F31" i="9"/>
  <c r="D31" i="9"/>
  <c r="B31" i="9"/>
  <c r="Z30" i="9"/>
  <c r="X30" i="9"/>
  <c r="N30" i="9"/>
  <c r="L30" i="9"/>
  <c r="F30" i="9"/>
  <c r="B30" i="9"/>
  <c r="X29" i="9"/>
  <c r="Z29" i="9" s="1"/>
  <c r="R29" i="9"/>
  <c r="L29" i="9"/>
  <c r="N29" i="9" s="1"/>
  <c r="F29" i="9"/>
  <c r="B29" i="9"/>
  <c r="Z28" i="9"/>
  <c r="X28" i="9"/>
  <c r="N28" i="9"/>
  <c r="L28" i="9"/>
  <c r="F28" i="9"/>
  <c r="B28" i="9"/>
  <c r="X27" i="9"/>
  <c r="Z27" i="9" s="1"/>
  <c r="R27" i="9"/>
  <c r="N27" i="9"/>
  <c r="L27" i="9"/>
  <c r="F27" i="9"/>
  <c r="B27" i="9"/>
  <c r="Z26" i="9"/>
  <c r="X26" i="9"/>
  <c r="N26" i="9"/>
  <c r="L26" i="9"/>
  <c r="F26" i="9"/>
  <c r="B26" i="9"/>
  <c r="X25" i="9"/>
  <c r="Z25" i="9" s="1"/>
  <c r="N25" i="9"/>
  <c r="L25" i="9"/>
  <c r="F25" i="9"/>
  <c r="B25" i="9"/>
  <c r="X24" i="9"/>
  <c r="Z24" i="9" s="1"/>
  <c r="N24" i="9"/>
  <c r="L24" i="9"/>
  <c r="F24" i="9"/>
  <c r="B24" i="9"/>
  <c r="X23" i="9"/>
  <c r="Z23" i="9" s="1"/>
  <c r="N23" i="9"/>
  <c r="L23" i="9"/>
  <c r="F23" i="9"/>
  <c r="B23" i="9"/>
  <c r="Z22" i="9"/>
  <c r="X22" i="9"/>
  <c r="N22" i="9"/>
  <c r="L22" i="9"/>
  <c r="F22" i="9"/>
  <c r="B22" i="9"/>
  <c r="X21" i="9"/>
  <c r="Z21" i="9" s="1"/>
  <c r="L21" i="9"/>
  <c r="N21" i="9" s="1"/>
  <c r="F21" i="9"/>
  <c r="B21" i="9"/>
  <c r="X20" i="9"/>
  <c r="Z20" i="9" s="1"/>
  <c r="N20" i="9"/>
  <c r="L20" i="9"/>
  <c r="F20" i="9"/>
  <c r="B20" i="9"/>
  <c r="T19" i="9"/>
  <c r="P19" i="9"/>
  <c r="H19" i="9"/>
  <c r="F19" i="9"/>
  <c r="D19" i="9"/>
  <c r="B19" i="9"/>
  <c r="V18" i="9"/>
  <c r="T18" i="9"/>
  <c r="P18" i="9"/>
  <c r="H18" i="9"/>
  <c r="F18" i="9"/>
  <c r="D18" i="9"/>
  <c r="F16" i="9"/>
  <c r="T14" i="9"/>
  <c r="Z14" i="9" s="1"/>
  <c r="P14" i="9"/>
  <c r="N14" i="9"/>
  <c r="H14" i="9"/>
  <c r="F14" i="9"/>
  <c r="D14" i="9"/>
  <c r="L14" i="9" s="1"/>
  <c r="T12" i="9"/>
  <c r="V77" i="9" s="1"/>
  <c r="P12" i="9"/>
  <c r="R98" i="9" s="1"/>
  <c r="H12" i="9"/>
  <c r="J24" i="9" s="1"/>
  <c r="D12" i="9"/>
  <c r="F82" i="9" s="1"/>
  <c r="D4" i="9"/>
  <c r="R31" i="6"/>
  <c r="T29" i="6"/>
  <c r="R29" i="6"/>
  <c r="P29" i="6"/>
  <c r="X29" i="6" s="1"/>
  <c r="Z29" i="6" s="1"/>
  <c r="H29" i="6"/>
  <c r="F29" i="6"/>
  <c r="D29" i="6"/>
  <c r="T28" i="6"/>
  <c r="Z28" i="6" s="1"/>
  <c r="R28" i="6"/>
  <c r="P28" i="6"/>
  <c r="X28" i="6" s="1"/>
  <c r="H28" i="6"/>
  <c r="D28" i="6"/>
  <c r="R26" i="6"/>
  <c r="F26" i="6"/>
  <c r="Z24" i="6"/>
  <c r="X24" i="6"/>
  <c r="R24" i="6"/>
  <c r="N24" i="6"/>
  <c r="L24" i="6"/>
  <c r="J24" i="6"/>
  <c r="F24" i="6"/>
  <c r="R22" i="6"/>
  <c r="J22" i="6"/>
  <c r="F22" i="6"/>
  <c r="X20" i="6"/>
  <c r="T20" i="6"/>
  <c r="Z20" i="6" s="1"/>
  <c r="R20" i="6"/>
  <c r="P20" i="6"/>
  <c r="J20" i="6"/>
  <c r="H20" i="6"/>
  <c r="N20" i="6" s="1"/>
  <c r="F20" i="6"/>
  <c r="D20" i="6"/>
  <c r="L20" i="6" s="1"/>
  <c r="X18" i="6"/>
  <c r="T18" i="6"/>
  <c r="Z18" i="6" s="1"/>
  <c r="R18" i="6"/>
  <c r="P18" i="6"/>
  <c r="L18" i="6"/>
  <c r="J18" i="6"/>
  <c r="H18" i="6"/>
  <c r="N18" i="6" s="1"/>
  <c r="D18" i="6"/>
  <c r="V16" i="6"/>
  <c r="R16" i="6"/>
  <c r="J16" i="6"/>
  <c r="X14" i="6"/>
  <c r="T14" i="6"/>
  <c r="Z14" i="6" s="1"/>
  <c r="R14" i="6"/>
  <c r="P14" i="6"/>
  <c r="J14" i="6"/>
  <c r="H14" i="6"/>
  <c r="N14" i="6" s="1"/>
  <c r="D14" i="6"/>
  <c r="D16" i="6" s="1"/>
  <c r="T12" i="6"/>
  <c r="V14" i="6" s="1"/>
  <c r="P12" i="6"/>
  <c r="P16" i="6" s="1"/>
  <c r="P22" i="6" s="1"/>
  <c r="P26" i="6" s="1"/>
  <c r="N12" i="6"/>
  <c r="H12" i="6"/>
  <c r="J31" i="6" s="1"/>
  <c r="D12" i="6"/>
  <c r="F14" i="6" s="1"/>
  <c r="D4" i="6"/>
  <c r="T331" i="3"/>
  <c r="P331" i="3"/>
  <c r="X331" i="3" s="1"/>
  <c r="Z331" i="3" s="1"/>
  <c r="H331" i="3"/>
  <c r="D331" i="3"/>
  <c r="T330" i="3"/>
  <c r="P330" i="3"/>
  <c r="X330" i="3" s="1"/>
  <c r="Z330" i="3" s="1"/>
  <c r="H330" i="3"/>
  <c r="D330" i="3"/>
  <c r="Z326" i="3"/>
  <c r="X326" i="3"/>
  <c r="L326" i="3"/>
  <c r="N326" i="3" s="1"/>
  <c r="X322" i="3"/>
  <c r="T322" i="3"/>
  <c r="Z322" i="3" s="1"/>
  <c r="P322" i="3"/>
  <c r="H322" i="3"/>
  <c r="N322" i="3" s="1"/>
  <c r="D322" i="3"/>
  <c r="L322" i="3" s="1"/>
  <c r="B322" i="3"/>
  <c r="T321" i="3"/>
  <c r="X321" i="3" s="1"/>
  <c r="Z321" i="3" s="1"/>
  <c r="P321" i="3"/>
  <c r="H321" i="3"/>
  <c r="D321" i="3"/>
  <c r="B321" i="3"/>
  <c r="T320" i="3"/>
  <c r="P320" i="3"/>
  <c r="H320" i="3"/>
  <c r="N320" i="3" s="1"/>
  <c r="D320" i="3"/>
  <c r="L320" i="3" s="1"/>
  <c r="B320" i="3"/>
  <c r="X319" i="3"/>
  <c r="Z319" i="3" s="1"/>
  <c r="T319" i="3"/>
  <c r="P319" i="3"/>
  <c r="N319" i="3"/>
  <c r="L319" i="3"/>
  <c r="H319" i="3"/>
  <c r="D319" i="3"/>
  <c r="B319" i="3"/>
  <c r="T318" i="3"/>
  <c r="P318" i="3"/>
  <c r="X318" i="3" s="1"/>
  <c r="Z318" i="3" s="1"/>
  <c r="H318" i="3"/>
  <c r="D318" i="3"/>
  <c r="B318" i="3"/>
  <c r="T317" i="3"/>
  <c r="P317" i="3"/>
  <c r="X317" i="3" s="1"/>
  <c r="N317" i="3"/>
  <c r="H317" i="3"/>
  <c r="D317" i="3"/>
  <c r="L317" i="3" s="1"/>
  <c r="B317" i="3"/>
  <c r="T316" i="3"/>
  <c r="Z316" i="3" s="1"/>
  <c r="P316" i="3"/>
  <c r="X316" i="3" s="1"/>
  <c r="L316" i="3"/>
  <c r="H316" i="3"/>
  <c r="N316" i="3" s="1"/>
  <c r="D316" i="3"/>
  <c r="B316" i="3"/>
  <c r="T315" i="3"/>
  <c r="P315" i="3"/>
  <c r="H315" i="3"/>
  <c r="L315" i="3" s="1"/>
  <c r="N315" i="3" s="1"/>
  <c r="D315" i="3"/>
  <c r="B315" i="3"/>
  <c r="T314" i="3"/>
  <c r="P314" i="3"/>
  <c r="X314" i="3" s="1"/>
  <c r="H314" i="3"/>
  <c r="N314" i="3" s="1"/>
  <c r="D314" i="3"/>
  <c r="B314" i="3"/>
  <c r="X313" i="3"/>
  <c r="Z313" i="3" s="1"/>
  <c r="T313" i="3"/>
  <c r="P313" i="3"/>
  <c r="L313" i="3"/>
  <c r="N313" i="3" s="1"/>
  <c r="H313" i="3"/>
  <c r="D313" i="3"/>
  <c r="B313" i="3"/>
  <c r="T312" i="3"/>
  <c r="T309" i="3" s="1"/>
  <c r="P312" i="3"/>
  <c r="N312" i="3"/>
  <c r="H312" i="3"/>
  <c r="D312" i="3"/>
  <c r="L312" i="3" s="1"/>
  <c r="B312" i="3"/>
  <c r="T311" i="3"/>
  <c r="P311" i="3"/>
  <c r="X311" i="3" s="1"/>
  <c r="Z311" i="3" s="1"/>
  <c r="H311" i="3"/>
  <c r="D311" i="3"/>
  <c r="L311" i="3" s="1"/>
  <c r="N311" i="3" s="1"/>
  <c r="B311" i="3"/>
  <c r="X310" i="3"/>
  <c r="T310" i="3"/>
  <c r="Z310" i="3" s="1"/>
  <c r="P310" i="3"/>
  <c r="P309" i="3" s="1"/>
  <c r="X309" i="3" s="1"/>
  <c r="H310" i="3"/>
  <c r="D310" i="3"/>
  <c r="L310" i="3" s="1"/>
  <c r="B310" i="3"/>
  <c r="Z307" i="3"/>
  <c r="X307" i="3"/>
  <c r="N307" i="3"/>
  <c r="L307" i="3"/>
  <c r="B307" i="3"/>
  <c r="T306" i="3"/>
  <c r="P306" i="3"/>
  <c r="H306" i="3"/>
  <c r="D306" i="3"/>
  <c r="L306" i="3" s="1"/>
  <c r="N306" i="3" s="1"/>
  <c r="B306" i="3"/>
  <c r="Z305" i="3"/>
  <c r="X305" i="3"/>
  <c r="N305" i="3"/>
  <c r="L305" i="3"/>
  <c r="B305" i="3"/>
  <c r="X304" i="3"/>
  <c r="Z304" i="3" s="1"/>
  <c r="N304" i="3"/>
  <c r="L304" i="3"/>
  <c r="B304" i="3"/>
  <c r="Z303" i="3"/>
  <c r="X303" i="3"/>
  <c r="N303" i="3"/>
  <c r="L303" i="3"/>
  <c r="B303" i="3"/>
  <c r="T302" i="3"/>
  <c r="P302" i="3"/>
  <c r="H302" i="3"/>
  <c r="N302" i="3" s="1"/>
  <c r="D302" i="3"/>
  <c r="L302" i="3" s="1"/>
  <c r="B302" i="3"/>
  <c r="X301" i="3"/>
  <c r="Z301" i="3" s="1"/>
  <c r="L301" i="3"/>
  <c r="N301" i="3" s="1"/>
  <c r="B301" i="3"/>
  <c r="X300" i="3"/>
  <c r="T300" i="3"/>
  <c r="Z300" i="3" s="1"/>
  <c r="P300" i="3"/>
  <c r="H300" i="3"/>
  <c r="N300" i="3" s="1"/>
  <c r="D300" i="3"/>
  <c r="L300" i="3" s="1"/>
  <c r="B300" i="3"/>
  <c r="Z299" i="3"/>
  <c r="X299" i="3"/>
  <c r="N299" i="3"/>
  <c r="L299" i="3"/>
  <c r="B299" i="3"/>
  <c r="Z298" i="3"/>
  <c r="X298" i="3"/>
  <c r="L298" i="3"/>
  <c r="N298" i="3" s="1"/>
  <c r="B298" i="3"/>
  <c r="T297" i="3"/>
  <c r="P297" i="3"/>
  <c r="H297" i="3"/>
  <c r="L297" i="3" s="1"/>
  <c r="N297" i="3" s="1"/>
  <c r="D297" i="3"/>
  <c r="B297" i="3"/>
  <c r="X296" i="3"/>
  <c r="Z296" i="3" s="1"/>
  <c r="L296" i="3"/>
  <c r="N296" i="3" s="1"/>
  <c r="B296" i="3"/>
  <c r="Z295" i="3"/>
  <c r="X295" i="3"/>
  <c r="L295" i="3"/>
  <c r="N295" i="3" s="1"/>
  <c r="B295" i="3"/>
  <c r="X294" i="3"/>
  <c r="Z294" i="3" s="1"/>
  <c r="N294" i="3"/>
  <c r="L294" i="3"/>
  <c r="B294" i="3"/>
  <c r="Z293" i="3"/>
  <c r="X293" i="3"/>
  <c r="L293" i="3"/>
  <c r="N293" i="3" s="1"/>
  <c r="B293" i="3"/>
  <c r="X292" i="3"/>
  <c r="Z292" i="3" s="1"/>
  <c r="L292" i="3"/>
  <c r="N292" i="3" s="1"/>
  <c r="B292" i="3"/>
  <c r="Z291" i="3"/>
  <c r="X291" i="3"/>
  <c r="L291" i="3"/>
  <c r="N291" i="3" s="1"/>
  <c r="B291" i="3"/>
  <c r="X290" i="3"/>
  <c r="Z290" i="3" s="1"/>
  <c r="L290" i="3"/>
  <c r="N290" i="3" s="1"/>
  <c r="B290" i="3"/>
  <c r="Z289" i="3"/>
  <c r="X289" i="3"/>
  <c r="L289" i="3"/>
  <c r="N289" i="3" s="1"/>
  <c r="B289" i="3"/>
  <c r="X288" i="3"/>
  <c r="Z288" i="3" s="1"/>
  <c r="L288" i="3"/>
  <c r="N288" i="3" s="1"/>
  <c r="B288" i="3"/>
  <c r="Z287" i="3"/>
  <c r="X287" i="3"/>
  <c r="L287" i="3"/>
  <c r="N287" i="3" s="1"/>
  <c r="B287" i="3"/>
  <c r="T286" i="3"/>
  <c r="P286" i="3"/>
  <c r="H286" i="3"/>
  <c r="N286" i="3" s="1"/>
  <c r="D286" i="3"/>
  <c r="L286" i="3" s="1"/>
  <c r="B286" i="3"/>
  <c r="X285" i="3"/>
  <c r="Z285" i="3" s="1"/>
  <c r="N285" i="3"/>
  <c r="L285" i="3"/>
  <c r="B285" i="3"/>
  <c r="X284" i="3"/>
  <c r="Z284" i="3" s="1"/>
  <c r="N284" i="3"/>
  <c r="L284" i="3"/>
  <c r="B284" i="3"/>
  <c r="X283" i="3"/>
  <c r="Z283" i="3" s="1"/>
  <c r="T283" i="3"/>
  <c r="P283" i="3"/>
  <c r="L283" i="3"/>
  <c r="N283" i="3" s="1"/>
  <c r="H283" i="3"/>
  <c r="D283" i="3"/>
  <c r="B283" i="3"/>
  <c r="Z282" i="3"/>
  <c r="X282" i="3"/>
  <c r="L282" i="3"/>
  <c r="N282" i="3" s="1"/>
  <c r="B282" i="3"/>
  <c r="X281" i="3"/>
  <c r="Z281" i="3" s="1"/>
  <c r="N281" i="3"/>
  <c r="L281" i="3"/>
  <c r="B281" i="3"/>
  <c r="Z280" i="3"/>
  <c r="X280" i="3"/>
  <c r="L280" i="3"/>
  <c r="N280" i="3" s="1"/>
  <c r="B280" i="3"/>
  <c r="Z279" i="3"/>
  <c r="X279" i="3"/>
  <c r="N279" i="3"/>
  <c r="L279" i="3"/>
  <c r="B279" i="3"/>
  <c r="Z278" i="3"/>
  <c r="X278" i="3"/>
  <c r="L278" i="3"/>
  <c r="N278" i="3" s="1"/>
  <c r="B278" i="3"/>
  <c r="T277" i="3"/>
  <c r="P277" i="3"/>
  <c r="H277" i="3"/>
  <c r="L277" i="3" s="1"/>
  <c r="N277" i="3" s="1"/>
  <c r="D277" i="3"/>
  <c r="B277" i="3"/>
  <c r="X276" i="3"/>
  <c r="Z276" i="3" s="1"/>
  <c r="N276" i="3"/>
  <c r="L276" i="3"/>
  <c r="B276" i="3"/>
  <c r="Z275" i="3"/>
  <c r="X275" i="3"/>
  <c r="N275" i="3"/>
  <c r="L275" i="3"/>
  <c r="B275" i="3"/>
  <c r="X274" i="3"/>
  <c r="Z274" i="3" s="1"/>
  <c r="N274" i="3"/>
  <c r="L274" i="3"/>
  <c r="B274" i="3"/>
  <c r="T273" i="3"/>
  <c r="P273" i="3"/>
  <c r="X273" i="3" s="1"/>
  <c r="Z273" i="3" s="1"/>
  <c r="N273" i="3"/>
  <c r="H273" i="3"/>
  <c r="D273" i="3"/>
  <c r="L273" i="3" s="1"/>
  <c r="B273" i="3"/>
  <c r="X272" i="3"/>
  <c r="Z272" i="3" s="1"/>
  <c r="N272" i="3"/>
  <c r="L272" i="3"/>
  <c r="B272" i="3"/>
  <c r="X271" i="3"/>
  <c r="Z271" i="3" s="1"/>
  <c r="N271" i="3"/>
  <c r="L271" i="3"/>
  <c r="B271" i="3"/>
  <c r="X270" i="3"/>
  <c r="Z270" i="3" s="1"/>
  <c r="N270" i="3"/>
  <c r="L270" i="3"/>
  <c r="B270" i="3"/>
  <c r="X269" i="3"/>
  <c r="Z269" i="3" s="1"/>
  <c r="N269" i="3"/>
  <c r="L269" i="3"/>
  <c r="B269" i="3"/>
  <c r="X268" i="3"/>
  <c r="T268" i="3"/>
  <c r="Z268" i="3" s="1"/>
  <c r="P268" i="3"/>
  <c r="H268" i="3"/>
  <c r="D268" i="3"/>
  <c r="L268" i="3" s="1"/>
  <c r="B268" i="3"/>
  <c r="Z267" i="3"/>
  <c r="X267" i="3"/>
  <c r="N267" i="3"/>
  <c r="L267" i="3"/>
  <c r="B267" i="3"/>
  <c r="T266" i="3"/>
  <c r="P266" i="3"/>
  <c r="H266" i="3"/>
  <c r="D266" i="3"/>
  <c r="L266" i="3" s="1"/>
  <c r="N266" i="3" s="1"/>
  <c r="B266" i="3"/>
  <c r="Z265" i="3"/>
  <c r="X265" i="3"/>
  <c r="L265" i="3"/>
  <c r="N265" i="3" s="1"/>
  <c r="B265" i="3"/>
  <c r="T264" i="3"/>
  <c r="P264" i="3"/>
  <c r="X264" i="3" s="1"/>
  <c r="H264" i="3"/>
  <c r="D264" i="3"/>
  <c r="B264" i="3"/>
  <c r="X263" i="3"/>
  <c r="Z263" i="3" s="1"/>
  <c r="N263" i="3"/>
  <c r="L263" i="3"/>
  <c r="B263" i="3"/>
  <c r="T262" i="3"/>
  <c r="Z262" i="3" s="1"/>
  <c r="P262" i="3"/>
  <c r="X262" i="3" s="1"/>
  <c r="L262" i="3"/>
  <c r="H262" i="3"/>
  <c r="N262" i="3" s="1"/>
  <c r="D262" i="3"/>
  <c r="B262" i="3"/>
  <c r="Z261" i="3"/>
  <c r="X261" i="3"/>
  <c r="N261" i="3"/>
  <c r="L261" i="3"/>
  <c r="B261" i="3"/>
  <c r="Z260" i="3"/>
  <c r="X260" i="3"/>
  <c r="N260" i="3"/>
  <c r="L260" i="3"/>
  <c r="B260" i="3"/>
  <c r="Z259" i="3"/>
  <c r="X259" i="3"/>
  <c r="N259" i="3"/>
  <c r="L259" i="3"/>
  <c r="B259" i="3"/>
  <c r="T258" i="3"/>
  <c r="P258" i="3"/>
  <c r="H258" i="3"/>
  <c r="D258" i="3"/>
  <c r="L258" i="3" s="1"/>
  <c r="N258" i="3" s="1"/>
  <c r="B258" i="3"/>
  <c r="Z257" i="3"/>
  <c r="X257" i="3"/>
  <c r="L257" i="3"/>
  <c r="N257" i="3" s="1"/>
  <c r="B257" i="3"/>
  <c r="T256" i="3"/>
  <c r="Z256" i="3" s="1"/>
  <c r="P256" i="3"/>
  <c r="X256" i="3" s="1"/>
  <c r="H256" i="3"/>
  <c r="D256" i="3"/>
  <c r="B256" i="3"/>
  <c r="X255" i="3"/>
  <c r="Z255" i="3" s="1"/>
  <c r="N255" i="3"/>
  <c r="L255" i="3"/>
  <c r="B255" i="3"/>
  <c r="T254" i="3"/>
  <c r="P254" i="3"/>
  <c r="X254" i="3" s="1"/>
  <c r="L254" i="3"/>
  <c r="H254" i="3"/>
  <c r="N254" i="3" s="1"/>
  <c r="D254" i="3"/>
  <c r="B254" i="3"/>
  <c r="X253" i="3"/>
  <c r="Z253" i="3" s="1"/>
  <c r="N253" i="3"/>
  <c r="L253" i="3"/>
  <c r="B253" i="3"/>
  <c r="Z252" i="3"/>
  <c r="X252" i="3"/>
  <c r="N252" i="3"/>
  <c r="L252" i="3"/>
  <c r="B252" i="3"/>
  <c r="T251" i="3"/>
  <c r="X251" i="3" s="1"/>
  <c r="Z251" i="3" s="1"/>
  <c r="P251" i="3"/>
  <c r="H251" i="3"/>
  <c r="D251" i="3"/>
  <c r="B251" i="3"/>
  <c r="X250" i="3"/>
  <c r="Z250" i="3" s="1"/>
  <c r="L250" i="3"/>
  <c r="N250" i="3" s="1"/>
  <c r="B250" i="3"/>
  <c r="Z249" i="3"/>
  <c r="X249" i="3"/>
  <c r="L249" i="3"/>
  <c r="N249" i="3" s="1"/>
  <c r="B249" i="3"/>
  <c r="T248" i="3"/>
  <c r="Z248" i="3" s="1"/>
  <c r="P248" i="3"/>
  <c r="X248" i="3" s="1"/>
  <c r="H248" i="3"/>
  <c r="D248" i="3"/>
  <c r="B248" i="3"/>
  <c r="X247" i="3"/>
  <c r="Z247" i="3" s="1"/>
  <c r="N247" i="3"/>
  <c r="L247" i="3"/>
  <c r="B247" i="3"/>
  <c r="T246" i="3"/>
  <c r="P246" i="3"/>
  <c r="X246" i="3" s="1"/>
  <c r="L246" i="3"/>
  <c r="H246" i="3"/>
  <c r="N246" i="3" s="1"/>
  <c r="D246" i="3"/>
  <c r="B246" i="3"/>
  <c r="X245" i="3"/>
  <c r="Z245" i="3" s="1"/>
  <c r="N245" i="3"/>
  <c r="L245" i="3"/>
  <c r="B245" i="3"/>
  <c r="T244" i="3"/>
  <c r="P244" i="3"/>
  <c r="X244" i="3" s="1"/>
  <c r="Z244" i="3" s="1"/>
  <c r="H244" i="3"/>
  <c r="N244" i="3" s="1"/>
  <c r="D244" i="3"/>
  <c r="B244" i="3"/>
  <c r="Z243" i="3"/>
  <c r="X243" i="3"/>
  <c r="L243" i="3"/>
  <c r="N243" i="3" s="1"/>
  <c r="B243" i="3"/>
  <c r="T242" i="3"/>
  <c r="P242" i="3"/>
  <c r="H242" i="3"/>
  <c r="N242" i="3" s="1"/>
  <c r="D242" i="3"/>
  <c r="L242" i="3" s="1"/>
  <c r="B242" i="3"/>
  <c r="X241" i="3"/>
  <c r="Z241" i="3" s="1"/>
  <c r="N241" i="3"/>
  <c r="L241" i="3"/>
  <c r="B241" i="3"/>
  <c r="X240" i="3"/>
  <c r="Z240" i="3" s="1"/>
  <c r="N240" i="3"/>
  <c r="L240" i="3"/>
  <c r="B240" i="3"/>
  <c r="X239" i="3"/>
  <c r="Z239" i="3" s="1"/>
  <c r="T239" i="3"/>
  <c r="P239" i="3"/>
  <c r="L239" i="3"/>
  <c r="N239" i="3" s="1"/>
  <c r="H239" i="3"/>
  <c r="D239" i="3"/>
  <c r="B239" i="3"/>
  <c r="Z238" i="3"/>
  <c r="X238" i="3"/>
  <c r="N238" i="3"/>
  <c r="L238" i="3"/>
  <c r="B238" i="3"/>
  <c r="Z237" i="3"/>
  <c r="X237" i="3"/>
  <c r="N237" i="3"/>
  <c r="L237" i="3"/>
  <c r="B237" i="3"/>
  <c r="Z236" i="3"/>
  <c r="X236" i="3"/>
  <c r="L236" i="3"/>
  <c r="N236" i="3" s="1"/>
  <c r="B236" i="3"/>
  <c r="Z235" i="3"/>
  <c r="X235" i="3"/>
  <c r="N235" i="3"/>
  <c r="L235" i="3"/>
  <c r="B235" i="3"/>
  <c r="T234" i="3"/>
  <c r="P234" i="3"/>
  <c r="H234" i="3"/>
  <c r="D234" i="3"/>
  <c r="L234" i="3" s="1"/>
  <c r="N234" i="3" s="1"/>
  <c r="B234" i="3"/>
  <c r="Z233" i="3"/>
  <c r="X233" i="3"/>
  <c r="L233" i="3"/>
  <c r="N233" i="3" s="1"/>
  <c r="B233" i="3"/>
  <c r="T232" i="3"/>
  <c r="P232" i="3"/>
  <c r="X232" i="3" s="1"/>
  <c r="H232" i="3"/>
  <c r="D232" i="3"/>
  <c r="B232" i="3"/>
  <c r="X231" i="3"/>
  <c r="Z231" i="3" s="1"/>
  <c r="N231" i="3"/>
  <c r="L231" i="3"/>
  <c r="B231" i="3"/>
  <c r="X230" i="3"/>
  <c r="Z230" i="3" s="1"/>
  <c r="N230" i="3"/>
  <c r="L230" i="3"/>
  <c r="B230" i="3"/>
  <c r="X229" i="3"/>
  <c r="Z229" i="3" s="1"/>
  <c r="T229" i="3"/>
  <c r="P229" i="3"/>
  <c r="L229" i="3"/>
  <c r="N229" i="3" s="1"/>
  <c r="H229" i="3"/>
  <c r="D229" i="3"/>
  <c r="B229" i="3"/>
  <c r="Z228" i="3"/>
  <c r="X228" i="3"/>
  <c r="L228" i="3"/>
  <c r="N228" i="3" s="1"/>
  <c r="B228" i="3"/>
  <c r="T227" i="3"/>
  <c r="X227" i="3" s="1"/>
  <c r="Z227" i="3" s="1"/>
  <c r="P227" i="3"/>
  <c r="H227" i="3"/>
  <c r="D227" i="3"/>
  <c r="B227" i="3"/>
  <c r="X226" i="3"/>
  <c r="Z226" i="3" s="1"/>
  <c r="N226" i="3"/>
  <c r="L226" i="3"/>
  <c r="B226" i="3"/>
  <c r="Z225" i="3"/>
  <c r="X225" i="3"/>
  <c r="L225" i="3"/>
  <c r="N225" i="3" s="1"/>
  <c r="B225" i="3"/>
  <c r="X224" i="3"/>
  <c r="Z224" i="3" s="1"/>
  <c r="L224" i="3"/>
  <c r="N224" i="3" s="1"/>
  <c r="B224" i="3"/>
  <c r="Z223" i="3"/>
  <c r="X223" i="3"/>
  <c r="L223" i="3"/>
  <c r="N223" i="3" s="1"/>
  <c r="B223" i="3"/>
  <c r="X222" i="3"/>
  <c r="Z222" i="3" s="1"/>
  <c r="L222" i="3"/>
  <c r="N222" i="3" s="1"/>
  <c r="B222" i="3"/>
  <c r="Z221" i="3"/>
  <c r="X221" i="3"/>
  <c r="L221" i="3"/>
  <c r="N221" i="3" s="1"/>
  <c r="B221" i="3"/>
  <c r="X220" i="3"/>
  <c r="Z220" i="3" s="1"/>
  <c r="L220" i="3"/>
  <c r="N220" i="3" s="1"/>
  <c r="B220" i="3"/>
  <c r="T219" i="3"/>
  <c r="P219" i="3"/>
  <c r="X219" i="3" s="1"/>
  <c r="Z219" i="3" s="1"/>
  <c r="H219" i="3"/>
  <c r="D219" i="3"/>
  <c r="L219" i="3" s="1"/>
  <c r="N219" i="3" s="1"/>
  <c r="B219" i="3"/>
  <c r="X218" i="3"/>
  <c r="Z218" i="3" s="1"/>
  <c r="N218" i="3"/>
  <c r="L218" i="3"/>
  <c r="B218" i="3"/>
  <c r="X217" i="3"/>
  <c r="Z217" i="3" s="1"/>
  <c r="L217" i="3"/>
  <c r="N217" i="3" s="1"/>
  <c r="B217" i="3"/>
  <c r="X216" i="3"/>
  <c r="Z216" i="3" s="1"/>
  <c r="N216" i="3"/>
  <c r="L216" i="3"/>
  <c r="B216" i="3"/>
  <c r="X215" i="3"/>
  <c r="Z215" i="3" s="1"/>
  <c r="N215" i="3"/>
  <c r="L215" i="3"/>
  <c r="B215" i="3"/>
  <c r="Z214" i="3"/>
  <c r="X214" i="3"/>
  <c r="N214" i="3"/>
  <c r="L214" i="3"/>
  <c r="B214" i="3"/>
  <c r="X213" i="3"/>
  <c r="Z213" i="3" s="1"/>
  <c r="L213" i="3"/>
  <c r="N213" i="3" s="1"/>
  <c r="B213" i="3"/>
  <c r="X212" i="3"/>
  <c r="Z212" i="3" s="1"/>
  <c r="N212" i="3"/>
  <c r="L212" i="3"/>
  <c r="B212" i="3"/>
  <c r="X211" i="3"/>
  <c r="Z211" i="3" s="1"/>
  <c r="N211" i="3"/>
  <c r="L211" i="3"/>
  <c r="B211" i="3"/>
  <c r="X210" i="3"/>
  <c r="Z210" i="3" s="1"/>
  <c r="N210" i="3"/>
  <c r="L210" i="3"/>
  <c r="B210" i="3"/>
  <c r="X209" i="3"/>
  <c r="Z209" i="3" s="1"/>
  <c r="L209" i="3"/>
  <c r="N209" i="3" s="1"/>
  <c r="B209" i="3"/>
  <c r="X208" i="3"/>
  <c r="T208" i="3"/>
  <c r="Z208" i="3" s="1"/>
  <c r="P208" i="3"/>
  <c r="H208" i="3"/>
  <c r="N208" i="3" s="1"/>
  <c r="D208" i="3"/>
  <c r="L208" i="3" s="1"/>
  <c r="B208" i="3"/>
  <c r="T207" i="3"/>
  <c r="X207" i="3" s="1"/>
  <c r="Z207" i="3" s="1"/>
  <c r="P207" i="3"/>
  <c r="H207" i="3"/>
  <c r="D207" i="3"/>
  <c r="Z203" i="3"/>
  <c r="X203" i="3"/>
  <c r="N203" i="3"/>
  <c r="L203" i="3"/>
  <c r="B203" i="3"/>
  <c r="Z202" i="3"/>
  <c r="X202" i="3"/>
  <c r="N202" i="3"/>
  <c r="L202" i="3"/>
  <c r="B202" i="3"/>
  <c r="X201" i="3"/>
  <c r="Z201" i="3" s="1"/>
  <c r="N201" i="3"/>
  <c r="L201" i="3"/>
  <c r="B201" i="3"/>
  <c r="Z200" i="3"/>
  <c r="X200" i="3"/>
  <c r="N200" i="3"/>
  <c r="L200" i="3"/>
  <c r="B200" i="3"/>
  <c r="Z199" i="3"/>
  <c r="X199" i="3"/>
  <c r="N199" i="3"/>
  <c r="L199" i="3"/>
  <c r="B199" i="3"/>
  <c r="Z198" i="3"/>
  <c r="X198" i="3"/>
  <c r="L198" i="3"/>
  <c r="N198" i="3" s="1"/>
  <c r="B198" i="3"/>
  <c r="X197" i="3"/>
  <c r="Z197" i="3" s="1"/>
  <c r="N197" i="3"/>
  <c r="L197" i="3"/>
  <c r="B197" i="3"/>
  <c r="Z196" i="3"/>
  <c r="X196" i="3"/>
  <c r="N196" i="3"/>
  <c r="L196" i="3"/>
  <c r="B196" i="3"/>
  <c r="Z195" i="3"/>
  <c r="X195" i="3"/>
  <c r="N195" i="3"/>
  <c r="L195" i="3"/>
  <c r="B195" i="3"/>
  <c r="Z194" i="3"/>
  <c r="X194" i="3"/>
  <c r="L194" i="3"/>
  <c r="N194" i="3" s="1"/>
  <c r="B194" i="3"/>
  <c r="X193" i="3"/>
  <c r="Z193" i="3" s="1"/>
  <c r="N193" i="3"/>
  <c r="L193" i="3"/>
  <c r="B193" i="3"/>
  <c r="Z192" i="3"/>
  <c r="X192" i="3"/>
  <c r="L192" i="3"/>
  <c r="N192" i="3" s="1"/>
  <c r="B192" i="3"/>
  <c r="Z191" i="3"/>
  <c r="X191" i="3"/>
  <c r="N191" i="3"/>
  <c r="L191" i="3"/>
  <c r="B191" i="3"/>
  <c r="Z190" i="3"/>
  <c r="X190" i="3"/>
  <c r="L190" i="3"/>
  <c r="N190" i="3" s="1"/>
  <c r="B190" i="3"/>
  <c r="X189" i="3"/>
  <c r="Z189" i="3" s="1"/>
  <c r="N189" i="3"/>
  <c r="L189" i="3"/>
  <c r="B189" i="3"/>
  <c r="Z188" i="3"/>
  <c r="X188" i="3"/>
  <c r="L188" i="3"/>
  <c r="N188" i="3" s="1"/>
  <c r="B188" i="3"/>
  <c r="Z187" i="3"/>
  <c r="X187" i="3"/>
  <c r="N187" i="3"/>
  <c r="L187" i="3"/>
  <c r="B187" i="3"/>
  <c r="Z186" i="3"/>
  <c r="X186" i="3"/>
  <c r="N186" i="3"/>
  <c r="L186" i="3"/>
  <c r="B186" i="3"/>
  <c r="X185" i="3"/>
  <c r="Z185" i="3" s="1"/>
  <c r="N185" i="3"/>
  <c r="L185" i="3"/>
  <c r="B185" i="3"/>
  <c r="Z184" i="3"/>
  <c r="X184" i="3"/>
  <c r="L184" i="3"/>
  <c r="N184" i="3" s="1"/>
  <c r="B184" i="3"/>
  <c r="Z183" i="3"/>
  <c r="X183" i="3"/>
  <c r="N183" i="3"/>
  <c r="L183" i="3"/>
  <c r="B183" i="3"/>
  <c r="Z182" i="3"/>
  <c r="X182" i="3"/>
  <c r="N182" i="3"/>
  <c r="L182" i="3"/>
  <c r="B182" i="3"/>
  <c r="X181" i="3"/>
  <c r="Z181" i="3" s="1"/>
  <c r="N181" i="3"/>
  <c r="L181" i="3"/>
  <c r="B181" i="3"/>
  <c r="Z180" i="3"/>
  <c r="X180" i="3"/>
  <c r="L180" i="3"/>
  <c r="N180" i="3" s="1"/>
  <c r="B180" i="3"/>
  <c r="Z179" i="3"/>
  <c r="X179" i="3"/>
  <c r="N179" i="3"/>
  <c r="L179" i="3"/>
  <c r="B179" i="3"/>
  <c r="Z178" i="3"/>
  <c r="X178" i="3"/>
  <c r="L178" i="3"/>
  <c r="N178" i="3" s="1"/>
  <c r="B178" i="3"/>
  <c r="X177" i="3"/>
  <c r="Z177" i="3" s="1"/>
  <c r="N177" i="3"/>
  <c r="L177" i="3"/>
  <c r="B177" i="3"/>
  <c r="Z176" i="3"/>
  <c r="X176" i="3"/>
  <c r="L176" i="3"/>
  <c r="N176" i="3" s="1"/>
  <c r="B176" i="3"/>
  <c r="Z175" i="3"/>
  <c r="X175" i="3"/>
  <c r="N175" i="3"/>
  <c r="L175" i="3"/>
  <c r="B175" i="3"/>
  <c r="Z174" i="3"/>
  <c r="X174" i="3"/>
  <c r="N174" i="3"/>
  <c r="L174" i="3"/>
  <c r="B174" i="3"/>
  <c r="X173" i="3"/>
  <c r="Z173" i="3" s="1"/>
  <c r="N173" i="3"/>
  <c r="L173" i="3"/>
  <c r="B173" i="3"/>
  <c r="Z172" i="3"/>
  <c r="X172" i="3"/>
  <c r="L172" i="3"/>
  <c r="N172" i="3" s="1"/>
  <c r="B172" i="3"/>
  <c r="Z171" i="3"/>
  <c r="X171" i="3"/>
  <c r="N171" i="3"/>
  <c r="L171" i="3"/>
  <c r="B171" i="3"/>
  <c r="Z170" i="3"/>
  <c r="X170" i="3"/>
  <c r="L170" i="3"/>
  <c r="N170" i="3" s="1"/>
  <c r="B170" i="3"/>
  <c r="X169" i="3"/>
  <c r="Z169" i="3" s="1"/>
  <c r="N169" i="3"/>
  <c r="L169" i="3"/>
  <c r="B169" i="3"/>
  <c r="Z168" i="3"/>
  <c r="X168" i="3"/>
  <c r="L168" i="3"/>
  <c r="N168" i="3" s="1"/>
  <c r="B168" i="3"/>
  <c r="Z167" i="3"/>
  <c r="X167" i="3"/>
  <c r="N167" i="3"/>
  <c r="L167" i="3"/>
  <c r="B167" i="3"/>
  <c r="Z166" i="3"/>
  <c r="X166" i="3"/>
  <c r="N166" i="3"/>
  <c r="L166" i="3"/>
  <c r="B166" i="3"/>
  <c r="X165" i="3"/>
  <c r="Z165" i="3" s="1"/>
  <c r="N165" i="3"/>
  <c r="L165" i="3"/>
  <c r="B165" i="3"/>
  <c r="Z164" i="3"/>
  <c r="X164" i="3"/>
  <c r="L164" i="3"/>
  <c r="N164" i="3" s="1"/>
  <c r="B164" i="3"/>
  <c r="Z163" i="3"/>
  <c r="X163" i="3"/>
  <c r="N163" i="3"/>
  <c r="L163" i="3"/>
  <c r="B163" i="3"/>
  <c r="Z162" i="3"/>
  <c r="X162" i="3"/>
  <c r="N162" i="3"/>
  <c r="L162" i="3"/>
  <c r="B162" i="3"/>
  <c r="X161" i="3"/>
  <c r="Z161" i="3" s="1"/>
  <c r="N161" i="3"/>
  <c r="L161" i="3"/>
  <c r="B161" i="3"/>
  <c r="Z160" i="3"/>
  <c r="X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X157" i="3"/>
  <c r="Z157" i="3" s="1"/>
  <c r="N157" i="3"/>
  <c r="L157" i="3"/>
  <c r="B157" i="3"/>
  <c r="Z156" i="3"/>
  <c r="X156" i="3"/>
  <c r="L156" i="3"/>
  <c r="N156" i="3" s="1"/>
  <c r="B156" i="3"/>
  <c r="Z155" i="3"/>
  <c r="X155" i="3"/>
  <c r="N155" i="3"/>
  <c r="L155" i="3"/>
  <c r="B155" i="3"/>
  <c r="Z154" i="3"/>
  <c r="X154" i="3"/>
  <c r="L154" i="3"/>
  <c r="N154" i="3" s="1"/>
  <c r="B154" i="3"/>
  <c r="X153" i="3"/>
  <c r="Z153" i="3" s="1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X149" i="3"/>
  <c r="Z149" i="3" s="1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X145" i="3"/>
  <c r="Z145" i="3" s="1"/>
  <c r="N145" i="3"/>
  <c r="L145" i="3"/>
  <c r="B145" i="3"/>
  <c r="Z144" i="3"/>
  <c r="X144" i="3"/>
  <c r="L144" i="3"/>
  <c r="N144" i="3" s="1"/>
  <c r="B144" i="3"/>
  <c r="Z143" i="3"/>
  <c r="X143" i="3"/>
  <c r="N143" i="3"/>
  <c r="L143" i="3"/>
  <c r="B143" i="3"/>
  <c r="T142" i="3"/>
  <c r="P142" i="3"/>
  <c r="H142" i="3"/>
  <c r="D142" i="3"/>
  <c r="L142" i="3" s="1"/>
  <c r="N142" i="3" s="1"/>
  <c r="T140" i="3"/>
  <c r="P140" i="3"/>
  <c r="P12" i="3" s="1"/>
  <c r="H140" i="3"/>
  <c r="N140" i="3" s="1"/>
  <c r="D140" i="3"/>
  <c r="B140" i="3"/>
  <c r="T139" i="3"/>
  <c r="P139" i="3"/>
  <c r="X139" i="3" s="1"/>
  <c r="H139" i="3"/>
  <c r="N139" i="3" s="1"/>
  <c r="D139" i="3"/>
  <c r="L139" i="3" s="1"/>
  <c r="B139" i="3"/>
  <c r="Z138" i="3"/>
  <c r="X138" i="3"/>
  <c r="T138" i="3"/>
  <c r="P138" i="3"/>
  <c r="H138" i="3"/>
  <c r="N138" i="3" s="1"/>
  <c r="D138" i="3"/>
  <c r="L138" i="3" s="1"/>
  <c r="B138" i="3"/>
  <c r="T137" i="3"/>
  <c r="P137" i="3"/>
  <c r="X137" i="3" s="1"/>
  <c r="Z137" i="3" s="1"/>
  <c r="N137" i="3"/>
  <c r="H137" i="3"/>
  <c r="D137" i="3"/>
  <c r="L137" i="3" s="1"/>
  <c r="B137" i="3"/>
  <c r="T136" i="3"/>
  <c r="P136" i="3"/>
  <c r="X136" i="3" s="1"/>
  <c r="Z136" i="3" s="1"/>
  <c r="H136" i="3"/>
  <c r="N136" i="3" s="1"/>
  <c r="D136" i="3"/>
  <c r="B136" i="3"/>
  <c r="T135" i="3"/>
  <c r="P135" i="3"/>
  <c r="X135" i="3" s="1"/>
  <c r="H135" i="3"/>
  <c r="N135" i="3" s="1"/>
  <c r="D135" i="3"/>
  <c r="L135" i="3" s="1"/>
  <c r="B135" i="3"/>
  <c r="Z134" i="3"/>
  <c r="X134" i="3"/>
  <c r="T134" i="3"/>
  <c r="P134" i="3"/>
  <c r="H134" i="3"/>
  <c r="N134" i="3" s="1"/>
  <c r="D134" i="3"/>
  <c r="L134" i="3" s="1"/>
  <c r="B134" i="3"/>
  <c r="T133" i="3"/>
  <c r="P133" i="3"/>
  <c r="X133" i="3" s="1"/>
  <c r="Z133" i="3" s="1"/>
  <c r="H133" i="3"/>
  <c r="D133" i="3"/>
  <c r="L133" i="3" s="1"/>
  <c r="N133" i="3" s="1"/>
  <c r="B133" i="3"/>
  <c r="T132" i="3"/>
  <c r="P132" i="3"/>
  <c r="X132" i="3" s="1"/>
  <c r="Z132" i="3" s="1"/>
  <c r="H132" i="3"/>
  <c r="N132" i="3" s="1"/>
  <c r="D132" i="3"/>
  <c r="B132" i="3"/>
  <c r="T131" i="3"/>
  <c r="P131" i="3"/>
  <c r="X131" i="3" s="1"/>
  <c r="H131" i="3"/>
  <c r="N131" i="3" s="1"/>
  <c r="D131" i="3"/>
  <c r="L131" i="3" s="1"/>
  <c r="B131" i="3"/>
  <c r="Z130" i="3"/>
  <c r="X130" i="3"/>
  <c r="T130" i="3"/>
  <c r="P130" i="3"/>
  <c r="H130" i="3"/>
  <c r="N130" i="3" s="1"/>
  <c r="D130" i="3"/>
  <c r="L130" i="3" s="1"/>
  <c r="B130" i="3"/>
  <c r="T129" i="3"/>
  <c r="P129" i="3"/>
  <c r="X129" i="3" s="1"/>
  <c r="Z129" i="3" s="1"/>
  <c r="N129" i="3"/>
  <c r="H129" i="3"/>
  <c r="D129" i="3"/>
  <c r="L129" i="3" s="1"/>
  <c r="B129" i="3"/>
  <c r="T128" i="3"/>
  <c r="P128" i="3"/>
  <c r="X128" i="3" s="1"/>
  <c r="Z128" i="3" s="1"/>
  <c r="H128" i="3"/>
  <c r="N128" i="3" s="1"/>
  <c r="D128" i="3"/>
  <c r="B128" i="3"/>
  <c r="T127" i="3"/>
  <c r="Z127" i="3" s="1"/>
  <c r="P127" i="3"/>
  <c r="X127" i="3" s="1"/>
  <c r="H127" i="3"/>
  <c r="N127" i="3" s="1"/>
  <c r="D127" i="3"/>
  <c r="L127" i="3" s="1"/>
  <c r="B127" i="3"/>
  <c r="Z126" i="3"/>
  <c r="X126" i="3"/>
  <c r="T126" i="3"/>
  <c r="P126" i="3"/>
  <c r="H126" i="3"/>
  <c r="N126" i="3" s="1"/>
  <c r="D126" i="3"/>
  <c r="B126" i="3"/>
  <c r="T125" i="3"/>
  <c r="P125" i="3"/>
  <c r="X125" i="3" s="1"/>
  <c r="Z125" i="3" s="1"/>
  <c r="H125" i="3"/>
  <c r="D125" i="3"/>
  <c r="L125" i="3" s="1"/>
  <c r="N125" i="3" s="1"/>
  <c r="B125" i="3"/>
  <c r="T124" i="3"/>
  <c r="P124" i="3"/>
  <c r="X124" i="3" s="1"/>
  <c r="Z124" i="3" s="1"/>
  <c r="H124" i="3"/>
  <c r="D124" i="3"/>
  <c r="B124" i="3"/>
  <c r="T123" i="3"/>
  <c r="P123" i="3"/>
  <c r="X123" i="3" s="1"/>
  <c r="H123" i="3"/>
  <c r="N123" i="3" s="1"/>
  <c r="D123" i="3"/>
  <c r="B123" i="3"/>
  <c r="Z122" i="3"/>
  <c r="X122" i="3"/>
  <c r="T122" i="3"/>
  <c r="P122" i="3"/>
  <c r="H122" i="3"/>
  <c r="D122" i="3"/>
  <c r="B122" i="3"/>
  <c r="T121" i="3"/>
  <c r="P121" i="3"/>
  <c r="X121" i="3" s="1"/>
  <c r="Z121" i="3" s="1"/>
  <c r="H121" i="3"/>
  <c r="D121" i="3"/>
  <c r="L121" i="3" s="1"/>
  <c r="N121" i="3" s="1"/>
  <c r="B121" i="3"/>
  <c r="T120" i="3"/>
  <c r="P120" i="3"/>
  <c r="X120" i="3" s="1"/>
  <c r="Z120" i="3" s="1"/>
  <c r="H120" i="3"/>
  <c r="N120" i="3" s="1"/>
  <c r="D120" i="3"/>
  <c r="B120" i="3"/>
  <c r="T119" i="3"/>
  <c r="P119" i="3"/>
  <c r="X119" i="3" s="1"/>
  <c r="H119" i="3"/>
  <c r="N119" i="3" s="1"/>
  <c r="D119" i="3"/>
  <c r="B119" i="3"/>
  <c r="Z118" i="3"/>
  <c r="X118" i="3"/>
  <c r="T118" i="3"/>
  <c r="P118" i="3"/>
  <c r="H118" i="3"/>
  <c r="N118" i="3" s="1"/>
  <c r="D118" i="3"/>
  <c r="B118" i="3"/>
  <c r="T117" i="3"/>
  <c r="P117" i="3"/>
  <c r="X117" i="3" s="1"/>
  <c r="Z117" i="3" s="1"/>
  <c r="H117" i="3"/>
  <c r="D117" i="3"/>
  <c r="L117" i="3" s="1"/>
  <c r="N117" i="3" s="1"/>
  <c r="B117" i="3"/>
  <c r="T116" i="3"/>
  <c r="P116" i="3"/>
  <c r="X116" i="3" s="1"/>
  <c r="Z116" i="3" s="1"/>
  <c r="H116" i="3"/>
  <c r="D116" i="3"/>
  <c r="B116" i="3"/>
  <c r="T115" i="3"/>
  <c r="Z115" i="3" s="1"/>
  <c r="P115" i="3"/>
  <c r="X115" i="3" s="1"/>
  <c r="H115" i="3"/>
  <c r="D115" i="3"/>
  <c r="B115" i="3"/>
  <c r="Z114" i="3"/>
  <c r="X114" i="3"/>
  <c r="T114" i="3"/>
  <c r="P114" i="3"/>
  <c r="H114" i="3"/>
  <c r="D114" i="3"/>
  <c r="B114" i="3"/>
  <c r="T113" i="3"/>
  <c r="P113" i="3"/>
  <c r="X113" i="3" s="1"/>
  <c r="Z113" i="3" s="1"/>
  <c r="H113" i="3"/>
  <c r="D113" i="3"/>
  <c r="L113" i="3" s="1"/>
  <c r="N113" i="3" s="1"/>
  <c r="B113" i="3"/>
  <c r="T112" i="3"/>
  <c r="P112" i="3"/>
  <c r="X112" i="3" s="1"/>
  <c r="Z112" i="3" s="1"/>
  <c r="H112" i="3"/>
  <c r="N112" i="3" s="1"/>
  <c r="D112" i="3"/>
  <c r="B112" i="3"/>
  <c r="T111" i="3"/>
  <c r="P111" i="3"/>
  <c r="X111" i="3" s="1"/>
  <c r="H111" i="3"/>
  <c r="N111" i="3" s="1"/>
  <c r="D111" i="3"/>
  <c r="B111" i="3"/>
  <c r="Z110" i="3"/>
  <c r="X110" i="3"/>
  <c r="T110" i="3"/>
  <c r="P110" i="3"/>
  <c r="H110" i="3"/>
  <c r="D110" i="3"/>
  <c r="B110" i="3"/>
  <c r="T109" i="3"/>
  <c r="P109" i="3"/>
  <c r="X109" i="3" s="1"/>
  <c r="Z109" i="3" s="1"/>
  <c r="H109" i="3"/>
  <c r="D109" i="3"/>
  <c r="L109" i="3" s="1"/>
  <c r="N109" i="3" s="1"/>
  <c r="B109" i="3"/>
  <c r="T108" i="3"/>
  <c r="P108" i="3"/>
  <c r="X108" i="3" s="1"/>
  <c r="Z108" i="3" s="1"/>
  <c r="H108" i="3"/>
  <c r="N108" i="3" s="1"/>
  <c r="D108" i="3"/>
  <c r="B108" i="3"/>
  <c r="T107" i="3"/>
  <c r="Z107" i="3" s="1"/>
  <c r="P107" i="3"/>
  <c r="X107" i="3" s="1"/>
  <c r="H107" i="3"/>
  <c r="N107" i="3" s="1"/>
  <c r="D107" i="3"/>
  <c r="B107" i="3"/>
  <c r="Z106" i="3"/>
  <c r="X106" i="3"/>
  <c r="T106" i="3"/>
  <c r="P106" i="3"/>
  <c r="H106" i="3"/>
  <c r="D106" i="3"/>
  <c r="B106" i="3"/>
  <c r="T105" i="3"/>
  <c r="P105" i="3"/>
  <c r="X105" i="3" s="1"/>
  <c r="Z105" i="3" s="1"/>
  <c r="H105" i="3"/>
  <c r="D105" i="3"/>
  <c r="L105" i="3" s="1"/>
  <c r="N105" i="3" s="1"/>
  <c r="B105" i="3"/>
  <c r="T104" i="3"/>
  <c r="P104" i="3"/>
  <c r="X104" i="3" s="1"/>
  <c r="Z104" i="3" s="1"/>
  <c r="H104" i="3"/>
  <c r="D104" i="3"/>
  <c r="B104" i="3"/>
  <c r="T103" i="3"/>
  <c r="Z103" i="3" s="1"/>
  <c r="P103" i="3"/>
  <c r="X103" i="3" s="1"/>
  <c r="H103" i="3"/>
  <c r="N103" i="3" s="1"/>
  <c r="D103" i="3"/>
  <c r="B103" i="3"/>
  <c r="Z102" i="3"/>
  <c r="X102" i="3"/>
  <c r="T102" i="3"/>
  <c r="P102" i="3"/>
  <c r="H102" i="3"/>
  <c r="N102" i="3" s="1"/>
  <c r="D102" i="3"/>
  <c r="B102" i="3"/>
  <c r="T101" i="3"/>
  <c r="P101" i="3"/>
  <c r="X101" i="3" s="1"/>
  <c r="Z101" i="3" s="1"/>
  <c r="N101" i="3"/>
  <c r="H101" i="3"/>
  <c r="D101" i="3"/>
  <c r="L101" i="3" s="1"/>
  <c r="B101" i="3"/>
  <c r="T100" i="3"/>
  <c r="P100" i="3"/>
  <c r="X100" i="3" s="1"/>
  <c r="Z100" i="3" s="1"/>
  <c r="H100" i="3"/>
  <c r="N100" i="3" s="1"/>
  <c r="D100" i="3"/>
  <c r="B100" i="3"/>
  <c r="T99" i="3"/>
  <c r="Z99" i="3" s="1"/>
  <c r="P99" i="3"/>
  <c r="X99" i="3" s="1"/>
  <c r="H99" i="3"/>
  <c r="N99" i="3" s="1"/>
  <c r="D99" i="3"/>
  <c r="B99" i="3"/>
  <c r="Z98" i="3"/>
  <c r="X98" i="3"/>
  <c r="T98" i="3"/>
  <c r="P98" i="3"/>
  <c r="H98" i="3"/>
  <c r="N98" i="3" s="1"/>
  <c r="D98" i="3"/>
  <c r="B98" i="3"/>
  <c r="T97" i="3"/>
  <c r="P97" i="3"/>
  <c r="X97" i="3" s="1"/>
  <c r="Z97" i="3" s="1"/>
  <c r="H97" i="3"/>
  <c r="D97" i="3"/>
  <c r="L97" i="3" s="1"/>
  <c r="N97" i="3" s="1"/>
  <c r="B97" i="3"/>
  <c r="T96" i="3"/>
  <c r="P96" i="3"/>
  <c r="X96" i="3" s="1"/>
  <c r="Z96" i="3" s="1"/>
  <c r="H96" i="3"/>
  <c r="D96" i="3"/>
  <c r="B96" i="3"/>
  <c r="T95" i="3"/>
  <c r="P95" i="3"/>
  <c r="X95" i="3" s="1"/>
  <c r="H95" i="3"/>
  <c r="D95" i="3"/>
  <c r="B95" i="3"/>
  <c r="Z94" i="3"/>
  <c r="X94" i="3"/>
  <c r="T94" i="3"/>
  <c r="P94" i="3"/>
  <c r="H94" i="3"/>
  <c r="D94" i="3"/>
  <c r="B94" i="3"/>
  <c r="T93" i="3"/>
  <c r="P93" i="3"/>
  <c r="X93" i="3" s="1"/>
  <c r="Z93" i="3" s="1"/>
  <c r="H93" i="3"/>
  <c r="D93" i="3"/>
  <c r="L93" i="3" s="1"/>
  <c r="N93" i="3" s="1"/>
  <c r="B93" i="3"/>
  <c r="T92" i="3"/>
  <c r="P92" i="3"/>
  <c r="X92" i="3" s="1"/>
  <c r="Z92" i="3" s="1"/>
  <c r="H92" i="3"/>
  <c r="D92" i="3"/>
  <c r="B92" i="3"/>
  <c r="T91" i="3"/>
  <c r="P91" i="3"/>
  <c r="X91" i="3" s="1"/>
  <c r="H91" i="3"/>
  <c r="N91" i="3" s="1"/>
  <c r="D91" i="3"/>
  <c r="B91" i="3"/>
  <c r="Z90" i="3"/>
  <c r="X90" i="3"/>
  <c r="T90" i="3"/>
  <c r="P90" i="3"/>
  <c r="H90" i="3"/>
  <c r="D90" i="3"/>
  <c r="B90" i="3"/>
  <c r="T89" i="3"/>
  <c r="P89" i="3"/>
  <c r="X89" i="3" s="1"/>
  <c r="Z89" i="3" s="1"/>
  <c r="H89" i="3"/>
  <c r="D89" i="3"/>
  <c r="L89" i="3" s="1"/>
  <c r="N89" i="3" s="1"/>
  <c r="B89" i="3"/>
  <c r="T88" i="3"/>
  <c r="P88" i="3"/>
  <c r="X88" i="3" s="1"/>
  <c r="Z88" i="3" s="1"/>
  <c r="H88" i="3"/>
  <c r="D88" i="3"/>
  <c r="B88" i="3"/>
  <c r="T87" i="3"/>
  <c r="Z87" i="3" s="1"/>
  <c r="P87" i="3"/>
  <c r="X87" i="3" s="1"/>
  <c r="H87" i="3"/>
  <c r="D87" i="3"/>
  <c r="B87" i="3"/>
  <c r="Z86" i="3"/>
  <c r="X86" i="3"/>
  <c r="T86" i="3"/>
  <c r="P86" i="3"/>
  <c r="H86" i="3"/>
  <c r="N86" i="3" s="1"/>
  <c r="D86" i="3"/>
  <c r="B86" i="3"/>
  <c r="T85" i="3"/>
  <c r="P85" i="3"/>
  <c r="X85" i="3" s="1"/>
  <c r="Z85" i="3" s="1"/>
  <c r="N85" i="3"/>
  <c r="H85" i="3"/>
  <c r="D85" i="3"/>
  <c r="L85" i="3" s="1"/>
  <c r="B85" i="3"/>
  <c r="T84" i="3"/>
  <c r="P84" i="3"/>
  <c r="X84" i="3" s="1"/>
  <c r="Z84" i="3" s="1"/>
  <c r="H84" i="3"/>
  <c r="D84" i="3"/>
  <c r="B84" i="3"/>
  <c r="T83" i="3"/>
  <c r="P83" i="3"/>
  <c r="X83" i="3" s="1"/>
  <c r="H83" i="3"/>
  <c r="N83" i="3" s="1"/>
  <c r="D83" i="3"/>
  <c r="B83" i="3"/>
  <c r="Z82" i="3"/>
  <c r="X82" i="3"/>
  <c r="T82" i="3"/>
  <c r="P82" i="3"/>
  <c r="H82" i="3"/>
  <c r="D82" i="3"/>
  <c r="B82" i="3"/>
  <c r="T81" i="3"/>
  <c r="P81" i="3"/>
  <c r="X81" i="3" s="1"/>
  <c r="Z81" i="3" s="1"/>
  <c r="H81" i="3"/>
  <c r="D81" i="3"/>
  <c r="L81" i="3" s="1"/>
  <c r="N81" i="3" s="1"/>
  <c r="B81" i="3"/>
  <c r="T80" i="3"/>
  <c r="P80" i="3"/>
  <c r="X80" i="3" s="1"/>
  <c r="Z80" i="3" s="1"/>
  <c r="H80" i="3"/>
  <c r="N80" i="3" s="1"/>
  <c r="D80" i="3"/>
  <c r="B80" i="3"/>
  <c r="T79" i="3"/>
  <c r="Z79" i="3" s="1"/>
  <c r="P79" i="3"/>
  <c r="X79" i="3" s="1"/>
  <c r="H79" i="3"/>
  <c r="D79" i="3"/>
  <c r="B79" i="3"/>
  <c r="Z78" i="3"/>
  <c r="X78" i="3"/>
  <c r="T78" i="3"/>
  <c r="P78" i="3"/>
  <c r="H78" i="3"/>
  <c r="D78" i="3"/>
  <c r="B78" i="3"/>
  <c r="T77" i="3"/>
  <c r="P77" i="3"/>
  <c r="X77" i="3" s="1"/>
  <c r="Z77" i="3" s="1"/>
  <c r="H77" i="3"/>
  <c r="D77" i="3"/>
  <c r="L77" i="3" s="1"/>
  <c r="N77" i="3" s="1"/>
  <c r="B77" i="3"/>
  <c r="T76" i="3"/>
  <c r="P76" i="3"/>
  <c r="X76" i="3" s="1"/>
  <c r="Z76" i="3" s="1"/>
  <c r="H76" i="3"/>
  <c r="D76" i="3"/>
  <c r="B76" i="3"/>
  <c r="T75" i="3"/>
  <c r="Z75" i="3" s="1"/>
  <c r="P75" i="3"/>
  <c r="X75" i="3" s="1"/>
  <c r="H75" i="3"/>
  <c r="D75" i="3"/>
  <c r="B75" i="3"/>
  <c r="Z74" i="3"/>
  <c r="X74" i="3"/>
  <c r="T74" i="3"/>
  <c r="P74" i="3"/>
  <c r="H74" i="3"/>
  <c r="D74" i="3"/>
  <c r="B74" i="3"/>
  <c r="T73" i="3"/>
  <c r="P73" i="3"/>
  <c r="X73" i="3" s="1"/>
  <c r="Z73" i="3" s="1"/>
  <c r="N73" i="3"/>
  <c r="L73" i="3"/>
  <c r="H73" i="3"/>
  <c r="D73" i="3"/>
  <c r="B73" i="3"/>
  <c r="T72" i="3"/>
  <c r="P72" i="3"/>
  <c r="X72" i="3" s="1"/>
  <c r="Z72" i="3" s="1"/>
  <c r="H72" i="3"/>
  <c r="N72" i="3" s="1"/>
  <c r="D72" i="3"/>
  <c r="B72" i="3"/>
  <c r="T71" i="3"/>
  <c r="Z71" i="3" s="1"/>
  <c r="P71" i="3"/>
  <c r="X71" i="3" s="1"/>
  <c r="H71" i="3"/>
  <c r="D71" i="3"/>
  <c r="B71" i="3"/>
  <c r="Z70" i="3"/>
  <c r="X70" i="3"/>
  <c r="T70" i="3"/>
  <c r="P70" i="3"/>
  <c r="H70" i="3"/>
  <c r="D70" i="3"/>
  <c r="B70" i="3"/>
  <c r="T69" i="3"/>
  <c r="P69" i="3"/>
  <c r="X69" i="3" s="1"/>
  <c r="Z69" i="3" s="1"/>
  <c r="N69" i="3"/>
  <c r="L69" i="3"/>
  <c r="H69" i="3"/>
  <c r="D69" i="3"/>
  <c r="B69" i="3"/>
  <c r="T68" i="3"/>
  <c r="P68" i="3"/>
  <c r="X68" i="3" s="1"/>
  <c r="Z68" i="3" s="1"/>
  <c r="H68" i="3"/>
  <c r="D68" i="3"/>
  <c r="B68" i="3"/>
  <c r="T67" i="3"/>
  <c r="Z67" i="3" s="1"/>
  <c r="P67" i="3"/>
  <c r="X67" i="3" s="1"/>
  <c r="H67" i="3"/>
  <c r="N67" i="3" s="1"/>
  <c r="D67" i="3"/>
  <c r="B67" i="3"/>
  <c r="Z66" i="3"/>
  <c r="X66" i="3"/>
  <c r="T66" i="3"/>
  <c r="P66" i="3"/>
  <c r="H66" i="3"/>
  <c r="D66" i="3"/>
  <c r="B66" i="3"/>
  <c r="T65" i="3"/>
  <c r="P65" i="3"/>
  <c r="X65" i="3" s="1"/>
  <c r="Z65" i="3" s="1"/>
  <c r="N65" i="3"/>
  <c r="L65" i="3"/>
  <c r="H65" i="3"/>
  <c r="D65" i="3"/>
  <c r="B65" i="3"/>
  <c r="T64" i="3"/>
  <c r="P64" i="3"/>
  <c r="X64" i="3" s="1"/>
  <c r="Z64" i="3" s="1"/>
  <c r="H64" i="3"/>
  <c r="N64" i="3" s="1"/>
  <c r="D64" i="3"/>
  <c r="B64" i="3"/>
  <c r="T63" i="3"/>
  <c r="Z63" i="3" s="1"/>
  <c r="P63" i="3"/>
  <c r="X63" i="3" s="1"/>
  <c r="H63" i="3"/>
  <c r="D63" i="3"/>
  <c r="B63" i="3"/>
  <c r="Z62" i="3"/>
  <c r="X62" i="3"/>
  <c r="T62" i="3"/>
  <c r="P62" i="3"/>
  <c r="H62" i="3"/>
  <c r="D62" i="3"/>
  <c r="B62" i="3"/>
  <c r="T61" i="3"/>
  <c r="P61" i="3"/>
  <c r="X61" i="3" s="1"/>
  <c r="Z61" i="3" s="1"/>
  <c r="N61" i="3"/>
  <c r="L61" i="3"/>
  <c r="H61" i="3"/>
  <c r="D61" i="3"/>
  <c r="B61" i="3"/>
  <c r="T60" i="3"/>
  <c r="P60" i="3"/>
  <c r="X60" i="3" s="1"/>
  <c r="Z60" i="3" s="1"/>
  <c r="H60" i="3"/>
  <c r="D60" i="3"/>
  <c r="B60" i="3"/>
  <c r="T59" i="3"/>
  <c r="Z59" i="3" s="1"/>
  <c r="P59" i="3"/>
  <c r="X59" i="3" s="1"/>
  <c r="H59" i="3"/>
  <c r="D59" i="3"/>
  <c r="B59" i="3"/>
  <c r="Z58" i="3"/>
  <c r="X58" i="3"/>
  <c r="T58" i="3"/>
  <c r="P58" i="3"/>
  <c r="H58" i="3"/>
  <c r="N58" i="3" s="1"/>
  <c r="D58" i="3"/>
  <c r="B58" i="3"/>
  <c r="T57" i="3"/>
  <c r="P57" i="3"/>
  <c r="X57" i="3" s="1"/>
  <c r="Z57" i="3" s="1"/>
  <c r="N57" i="3"/>
  <c r="L57" i="3"/>
  <c r="H57" i="3"/>
  <c r="D57" i="3"/>
  <c r="B57" i="3"/>
  <c r="T56" i="3"/>
  <c r="P56" i="3"/>
  <c r="X56" i="3" s="1"/>
  <c r="Z56" i="3" s="1"/>
  <c r="H56" i="3"/>
  <c r="D56" i="3"/>
  <c r="B56" i="3"/>
  <c r="T55" i="3"/>
  <c r="Z55" i="3" s="1"/>
  <c r="P55" i="3"/>
  <c r="X55" i="3" s="1"/>
  <c r="H55" i="3"/>
  <c r="D55" i="3"/>
  <c r="B55" i="3"/>
  <c r="Z54" i="3"/>
  <c r="X54" i="3"/>
  <c r="T54" i="3"/>
  <c r="P54" i="3"/>
  <c r="H54" i="3"/>
  <c r="N54" i="3" s="1"/>
  <c r="D54" i="3"/>
  <c r="B54" i="3"/>
  <c r="T53" i="3"/>
  <c r="P53" i="3"/>
  <c r="X53" i="3" s="1"/>
  <c r="Z53" i="3" s="1"/>
  <c r="N53" i="3"/>
  <c r="L53" i="3"/>
  <c r="H53" i="3"/>
  <c r="D53" i="3"/>
  <c r="B53" i="3"/>
  <c r="T52" i="3"/>
  <c r="P52" i="3"/>
  <c r="X52" i="3" s="1"/>
  <c r="Z52" i="3" s="1"/>
  <c r="H52" i="3"/>
  <c r="D52" i="3"/>
  <c r="B52" i="3"/>
  <c r="T51" i="3"/>
  <c r="Z51" i="3" s="1"/>
  <c r="P51" i="3"/>
  <c r="X51" i="3" s="1"/>
  <c r="H51" i="3"/>
  <c r="D51" i="3"/>
  <c r="B51" i="3"/>
  <c r="Z50" i="3"/>
  <c r="X50" i="3"/>
  <c r="T50" i="3"/>
  <c r="P50" i="3"/>
  <c r="H50" i="3"/>
  <c r="D50" i="3"/>
  <c r="B50" i="3"/>
  <c r="T49" i="3"/>
  <c r="P49" i="3"/>
  <c r="X49" i="3" s="1"/>
  <c r="Z49" i="3" s="1"/>
  <c r="N49" i="3"/>
  <c r="L49" i="3"/>
  <c r="H49" i="3"/>
  <c r="D49" i="3"/>
  <c r="B49" i="3"/>
  <c r="T48" i="3"/>
  <c r="P48" i="3"/>
  <c r="X48" i="3" s="1"/>
  <c r="Z48" i="3" s="1"/>
  <c r="H48" i="3"/>
  <c r="D48" i="3"/>
  <c r="B48" i="3"/>
  <c r="T47" i="3"/>
  <c r="Z47" i="3" s="1"/>
  <c r="P47" i="3"/>
  <c r="X47" i="3" s="1"/>
  <c r="H47" i="3"/>
  <c r="D47" i="3"/>
  <c r="B47" i="3"/>
  <c r="Z46" i="3"/>
  <c r="X46" i="3"/>
  <c r="T46" i="3"/>
  <c r="P46" i="3"/>
  <c r="H46" i="3"/>
  <c r="D46" i="3"/>
  <c r="B46" i="3"/>
  <c r="T45" i="3"/>
  <c r="P45" i="3"/>
  <c r="X45" i="3" s="1"/>
  <c r="Z45" i="3" s="1"/>
  <c r="N45" i="3"/>
  <c r="L45" i="3"/>
  <c r="H45" i="3"/>
  <c r="D45" i="3"/>
  <c r="B45" i="3"/>
  <c r="T44" i="3"/>
  <c r="P44" i="3"/>
  <c r="X44" i="3" s="1"/>
  <c r="Z44" i="3" s="1"/>
  <c r="H44" i="3"/>
  <c r="N44" i="3" s="1"/>
  <c r="D44" i="3"/>
  <c r="B44" i="3"/>
  <c r="T43" i="3"/>
  <c r="Z43" i="3" s="1"/>
  <c r="P43" i="3"/>
  <c r="X43" i="3" s="1"/>
  <c r="H43" i="3"/>
  <c r="D43" i="3"/>
  <c r="B43" i="3"/>
  <c r="Z42" i="3"/>
  <c r="X42" i="3"/>
  <c r="T42" i="3"/>
  <c r="P42" i="3"/>
  <c r="H42" i="3"/>
  <c r="N42" i="3" s="1"/>
  <c r="D42" i="3"/>
  <c r="B42" i="3"/>
  <c r="T41" i="3"/>
  <c r="P41" i="3"/>
  <c r="X41" i="3" s="1"/>
  <c r="Z41" i="3" s="1"/>
  <c r="N41" i="3"/>
  <c r="L41" i="3"/>
  <c r="H41" i="3"/>
  <c r="D41" i="3"/>
  <c r="B41" i="3"/>
  <c r="T40" i="3"/>
  <c r="P40" i="3"/>
  <c r="X40" i="3" s="1"/>
  <c r="Z40" i="3" s="1"/>
  <c r="H40" i="3"/>
  <c r="N40" i="3" s="1"/>
  <c r="D40" i="3"/>
  <c r="B40" i="3"/>
  <c r="T39" i="3"/>
  <c r="Z39" i="3" s="1"/>
  <c r="P39" i="3"/>
  <c r="X39" i="3" s="1"/>
  <c r="H39" i="3"/>
  <c r="D39" i="3"/>
  <c r="B39" i="3"/>
  <c r="Z38" i="3"/>
  <c r="X38" i="3"/>
  <c r="T38" i="3"/>
  <c r="P38" i="3"/>
  <c r="H38" i="3"/>
  <c r="D38" i="3"/>
  <c r="B38" i="3"/>
  <c r="T37" i="3"/>
  <c r="P37" i="3"/>
  <c r="X37" i="3" s="1"/>
  <c r="Z37" i="3" s="1"/>
  <c r="N37" i="3"/>
  <c r="L37" i="3"/>
  <c r="H37" i="3"/>
  <c r="D37" i="3"/>
  <c r="B37" i="3"/>
  <c r="T36" i="3"/>
  <c r="P36" i="3"/>
  <c r="X36" i="3" s="1"/>
  <c r="Z36" i="3" s="1"/>
  <c r="H36" i="3"/>
  <c r="D36" i="3"/>
  <c r="B36" i="3"/>
  <c r="T35" i="3"/>
  <c r="Z35" i="3" s="1"/>
  <c r="P35" i="3"/>
  <c r="X35" i="3" s="1"/>
  <c r="H35" i="3"/>
  <c r="D35" i="3"/>
  <c r="B35" i="3"/>
  <c r="Z34" i="3"/>
  <c r="X34" i="3"/>
  <c r="T34" i="3"/>
  <c r="P34" i="3"/>
  <c r="H34" i="3"/>
  <c r="D34" i="3"/>
  <c r="B34" i="3"/>
  <c r="T33" i="3"/>
  <c r="P33" i="3"/>
  <c r="X33" i="3" s="1"/>
  <c r="Z33" i="3" s="1"/>
  <c r="N33" i="3"/>
  <c r="L33" i="3"/>
  <c r="H33" i="3"/>
  <c r="D33" i="3"/>
  <c r="B33" i="3"/>
  <c r="T32" i="3"/>
  <c r="P32" i="3"/>
  <c r="X32" i="3" s="1"/>
  <c r="Z32" i="3" s="1"/>
  <c r="H32" i="3"/>
  <c r="N32" i="3" s="1"/>
  <c r="D32" i="3"/>
  <c r="B32" i="3"/>
  <c r="T31" i="3"/>
  <c r="Z31" i="3" s="1"/>
  <c r="P31" i="3"/>
  <c r="X31" i="3" s="1"/>
  <c r="H31" i="3"/>
  <c r="N31" i="3" s="1"/>
  <c r="D31" i="3"/>
  <c r="B31" i="3"/>
  <c r="Z30" i="3"/>
  <c r="X30" i="3"/>
  <c r="T30" i="3"/>
  <c r="P30" i="3"/>
  <c r="H30" i="3"/>
  <c r="N30" i="3" s="1"/>
  <c r="D30" i="3"/>
  <c r="B30" i="3"/>
  <c r="T29" i="3"/>
  <c r="P29" i="3"/>
  <c r="X29" i="3" s="1"/>
  <c r="Z29" i="3" s="1"/>
  <c r="N29" i="3"/>
  <c r="L29" i="3"/>
  <c r="H29" i="3"/>
  <c r="D29" i="3"/>
  <c r="B29" i="3"/>
  <c r="T28" i="3"/>
  <c r="P28" i="3"/>
  <c r="X28" i="3" s="1"/>
  <c r="Z28" i="3" s="1"/>
  <c r="H28" i="3"/>
  <c r="N28" i="3" s="1"/>
  <c r="D28" i="3"/>
  <c r="B28" i="3"/>
  <c r="T27" i="3"/>
  <c r="Z27" i="3" s="1"/>
  <c r="P27" i="3"/>
  <c r="X27" i="3" s="1"/>
  <c r="H27" i="3"/>
  <c r="D27" i="3"/>
  <c r="B27" i="3"/>
  <c r="Z26" i="3"/>
  <c r="X26" i="3"/>
  <c r="T26" i="3"/>
  <c r="P26" i="3"/>
  <c r="H26" i="3"/>
  <c r="D26" i="3"/>
  <c r="B26" i="3"/>
  <c r="T25" i="3"/>
  <c r="P25" i="3"/>
  <c r="X25" i="3" s="1"/>
  <c r="Z25" i="3" s="1"/>
  <c r="N25" i="3"/>
  <c r="L25" i="3"/>
  <c r="H25" i="3"/>
  <c r="D25" i="3"/>
  <c r="B25" i="3"/>
  <c r="T24" i="3"/>
  <c r="P24" i="3"/>
  <c r="X24" i="3" s="1"/>
  <c r="Z24" i="3" s="1"/>
  <c r="H24" i="3"/>
  <c r="D24" i="3"/>
  <c r="B24" i="3"/>
  <c r="T23" i="3"/>
  <c r="Z23" i="3" s="1"/>
  <c r="P23" i="3"/>
  <c r="X23" i="3" s="1"/>
  <c r="H23" i="3"/>
  <c r="N23" i="3" s="1"/>
  <c r="D23" i="3"/>
  <c r="B23" i="3"/>
  <c r="Z22" i="3"/>
  <c r="X22" i="3"/>
  <c r="T22" i="3"/>
  <c r="P22" i="3"/>
  <c r="H22" i="3"/>
  <c r="D22" i="3"/>
  <c r="B22" i="3"/>
  <c r="T21" i="3"/>
  <c r="P21" i="3"/>
  <c r="X21" i="3" s="1"/>
  <c r="Z21" i="3" s="1"/>
  <c r="N21" i="3"/>
  <c r="L21" i="3"/>
  <c r="H21" i="3"/>
  <c r="D21" i="3"/>
  <c r="B21" i="3"/>
  <c r="T20" i="3"/>
  <c r="P20" i="3"/>
  <c r="X20" i="3" s="1"/>
  <c r="Z20" i="3" s="1"/>
  <c r="H20" i="3"/>
  <c r="D20" i="3"/>
  <c r="B20" i="3"/>
  <c r="T19" i="3"/>
  <c r="Z19" i="3" s="1"/>
  <c r="P19" i="3"/>
  <c r="X19" i="3" s="1"/>
  <c r="H19" i="3"/>
  <c r="N19" i="3" s="1"/>
  <c r="D19" i="3"/>
  <c r="B19" i="3"/>
  <c r="Z18" i="3"/>
  <c r="X18" i="3"/>
  <c r="T18" i="3"/>
  <c r="P18" i="3"/>
  <c r="H18" i="3"/>
  <c r="N18" i="3" s="1"/>
  <c r="D18" i="3"/>
  <c r="B18" i="3"/>
  <c r="T17" i="3"/>
  <c r="P17" i="3"/>
  <c r="X17" i="3" s="1"/>
  <c r="Z17" i="3" s="1"/>
  <c r="N17" i="3"/>
  <c r="L17" i="3"/>
  <c r="H17" i="3"/>
  <c r="D17" i="3"/>
  <c r="B17" i="3"/>
  <c r="T16" i="3"/>
  <c r="P16" i="3"/>
  <c r="X16" i="3" s="1"/>
  <c r="Z16" i="3" s="1"/>
  <c r="H16" i="3"/>
  <c r="D16" i="3"/>
  <c r="B16" i="3"/>
  <c r="T15" i="3"/>
  <c r="Z15" i="3" s="1"/>
  <c r="P15" i="3"/>
  <c r="X15" i="3" s="1"/>
  <c r="H15" i="3"/>
  <c r="D15" i="3"/>
  <c r="B15" i="3"/>
  <c r="Z14" i="3"/>
  <c r="X14" i="3"/>
  <c r="T14" i="3"/>
  <c r="P14" i="3"/>
  <c r="H14" i="3"/>
  <c r="H12" i="3" s="1"/>
  <c r="D14" i="3"/>
  <c r="D12" i="3" s="1"/>
  <c r="B14" i="3"/>
  <c r="Z13" i="3"/>
  <c r="T13" i="3"/>
  <c r="T12" i="3" s="1"/>
  <c r="P13" i="3"/>
  <c r="X13" i="3" s="1"/>
  <c r="N13" i="3"/>
  <c r="L13" i="3"/>
  <c r="H13" i="3"/>
  <c r="D13" i="3"/>
  <c r="B13" i="3"/>
  <c r="D4" i="3"/>
  <c r="P16" i="99"/>
  <c r="H21" i="100"/>
  <c r="H12" i="98"/>
  <c r="P20" i="98"/>
  <c r="B39" i="98"/>
  <c r="D24" i="98"/>
  <c r="T29" i="99"/>
  <c r="T13" i="100"/>
  <c r="P33" i="99"/>
  <c r="P16" i="100"/>
  <c r="H29" i="100"/>
  <c r="T21" i="98"/>
  <c r="B22" i="99"/>
  <c r="T12" i="100"/>
  <c r="B38" i="53"/>
  <c r="B25" i="53"/>
  <c r="D13" i="52"/>
  <c r="H15" i="53"/>
  <c r="P34" i="49"/>
  <c r="T33" i="53"/>
  <c r="T34" i="52"/>
  <c r="D5" i="50"/>
  <c r="H24" i="46"/>
  <c r="H22" i="50"/>
  <c r="T20" i="53"/>
  <c r="D25" i="50"/>
  <c r="P24" i="52"/>
  <c r="D34" i="49"/>
  <c r="D12" i="52"/>
  <c r="T29" i="46"/>
  <c r="D12" i="47"/>
  <c r="H24" i="53"/>
  <c r="H12" i="46"/>
  <c r="D15" i="50"/>
  <c r="T29" i="43"/>
  <c r="H33" i="47"/>
  <c r="D15" i="49"/>
  <c r="D4" i="53"/>
  <c r="P22" i="46"/>
  <c r="T34" i="49"/>
  <c r="P21" i="43"/>
  <c r="B22" i="47"/>
  <c r="D12" i="43"/>
  <c r="H33" i="46"/>
  <c r="H25" i="43"/>
  <c r="D15" i="47"/>
  <c r="H24" i="41"/>
  <c r="D21" i="44"/>
  <c r="H24" i="40"/>
  <c r="H22" i="43"/>
  <c r="D25" i="40"/>
  <c r="B22" i="41"/>
  <c r="B21" i="41"/>
  <c r="B39" i="43"/>
  <c r="D16" i="40"/>
  <c r="T21" i="43"/>
  <c r="D34" i="38"/>
  <c r="P29" i="41"/>
  <c r="H34" i="52"/>
  <c r="P24" i="40"/>
  <c r="P13" i="40"/>
  <c r="B16" i="35"/>
  <c r="T24" i="38"/>
  <c r="T34" i="34"/>
  <c r="H21" i="32"/>
  <c r="P29" i="35"/>
  <c r="H16" i="38"/>
  <c r="D15" i="38"/>
  <c r="P24" i="34"/>
  <c r="P21" i="37"/>
  <c r="H34" i="41"/>
  <c r="D5" i="35"/>
  <c r="H29" i="37"/>
  <c r="H25" i="34"/>
  <c r="H33" i="38"/>
  <c r="B39" i="37"/>
  <c r="D22" i="34"/>
  <c r="T20" i="32"/>
  <c r="P33" i="31"/>
  <c r="D16" i="32"/>
  <c r="D21" i="34"/>
  <c r="T20" i="29"/>
  <c r="D13" i="35"/>
  <c r="P12" i="34"/>
  <c r="T33" i="32"/>
  <c r="D22" i="35"/>
  <c r="D25" i="31"/>
  <c r="B25" i="31"/>
  <c r="D33" i="34"/>
  <c r="B38" i="28"/>
  <c r="B22" i="29"/>
  <c r="D34" i="29"/>
  <c r="T12" i="29"/>
  <c r="P34" i="26"/>
  <c r="P20" i="29"/>
  <c r="T22" i="29"/>
  <c r="P24" i="25"/>
  <c r="D24" i="28"/>
  <c r="D5" i="28"/>
  <c r="H21" i="25"/>
  <c r="H33" i="29"/>
  <c r="P15" i="38"/>
  <c r="P16" i="26"/>
  <c r="D15" i="26"/>
  <c r="D20" i="31"/>
  <c r="T34" i="26"/>
  <c r="B21" i="23"/>
  <c r="D13" i="20"/>
  <c r="D12" i="99"/>
  <c r="D13" i="100"/>
  <c r="B25" i="100"/>
  <c r="P16" i="98"/>
  <c r="H24" i="98"/>
  <c r="D22" i="98"/>
  <c r="T25" i="99"/>
  <c r="T24" i="99"/>
  <c r="P29" i="99"/>
  <c r="D12" i="100"/>
  <c r="H25" i="100"/>
  <c r="D34" i="99"/>
  <c r="D29" i="98"/>
  <c r="D25" i="98"/>
  <c r="D34" i="53"/>
  <c r="D24" i="53"/>
  <c r="P34" i="50"/>
  <c r="B25" i="52"/>
  <c r="P33" i="49"/>
  <c r="T29" i="53"/>
  <c r="T33" i="52"/>
  <c r="P20" i="49"/>
  <c r="H22" i="46"/>
  <c r="H13" i="50"/>
  <c r="T16" i="53"/>
  <c r="H21" i="50"/>
  <c r="P22" i="52"/>
  <c r="D33" i="49"/>
  <c r="B21" i="50"/>
  <c r="T25" i="46"/>
  <c r="P29" i="46"/>
  <c r="D5" i="52"/>
  <c r="T34" i="44"/>
  <c r="P22" i="47"/>
  <c r="T25" i="43"/>
  <c r="T29" i="47"/>
  <c r="B39" i="47"/>
  <c r="D21" i="50"/>
  <c r="D13" i="46"/>
  <c r="P22" i="49"/>
  <c r="T15" i="43"/>
  <c r="P24" i="46"/>
  <c r="T15" i="52"/>
  <c r="P25" i="46"/>
  <c r="P15" i="43"/>
  <c r="H34" i="46"/>
  <c r="H22" i="41"/>
  <c r="T16" i="44"/>
  <c r="H22" i="40"/>
  <c r="H20" i="43"/>
  <c r="H21" i="40"/>
  <c r="D21" i="41"/>
  <c r="D20" i="41"/>
  <c r="P29" i="43"/>
  <c r="B39" i="38"/>
  <c r="T24" i="41"/>
  <c r="D33" i="38"/>
  <c r="P25" i="41"/>
  <c r="T29" i="49"/>
  <c r="P22" i="40"/>
  <c r="H12" i="40"/>
  <c r="D15" i="35"/>
  <c r="D21" i="38"/>
  <c r="T33" i="34"/>
  <c r="D24" i="43"/>
  <c r="P25" i="35"/>
  <c r="T12" i="38"/>
  <c r="P12" i="38"/>
  <c r="P22" i="34"/>
  <c r="T15" i="37"/>
  <c r="P15" i="41"/>
  <c r="P20" i="34"/>
  <c r="H25" i="37"/>
  <c r="P15" i="34"/>
  <c r="H25" i="38"/>
  <c r="B25" i="37"/>
  <c r="H20" i="34"/>
  <c r="H16" i="32"/>
  <c r="P29" i="31"/>
  <c r="H12" i="32"/>
  <c r="D13" i="34"/>
  <c r="T16" i="29"/>
  <c r="H24" i="34"/>
  <c r="P21" i="32"/>
  <c r="H25" i="32"/>
  <c r="T16" i="35"/>
  <c r="H21" i="31"/>
  <c r="D24" i="31"/>
  <c r="B21" i="32"/>
  <c r="D34" i="28"/>
  <c r="P16" i="29"/>
  <c r="H25" i="29"/>
  <c r="H33" i="28"/>
  <c r="P33" i="26"/>
  <c r="D15" i="29"/>
  <c r="P21" i="29"/>
  <c r="P22" i="25"/>
  <c r="P25" i="34"/>
  <c r="B25" i="26"/>
  <c r="D13" i="25"/>
  <c r="H21" i="29"/>
  <c r="T12" i="32"/>
  <c r="H15" i="26"/>
  <c r="D5" i="26"/>
  <c r="H34" i="29"/>
  <c r="D33" i="26"/>
  <c r="D20" i="23"/>
  <c r="B39" i="19"/>
  <c r="P24" i="98"/>
  <c r="D4" i="100"/>
  <c r="D24" i="100"/>
  <c r="D12" i="98"/>
  <c r="H22" i="98"/>
  <c r="H20" i="98"/>
  <c r="B16" i="99"/>
  <c r="T22" i="99"/>
  <c r="P25" i="99"/>
  <c r="P24" i="99"/>
  <c r="P15" i="100"/>
  <c r="D6" i="98"/>
  <c r="H15" i="100"/>
  <c r="D25" i="99"/>
  <c r="D33" i="53"/>
  <c r="D22" i="53"/>
  <c r="P33" i="50"/>
  <c r="D24" i="52"/>
  <c r="P29" i="49"/>
  <c r="T25" i="53"/>
  <c r="T29" i="52"/>
  <c r="P16" i="49"/>
  <c r="P34" i="53"/>
  <c r="D4" i="50"/>
  <c r="T13" i="53"/>
  <c r="D13" i="50"/>
  <c r="T20" i="52"/>
  <c r="D29" i="49"/>
  <c r="D20" i="50"/>
  <c r="P21" i="52"/>
  <c r="H25" i="46"/>
  <c r="H15" i="50"/>
  <c r="T33" i="44"/>
  <c r="D4" i="47"/>
  <c r="B16" i="43"/>
  <c r="D20" i="47"/>
  <c r="P34" i="47"/>
  <c r="T20" i="49"/>
  <c r="P21" i="44"/>
  <c r="P13" i="49"/>
  <c r="P13" i="43"/>
  <c r="H21" i="46"/>
  <c r="P12" i="50"/>
  <c r="D20" i="46"/>
  <c r="D5" i="43"/>
  <c r="D22" i="46"/>
  <c r="H13" i="41"/>
  <c r="B13" i="44"/>
  <c r="H13" i="40"/>
  <c r="B25" i="41"/>
  <c r="D13" i="40"/>
  <c r="H15" i="41"/>
  <c r="D16" i="41"/>
  <c r="D25" i="43"/>
  <c r="H24" i="38"/>
  <c r="T22" i="41"/>
  <c r="D29" i="38"/>
  <c r="T21" i="41"/>
  <c r="B25" i="44"/>
  <c r="H33" i="52"/>
  <c r="H29" i="41"/>
  <c r="T12" i="35"/>
  <c r="P16" i="38"/>
  <c r="T29" i="34"/>
  <c r="T16" i="40"/>
  <c r="T21" i="35"/>
  <c r="P33" i="37"/>
  <c r="P34" i="37"/>
  <c r="T20" i="34"/>
  <c r="P13" i="37"/>
  <c r="D24" i="38"/>
  <c r="P16" i="34"/>
  <c r="P15" i="37"/>
  <c r="D5" i="34"/>
  <c r="T21" i="38"/>
  <c r="D24" i="37"/>
  <c r="H16" i="34"/>
  <c r="P12" i="32"/>
  <c r="P25" i="31"/>
  <c r="P24" i="31"/>
  <c r="D24" i="32"/>
  <c r="T13" i="29"/>
  <c r="H20" i="32"/>
  <c r="D4" i="32"/>
  <c r="D20" i="32"/>
  <c r="P33" i="34"/>
  <c r="D13" i="31"/>
  <c r="D22" i="31"/>
  <c r="P16" i="32"/>
  <c r="D33" i="28"/>
  <c r="T24" i="28"/>
  <c r="T25" i="28"/>
  <c r="H15" i="28"/>
  <c r="P29" i="26"/>
  <c r="H34" i="28"/>
  <c r="D16" i="29"/>
  <c r="T20" i="25"/>
  <c r="D22" i="32"/>
  <c r="D24" i="26"/>
  <c r="T25" i="29"/>
  <c r="T15" i="29"/>
  <c r="T24" i="29"/>
  <c r="D12" i="26"/>
  <c r="B21" i="25"/>
  <c r="T24" i="26"/>
  <c r="P24" i="26"/>
  <c r="D16" i="23"/>
  <c r="H24" i="19"/>
  <c r="P22" i="98"/>
  <c r="H34" i="99"/>
  <c r="D22" i="100"/>
  <c r="B21" i="100"/>
  <c r="H13" i="98"/>
  <c r="H16" i="98"/>
  <c r="D15" i="99"/>
  <c r="P12" i="99"/>
  <c r="T21" i="99"/>
  <c r="P22" i="99"/>
  <c r="D6" i="100"/>
  <c r="T25" i="100"/>
  <c r="H21" i="99"/>
  <c r="H33" i="98"/>
  <c r="D29" i="53"/>
  <c r="H20" i="53"/>
  <c r="P29" i="50"/>
  <c r="D22" i="52"/>
  <c r="P25" i="49"/>
  <c r="B16" i="53"/>
  <c r="T25" i="52"/>
  <c r="D12" i="49"/>
  <c r="P33" i="53"/>
  <c r="H34" i="49"/>
  <c r="P34" i="52"/>
  <c r="B39" i="49"/>
  <c r="T16" i="52"/>
  <c r="D25" i="49"/>
  <c r="D16" i="50"/>
  <c r="H12" i="52"/>
  <c r="D24" i="46"/>
  <c r="P24" i="49"/>
  <c r="T29" i="44"/>
  <c r="B25" i="46"/>
  <c r="D15" i="43"/>
  <c r="T15" i="47"/>
  <c r="P29" i="47"/>
  <c r="T16" i="49"/>
  <c r="T15" i="44"/>
  <c r="D22" i="47"/>
  <c r="H12" i="43"/>
  <c r="H15" i="46"/>
  <c r="D22" i="49"/>
  <c r="D16" i="46"/>
  <c r="P16" i="53"/>
  <c r="B21" i="46"/>
  <c r="D4" i="41"/>
  <c r="D4" i="43"/>
  <c r="D4" i="40"/>
  <c r="D24" i="41"/>
  <c r="B39" i="53"/>
  <c r="B25" i="40"/>
  <c r="B22" i="40"/>
  <c r="T34" i="41"/>
  <c r="H22" i="38"/>
  <c r="P12" i="41"/>
  <c r="D25" i="38"/>
  <c r="T24" i="40"/>
  <c r="T21" i="44"/>
  <c r="T12" i="46"/>
  <c r="D12" i="40"/>
  <c r="B21" i="34"/>
  <c r="T33" i="37"/>
  <c r="T25" i="34"/>
  <c r="H29" i="38"/>
  <c r="T24" i="34"/>
  <c r="P29" i="37"/>
  <c r="P24" i="37"/>
  <c r="T16" i="34"/>
  <c r="H12" i="37"/>
  <c r="B16" i="38"/>
  <c r="D12" i="34"/>
  <c r="D5" i="37"/>
  <c r="P34" i="32"/>
  <c r="P13" i="38"/>
  <c r="D22" i="37"/>
  <c r="B13" i="34"/>
  <c r="T24" i="31"/>
  <c r="T21" i="31"/>
  <c r="P22" i="31"/>
  <c r="B16" i="32"/>
  <c r="P34" i="28"/>
  <c r="P13" i="32"/>
  <c r="H34" i="31"/>
  <c r="T15" i="32"/>
  <c r="D4" i="34"/>
  <c r="T29" i="38"/>
  <c r="H20" i="31"/>
  <c r="B22" i="31"/>
  <c r="D29" i="28"/>
  <c r="D13" i="28"/>
  <c r="P24" i="28"/>
  <c r="D16" i="35"/>
  <c r="P25" i="26"/>
  <c r="D22" i="28"/>
  <c r="H12" i="29"/>
  <c r="T16" i="25"/>
  <c r="T25" i="31"/>
  <c r="D22" i="26"/>
  <c r="P13" i="28"/>
  <c r="H34" i="26"/>
  <c r="P13" i="29"/>
  <c r="B25" i="25"/>
  <c r="D16" i="25"/>
  <c r="H22" i="26"/>
  <c r="T20" i="26"/>
  <c r="B22" i="22"/>
  <c r="H22" i="19"/>
  <c r="T20" i="98"/>
  <c r="H33" i="99"/>
  <c r="H20" i="100"/>
  <c r="D20" i="100"/>
  <c r="D5" i="98"/>
  <c r="B13" i="98"/>
  <c r="T12" i="99"/>
  <c r="B21" i="98"/>
  <c r="T34" i="98"/>
  <c r="T20" i="99"/>
  <c r="P21" i="99"/>
  <c r="H15" i="99"/>
  <c r="D4" i="99"/>
  <c r="T29" i="100"/>
  <c r="D25" i="53"/>
  <c r="H16" i="53"/>
  <c r="P25" i="50"/>
  <c r="H20" i="52"/>
  <c r="T21" i="49"/>
  <c r="D15" i="53"/>
  <c r="B16" i="52"/>
  <c r="B38" i="47"/>
  <c r="P29" i="53"/>
  <c r="H33" i="49"/>
  <c r="P33" i="52"/>
  <c r="H24" i="49"/>
  <c r="T13" i="52"/>
  <c r="H34" i="53"/>
  <c r="B22" i="49"/>
  <c r="T29" i="50"/>
  <c r="T16" i="46"/>
  <c r="H21" i="49"/>
  <c r="T25" i="44"/>
  <c r="T21" i="46"/>
  <c r="T12" i="43"/>
  <c r="B38" i="46"/>
  <c r="D21" i="47"/>
  <c r="T13" i="49"/>
  <c r="P13" i="44"/>
  <c r="P16" i="47"/>
  <c r="H25" i="52"/>
  <c r="H34" i="44"/>
  <c r="H20" i="49"/>
  <c r="B39" i="44"/>
  <c r="P13" i="52"/>
  <c r="P12" i="46"/>
  <c r="H34" i="40"/>
  <c r="B38" i="41"/>
  <c r="P24" i="38"/>
  <c r="D22" i="41"/>
  <c r="B16" i="50"/>
  <c r="D24" i="40"/>
  <c r="D21" i="40"/>
  <c r="T33" i="41"/>
  <c r="H13" i="38"/>
  <c r="T34" i="40"/>
  <c r="H21" i="38"/>
  <c r="T22" i="40"/>
  <c r="H15" i="44"/>
  <c r="P34" i="44"/>
  <c r="B13" i="38"/>
  <c r="D20" i="34"/>
  <c r="T29" i="37"/>
  <c r="B16" i="34"/>
  <c r="B21" i="38"/>
  <c r="T22" i="34"/>
  <c r="P25" i="37"/>
  <c r="P22" i="37"/>
  <c r="T13" i="34"/>
  <c r="P20" i="35"/>
  <c r="P20" i="37"/>
  <c r="P22" i="41"/>
  <c r="B39" i="35"/>
  <c r="P33" i="32"/>
  <c r="D12" i="38"/>
  <c r="H20" i="37"/>
  <c r="P20" i="40"/>
  <c r="T22" i="31"/>
  <c r="D5" i="38"/>
  <c r="T20" i="31"/>
  <c r="T13" i="32"/>
  <c r="P33" i="28"/>
  <c r="D5" i="32"/>
  <c r="H33" i="31"/>
  <c r="B39" i="31"/>
  <c r="B25" i="32"/>
  <c r="D33" i="37"/>
  <c r="H16" i="31"/>
  <c r="D21" i="31"/>
  <c r="D25" i="28"/>
  <c r="B21" i="26"/>
  <c r="H20" i="28"/>
  <c r="T29" i="32"/>
  <c r="T21" i="26"/>
  <c r="B21" i="28"/>
  <c r="T29" i="28"/>
  <c r="T13" i="25"/>
  <c r="P25" i="29"/>
  <c r="H20" i="26"/>
  <c r="B22" i="26"/>
  <c r="H29" i="26"/>
  <c r="T16" i="28"/>
  <c r="H16" i="25"/>
  <c r="D13" i="29"/>
  <c r="H13" i="26"/>
  <c r="D13" i="26"/>
  <c r="D21" i="22"/>
  <c r="H13" i="19"/>
  <c r="T16" i="98"/>
  <c r="H29" i="99"/>
  <c r="H16" i="100"/>
  <c r="D16" i="100"/>
  <c r="T24" i="100"/>
  <c r="P34" i="100"/>
  <c r="B22" i="98"/>
  <c r="D20" i="98"/>
  <c r="T33" i="98"/>
  <c r="T16" i="99"/>
  <c r="T15" i="99"/>
  <c r="H21" i="98"/>
  <c r="T33" i="100"/>
  <c r="D21" i="100"/>
  <c r="H21" i="53"/>
  <c r="B13" i="53"/>
  <c r="T21" i="50"/>
  <c r="H16" i="52"/>
  <c r="B21" i="53"/>
  <c r="T12" i="53"/>
  <c r="D15" i="52"/>
  <c r="D34" i="47"/>
  <c r="P25" i="53"/>
  <c r="H29" i="49"/>
  <c r="P29" i="52"/>
  <c r="H22" i="49"/>
  <c r="B25" i="50"/>
  <c r="H33" i="53"/>
  <c r="D21" i="49"/>
  <c r="B22" i="50"/>
  <c r="T13" i="46"/>
  <c r="H20" i="47"/>
  <c r="B16" i="44"/>
  <c r="P16" i="46"/>
  <c r="H22" i="53"/>
  <c r="T22" i="46"/>
  <c r="T16" i="47"/>
  <c r="P24" i="47"/>
  <c r="H12" i="44"/>
  <c r="P34" i="46"/>
  <c r="P16" i="50"/>
  <c r="H33" i="44"/>
  <c r="H16" i="49"/>
  <c r="H24" i="44"/>
  <c r="T25" i="50"/>
  <c r="D33" i="46"/>
  <c r="H33" i="40"/>
  <c r="D34" i="41"/>
  <c r="P22" i="38"/>
  <c r="H20" i="41"/>
  <c r="D20" i="49"/>
  <c r="D22" i="40"/>
  <c r="H15" i="40"/>
  <c r="T29" i="41"/>
  <c r="D4" i="38"/>
  <c r="T33" i="40"/>
  <c r="H12" i="47"/>
  <c r="P12" i="40"/>
  <c r="D33" i="43"/>
  <c r="P29" i="44"/>
  <c r="B21" i="37"/>
  <c r="D16" i="34"/>
  <c r="T25" i="37"/>
  <c r="D15" i="34"/>
  <c r="H15" i="38"/>
  <c r="D34" i="46"/>
  <c r="T21" i="37"/>
  <c r="T20" i="37"/>
  <c r="D34" i="44"/>
  <c r="P16" i="35"/>
  <c r="P16" i="37"/>
  <c r="T13" i="41"/>
  <c r="H24" i="35"/>
  <c r="P29" i="32"/>
  <c r="H24" i="37"/>
  <c r="H16" i="37"/>
  <c r="B25" i="38"/>
  <c r="P12" i="31"/>
  <c r="D20" i="35"/>
  <c r="T16" i="31"/>
  <c r="D12" i="32"/>
  <c r="P29" i="28"/>
  <c r="P20" i="31"/>
  <c r="H29" i="31"/>
  <c r="H24" i="31"/>
  <c r="T22" i="32"/>
  <c r="D13" i="37"/>
  <c r="T22" i="50"/>
  <c r="H15" i="31"/>
  <c r="H21" i="28"/>
  <c r="D20" i="26"/>
  <c r="H16" i="28"/>
  <c r="B13" i="31"/>
  <c r="T24" i="25"/>
  <c r="B16" i="28"/>
  <c r="H24" i="28"/>
  <c r="H15" i="32"/>
  <c r="H22" i="29"/>
  <c r="H16" i="26"/>
  <c r="P20" i="26"/>
  <c r="T25" i="26"/>
  <c r="B38" i="26"/>
  <c r="P13" i="25"/>
  <c r="D4" i="28"/>
  <c r="H34" i="25"/>
  <c r="P25" i="25"/>
  <c r="H15" i="22"/>
  <c r="D4" i="19"/>
  <c r="B39" i="100"/>
  <c r="T13" i="98"/>
  <c r="H25" i="99"/>
  <c r="B13" i="100"/>
  <c r="B25" i="99"/>
  <c r="T22" i="100"/>
  <c r="P33" i="100"/>
  <c r="D21" i="98"/>
  <c r="D16" i="98"/>
  <c r="T29" i="98"/>
  <c r="T13" i="99"/>
  <c r="P13" i="99"/>
  <c r="D4" i="98"/>
  <c r="D15" i="100"/>
  <c r="H34" i="98"/>
  <c r="D13" i="53"/>
  <c r="B38" i="52"/>
  <c r="T24" i="49"/>
  <c r="B13" i="52"/>
  <c r="D20" i="53"/>
  <c r="B21" i="52"/>
  <c r="T12" i="52"/>
  <c r="D33" i="47"/>
  <c r="T21" i="53"/>
  <c r="H25" i="49"/>
  <c r="P25" i="52"/>
  <c r="H13" i="49"/>
  <c r="D24" i="50"/>
  <c r="H29" i="53"/>
  <c r="H15" i="49"/>
  <c r="P21" i="49"/>
  <c r="B21" i="44"/>
  <c r="P13" i="47"/>
  <c r="D15" i="44"/>
  <c r="D12" i="46"/>
  <c r="H13" i="53"/>
  <c r="P20" i="46"/>
  <c r="H13" i="47"/>
  <c r="H22" i="47"/>
  <c r="P24" i="43"/>
  <c r="H20" i="46"/>
  <c r="T12" i="50"/>
  <c r="H29" i="44"/>
  <c r="B13" i="49"/>
  <c r="H22" i="44"/>
  <c r="D12" i="50"/>
  <c r="D21" i="46"/>
  <c r="H29" i="40"/>
  <c r="D33" i="41"/>
  <c r="T20" i="38"/>
  <c r="H16" i="41"/>
  <c r="D16" i="47"/>
  <c r="H20" i="40"/>
  <c r="T34" i="50"/>
  <c r="T25" i="41"/>
  <c r="H34" i="37"/>
  <c r="T29" i="40"/>
  <c r="D22" i="44"/>
  <c r="T33" i="49"/>
  <c r="H24" i="43"/>
  <c r="B13" i="43"/>
  <c r="D20" i="37"/>
  <c r="B39" i="32"/>
  <c r="B16" i="37"/>
  <c r="T12" i="34"/>
  <c r="T34" i="37"/>
  <c r="T16" i="41"/>
  <c r="P24" i="35"/>
  <c r="T16" i="37"/>
  <c r="P12" i="43"/>
  <c r="D12" i="35"/>
  <c r="D12" i="37"/>
  <c r="P29" i="40"/>
  <c r="H22" i="35"/>
  <c r="P25" i="32"/>
  <c r="H22" i="37"/>
  <c r="B13" i="37"/>
  <c r="D29" i="37"/>
  <c r="D13" i="38"/>
  <c r="H21" i="34"/>
  <c r="T13" i="31"/>
  <c r="P21" i="31"/>
  <c r="P25" i="28"/>
  <c r="P16" i="31"/>
  <c r="H25" i="31"/>
  <c r="H22" i="31"/>
  <c r="T16" i="32"/>
  <c r="B39" i="34"/>
  <c r="P29" i="38"/>
  <c r="B25" i="29"/>
  <c r="P25" i="40"/>
  <c r="D16" i="26"/>
  <c r="B13" i="28"/>
  <c r="D25" i="29"/>
  <c r="T22" i="25"/>
  <c r="D15" i="28"/>
  <c r="B22" i="28"/>
  <c r="T29" i="31"/>
  <c r="D21" i="29"/>
  <c r="B13" i="26"/>
  <c r="D24" i="25"/>
  <c r="P15" i="26"/>
  <c r="D34" i="26"/>
  <c r="D20" i="29"/>
  <c r="T22" i="26"/>
  <c r="H29" i="25"/>
  <c r="H24" i="25"/>
  <c r="B38" i="20"/>
  <c r="D21" i="26"/>
  <c r="H24" i="100"/>
  <c r="B38" i="100"/>
  <c r="P15" i="99"/>
  <c r="B39" i="99"/>
  <c r="D24" i="99"/>
  <c r="P12" i="100"/>
  <c r="P29" i="100"/>
  <c r="H15" i="98"/>
  <c r="P21" i="100"/>
  <c r="T25" i="98"/>
  <c r="T24" i="98"/>
  <c r="H12" i="99"/>
  <c r="D33" i="99"/>
  <c r="D21" i="99"/>
  <c r="D34" i="98"/>
  <c r="B39" i="52"/>
  <c r="D34" i="52"/>
  <c r="T22" i="49"/>
  <c r="P24" i="50"/>
  <c r="D16" i="53"/>
  <c r="D20" i="52"/>
  <c r="H34" i="50"/>
  <c r="D29" i="47"/>
  <c r="T24" i="52"/>
  <c r="P15" i="49"/>
  <c r="T21" i="52"/>
  <c r="D4" i="49"/>
  <c r="D22" i="50"/>
  <c r="H25" i="53"/>
  <c r="T24" i="47"/>
  <c r="T15" i="49"/>
  <c r="D20" i="44"/>
  <c r="D5" i="47"/>
  <c r="T12" i="44"/>
  <c r="T24" i="44"/>
  <c r="H29" i="52"/>
  <c r="P15" i="46"/>
  <c r="P33" i="46"/>
  <c r="B21" i="47"/>
  <c r="P22" i="43"/>
  <c r="H16" i="46"/>
  <c r="T25" i="49"/>
  <c r="H25" i="44"/>
  <c r="P25" i="47"/>
  <c r="H13" i="44"/>
  <c r="B25" i="49"/>
  <c r="P24" i="44"/>
  <c r="H25" i="40"/>
  <c r="D29" i="41"/>
  <c r="T16" i="38"/>
  <c r="B13" i="41"/>
  <c r="B38" i="44"/>
  <c r="H16" i="40"/>
  <c r="H12" i="50"/>
  <c r="B16" i="41"/>
  <c r="D24" i="47"/>
  <c r="T25" i="40"/>
  <c r="P33" i="43"/>
  <c r="D15" i="46"/>
  <c r="D13" i="43"/>
  <c r="P20" i="41"/>
  <c r="D16" i="37"/>
  <c r="H24" i="32"/>
  <c r="D15" i="37"/>
  <c r="B38" i="32"/>
  <c r="T24" i="37"/>
  <c r="P33" i="40"/>
  <c r="P22" i="35"/>
  <c r="T13" i="37"/>
  <c r="P24" i="41"/>
  <c r="P21" i="34"/>
  <c r="H34" i="35"/>
  <c r="T34" i="38"/>
  <c r="H13" i="35"/>
  <c r="T21" i="32"/>
  <c r="H13" i="37"/>
  <c r="B22" i="35"/>
  <c r="D33" i="35"/>
  <c r="B25" i="35"/>
  <c r="H13" i="34"/>
  <c r="B38" i="37"/>
  <c r="T15" i="31"/>
  <c r="T21" i="28"/>
  <c r="D12" i="31"/>
  <c r="P15" i="31"/>
  <c r="H13" i="31"/>
  <c r="D13" i="32"/>
  <c r="H22" i="34"/>
  <c r="B22" i="37"/>
  <c r="D24" i="29"/>
  <c r="H21" i="37"/>
  <c r="B22" i="25"/>
  <c r="B21" i="35"/>
  <c r="H22" i="100"/>
  <c r="D34" i="100"/>
  <c r="D6" i="99"/>
  <c r="H24" i="99"/>
  <c r="D22" i="99"/>
  <c r="B21" i="99"/>
  <c r="P25" i="100"/>
  <c r="P24" i="100"/>
  <c r="T15" i="100"/>
  <c r="B16" i="98"/>
  <c r="T22" i="98"/>
  <c r="P34" i="98"/>
  <c r="D13" i="99"/>
  <c r="B38" i="98"/>
  <c r="D33" i="98"/>
  <c r="H24" i="52"/>
  <c r="D33" i="52"/>
  <c r="P12" i="49"/>
  <c r="P22" i="50"/>
  <c r="B22" i="52"/>
  <c r="D16" i="52"/>
  <c r="H33" i="50"/>
  <c r="D25" i="47"/>
  <c r="T22" i="52"/>
  <c r="D5" i="49"/>
  <c r="B38" i="50"/>
  <c r="P21" i="53"/>
  <c r="H20" i="50"/>
  <c r="P15" i="53"/>
  <c r="T22" i="47"/>
  <c r="H12" i="49"/>
  <c r="D16" i="44"/>
  <c r="D25" i="46"/>
  <c r="B21" i="43"/>
  <c r="T22" i="44"/>
  <c r="P21" i="50"/>
  <c r="D5" i="46"/>
  <c r="H29" i="46"/>
  <c r="P15" i="47"/>
  <c r="T20" i="43"/>
  <c r="B13" i="46"/>
  <c r="D13" i="49"/>
  <c r="P15" i="44"/>
  <c r="H24" i="47"/>
  <c r="D4" i="44"/>
  <c r="B16" i="49"/>
  <c r="D13" i="44"/>
  <c r="P15" i="40"/>
  <c r="D25" i="41"/>
  <c r="H16" i="47"/>
  <c r="B38" i="40"/>
  <c r="D33" i="44"/>
  <c r="B13" i="40"/>
  <c r="D16" i="49"/>
  <c r="D15" i="41"/>
  <c r="B16" i="46"/>
  <c r="B16" i="40"/>
  <c r="D29" i="43"/>
  <c r="D25" i="44"/>
  <c r="P21" i="41"/>
  <c r="P16" i="41"/>
  <c r="T34" i="35"/>
  <c r="H22" i="32"/>
  <c r="T12" i="37"/>
  <c r="D34" i="32"/>
  <c r="T22" i="37"/>
  <c r="P16" i="40"/>
  <c r="T20" i="35"/>
  <c r="P21" i="35"/>
  <c r="T21" i="40"/>
  <c r="T15" i="34"/>
  <c r="H33" i="35"/>
  <c r="P20" i="38"/>
  <c r="D4" i="35"/>
  <c r="H21" i="44"/>
  <c r="D4" i="37"/>
  <c r="D21" i="35"/>
  <c r="D25" i="35"/>
  <c r="H20" i="35"/>
  <c r="H34" i="32"/>
  <c r="B38" i="35"/>
  <c r="P13" i="31"/>
  <c r="P34" i="38"/>
  <c r="H34" i="38"/>
  <c r="D5" i="31"/>
  <c r="D4" i="31"/>
  <c r="B38" i="31"/>
  <c r="P22" i="32"/>
  <c r="D34" i="35"/>
  <c r="D22" i="29"/>
  <c r="T34" i="31"/>
  <c r="D21" i="25"/>
  <c r="T33" i="31"/>
  <c r="H22" i="28"/>
  <c r="H15" i="34"/>
  <c r="B21" i="31"/>
  <c r="P21" i="26"/>
  <c r="P33" i="29"/>
  <c r="H29" i="28"/>
  <c r="D34" i="25"/>
  <c r="H20" i="25"/>
  <c r="D20" i="25"/>
  <c r="T16" i="26"/>
  <c r="P16" i="28"/>
  <c r="T34" i="25"/>
  <c r="P15" i="25"/>
  <c r="B21" i="29"/>
  <c r="D33" i="20"/>
  <c r="T33" i="23"/>
  <c r="D5" i="100"/>
  <c r="D29" i="100"/>
  <c r="T15" i="98"/>
  <c r="H13" i="99"/>
  <c r="H16" i="99"/>
  <c r="D16" i="99"/>
  <c r="T34" i="99"/>
  <c r="T20" i="100"/>
  <c r="H12" i="100"/>
  <c r="T12" i="98"/>
  <c r="H34" i="100"/>
  <c r="P29" i="98"/>
  <c r="T34" i="100"/>
  <c r="D29" i="99"/>
  <c r="P15" i="98"/>
  <c r="H13" i="52"/>
  <c r="D25" i="52"/>
  <c r="B22" i="53"/>
  <c r="T16" i="50"/>
  <c r="H15" i="52"/>
  <c r="T22" i="53"/>
  <c r="H25" i="50"/>
  <c r="D13" i="47"/>
  <c r="B39" i="50"/>
  <c r="P24" i="53"/>
  <c r="D33" i="50"/>
  <c r="P13" i="53"/>
  <c r="B13" i="50"/>
  <c r="P20" i="52"/>
  <c r="T34" i="46"/>
  <c r="B16" i="47"/>
  <c r="D21" i="43"/>
  <c r="T15" i="46"/>
  <c r="D16" i="43"/>
  <c r="T34" i="43"/>
  <c r="B21" i="49"/>
  <c r="T24" i="50"/>
  <c r="H13" i="46"/>
  <c r="D29" i="46"/>
  <c r="T13" i="43"/>
  <c r="P16" i="44"/>
  <c r="H29" i="47"/>
  <c r="P20" i="43"/>
  <c r="H15" i="47"/>
  <c r="H33" i="43"/>
  <c r="T21" i="47"/>
  <c r="H16" i="43"/>
  <c r="P15" i="52"/>
  <c r="D13" i="41"/>
  <c r="D24" i="44"/>
  <c r="D33" i="40"/>
  <c r="H16" i="44"/>
  <c r="D34" i="43"/>
  <c r="P22" i="44"/>
  <c r="B21" i="40"/>
  <c r="B38" i="43"/>
  <c r="T12" i="40"/>
  <c r="P34" i="41"/>
  <c r="H21" i="43"/>
  <c r="P13" i="41"/>
  <c r="P21" i="40"/>
  <c r="T29" i="35"/>
  <c r="T33" i="47"/>
  <c r="T22" i="35"/>
  <c r="D29" i="32"/>
  <c r="P34" i="35"/>
  <c r="T25" i="38"/>
  <c r="H25" i="41"/>
  <c r="P13" i="35"/>
  <c r="P25" i="38"/>
  <c r="H12" i="34"/>
  <c r="H25" i="35"/>
  <c r="H12" i="38"/>
  <c r="H33" i="34"/>
  <c r="T20" i="40"/>
  <c r="D5" i="41"/>
  <c r="B25" i="34"/>
  <c r="P24" i="32"/>
  <c r="D15" i="32"/>
  <c r="T25" i="32"/>
  <c r="P34" i="34"/>
  <c r="P24" i="29"/>
  <c r="D25" i="37"/>
  <c r="D34" i="34"/>
  <c r="D34" i="37"/>
  <c r="D20" i="38"/>
  <c r="D33" i="31"/>
  <c r="P15" i="32"/>
  <c r="H16" i="35"/>
  <c r="H16" i="29"/>
  <c r="T29" i="29"/>
  <c r="D21" i="37"/>
  <c r="P29" i="29"/>
  <c r="D20" i="28"/>
  <c r="T33" i="29"/>
  <c r="B38" i="29"/>
  <c r="P13" i="26"/>
  <c r="D12" i="29"/>
  <c r="P21" i="28"/>
  <c r="D29" i="25"/>
  <c r="B22" i="34"/>
  <c r="D12" i="25"/>
  <c r="D4" i="25"/>
  <c r="T33" i="26"/>
  <c r="T29" i="25"/>
  <c r="T24" i="32"/>
  <c r="H21" i="26"/>
  <c r="D25" i="20"/>
  <c r="B25" i="98"/>
  <c r="P25" i="98"/>
  <c r="D21" i="53"/>
  <c r="H24" i="50"/>
  <c r="T33" i="46"/>
  <c r="T34" i="47"/>
  <c r="T25" i="47"/>
  <c r="P20" i="50"/>
  <c r="H20" i="44"/>
  <c r="H12" i="41"/>
  <c r="P33" i="35"/>
  <c r="P15" i="35"/>
  <c r="B22" i="32"/>
  <c r="D29" i="34"/>
  <c r="B13" i="29"/>
  <c r="T21" i="29"/>
  <c r="P15" i="28"/>
  <c r="H12" i="28"/>
  <c r="T13" i="26"/>
  <c r="D16" i="22"/>
  <c r="H21" i="19"/>
  <c r="D5" i="16"/>
  <c r="T12" i="22"/>
  <c r="D33" i="17"/>
  <c r="D16" i="20"/>
  <c r="T16" i="23"/>
  <c r="D15" i="20"/>
  <c r="H16" i="16"/>
  <c r="P22" i="22"/>
  <c r="D15" i="19"/>
  <c r="H12" i="22"/>
  <c r="D15" i="25"/>
  <c r="T20" i="20"/>
  <c r="T33" i="16"/>
  <c r="H24" i="23"/>
  <c r="P13" i="20"/>
  <c r="D25" i="23"/>
  <c r="T15" i="19"/>
  <c r="B13" i="23"/>
  <c r="P15" i="20"/>
  <c r="T20" i="17"/>
  <c r="P25" i="14"/>
  <c r="T25" i="17"/>
  <c r="D13" i="17"/>
  <c r="D25" i="16"/>
  <c r="T16" i="17"/>
  <c r="D25" i="14"/>
  <c r="H21" i="16"/>
  <c r="H16" i="17"/>
  <c r="B22" i="16"/>
  <c r="H20" i="13"/>
  <c r="P21" i="7"/>
  <c r="D29" i="13"/>
  <c r="B13" i="22"/>
  <c r="H24" i="11"/>
  <c r="H22" i="8"/>
  <c r="H29" i="14"/>
  <c r="D33" i="11"/>
  <c r="D33" i="8"/>
  <c r="H24" i="14"/>
  <c r="D33" i="10"/>
  <c r="D34" i="7"/>
  <c r="B25" i="10"/>
  <c r="H20" i="7"/>
  <c r="D16" i="11"/>
  <c r="P13" i="5"/>
  <c r="D12" i="13"/>
  <c r="D15" i="17"/>
  <c r="T16" i="14"/>
  <c r="P12" i="10"/>
  <c r="P22" i="13"/>
  <c r="P24" i="8"/>
  <c r="P12" i="8"/>
  <c r="P16" i="4"/>
  <c r="T25" i="8"/>
  <c r="T33" i="4"/>
  <c r="P25" i="5"/>
  <c r="T24" i="8"/>
  <c r="D15" i="10"/>
  <c r="T12" i="8"/>
  <c r="T29" i="5"/>
  <c r="D15" i="8"/>
  <c r="T22" i="4"/>
  <c r="T21" i="4"/>
  <c r="H34" i="4"/>
  <c r="H33" i="8"/>
  <c r="P12" i="11"/>
  <c r="B16" i="10"/>
  <c r="T34" i="4"/>
  <c r="P29" i="5"/>
  <c r="T29" i="4"/>
  <c r="P21" i="20"/>
  <c r="B38" i="8"/>
  <c r="P22" i="14"/>
  <c r="B13" i="4"/>
  <c r="P13" i="11"/>
  <c r="P12" i="52"/>
  <c r="D5" i="40"/>
  <c r="H29" i="35"/>
  <c r="T22" i="28"/>
  <c r="P15" i="16"/>
  <c r="T20" i="23"/>
  <c r="B16" i="19"/>
  <c r="T15" i="20"/>
  <c r="P29" i="14"/>
  <c r="D29" i="14"/>
  <c r="H21" i="13"/>
  <c r="B39" i="11"/>
  <c r="D34" i="8"/>
  <c r="D20" i="11"/>
  <c r="D20" i="14"/>
  <c r="H12" i="11"/>
  <c r="P33" i="5"/>
  <c r="T33" i="8"/>
  <c r="D15" i="5"/>
  <c r="H13" i="100"/>
  <c r="T21" i="100"/>
  <c r="H29" i="98"/>
  <c r="T20" i="50"/>
  <c r="B25" i="47"/>
  <c r="P33" i="47"/>
  <c r="D12" i="53"/>
  <c r="D5" i="44"/>
  <c r="H21" i="41"/>
  <c r="T12" i="41"/>
  <c r="D12" i="41"/>
  <c r="T33" i="38"/>
  <c r="T13" i="38"/>
  <c r="D25" i="34"/>
  <c r="H20" i="38"/>
  <c r="B16" i="31"/>
  <c r="T12" i="28"/>
  <c r="B38" i="25"/>
  <c r="T33" i="28"/>
  <c r="D34" i="20"/>
  <c r="B25" i="20"/>
  <c r="D13" i="19"/>
  <c r="P34" i="29"/>
  <c r="B22" i="20"/>
  <c r="P12" i="26"/>
  <c r="B22" i="19"/>
  <c r="T13" i="23"/>
  <c r="T12" i="20"/>
  <c r="B13" i="16"/>
  <c r="T20" i="22"/>
  <c r="T12" i="19"/>
  <c r="P34" i="20"/>
  <c r="H34" i="23"/>
  <c r="T16" i="20"/>
  <c r="T29" i="16"/>
  <c r="H22" i="23"/>
  <c r="H12" i="20"/>
  <c r="H21" i="23"/>
  <c r="P13" i="19"/>
  <c r="B38" i="22"/>
  <c r="D5" i="20"/>
  <c r="B16" i="17"/>
  <c r="T21" i="14"/>
  <c r="P20" i="17"/>
  <c r="H13" i="16"/>
  <c r="T22" i="16"/>
  <c r="P15" i="17"/>
  <c r="H21" i="14"/>
  <c r="P12" i="16"/>
  <c r="D12" i="17"/>
  <c r="D12" i="16"/>
  <c r="H15" i="13"/>
  <c r="T15" i="7"/>
  <c r="P24" i="13"/>
  <c r="B22" i="14"/>
  <c r="H22" i="11"/>
  <c r="H13" i="8"/>
  <c r="T20" i="14"/>
  <c r="D29" i="11"/>
  <c r="D29" i="8"/>
  <c r="B16" i="14"/>
  <c r="D29" i="10"/>
  <c r="D33" i="7"/>
  <c r="D24" i="10"/>
  <c r="H16" i="7"/>
  <c r="B22" i="10"/>
  <c r="H12" i="5"/>
  <c r="T34" i="11"/>
  <c r="T33" i="14"/>
  <c r="H34" i="13"/>
  <c r="P34" i="8"/>
  <c r="D13" i="13"/>
  <c r="P22" i="8"/>
  <c r="T33" i="7"/>
  <c r="T25" i="10"/>
  <c r="D12" i="4"/>
  <c r="D25" i="4"/>
  <c r="H22" i="5"/>
  <c r="D15" i="7"/>
  <c r="T15" i="8"/>
  <c r="P20" i="4"/>
  <c r="H25" i="5"/>
  <c r="P20" i="7"/>
  <c r="P12" i="4"/>
  <c r="T22" i="11"/>
  <c r="D33" i="4"/>
  <c r="B16" i="7"/>
  <c r="D34" i="5"/>
  <c r="H20" i="5"/>
  <c r="P16" i="5"/>
  <c r="T16" i="4"/>
  <c r="T21" i="17"/>
  <c r="P21" i="5"/>
  <c r="D20" i="4"/>
  <c r="P20" i="99"/>
  <c r="T33" i="99"/>
  <c r="B16" i="100"/>
  <c r="T13" i="50"/>
  <c r="P22" i="53"/>
  <c r="T13" i="47"/>
  <c r="P13" i="50"/>
  <c r="P16" i="43"/>
  <c r="B39" i="40"/>
  <c r="D20" i="40"/>
  <c r="T15" i="40"/>
  <c r="D22" i="38"/>
  <c r="H33" i="37"/>
  <c r="P34" i="31"/>
  <c r="D29" i="35"/>
  <c r="H24" i="29"/>
  <c r="T12" i="31"/>
  <c r="D33" i="25"/>
  <c r="D12" i="28"/>
  <c r="D29" i="20"/>
  <c r="D24" i="20"/>
  <c r="B39" i="17"/>
  <c r="B25" i="28"/>
  <c r="D21" i="20"/>
  <c r="P34" i="23"/>
  <c r="D33" i="29"/>
  <c r="P34" i="22"/>
  <c r="B21" i="19"/>
  <c r="D29" i="29"/>
  <c r="T16" i="22"/>
  <c r="B21" i="17"/>
  <c r="P33" i="20"/>
  <c r="H33" i="23"/>
  <c r="T13" i="20"/>
  <c r="T25" i="16"/>
  <c r="H13" i="23"/>
  <c r="P24" i="19"/>
  <c r="D13" i="23"/>
  <c r="H12" i="19"/>
  <c r="D34" i="22"/>
  <c r="P20" i="19"/>
  <c r="P13" i="17"/>
  <c r="T24" i="13"/>
  <c r="P34" i="16"/>
  <c r="P20" i="14"/>
  <c r="P21" i="16"/>
  <c r="P29" i="16"/>
  <c r="D13" i="14"/>
  <c r="B39" i="26"/>
  <c r="D29" i="16"/>
  <c r="T24" i="14"/>
  <c r="P20" i="11"/>
  <c r="P13" i="7"/>
  <c r="D16" i="13"/>
  <c r="D5" i="14"/>
  <c r="H13" i="11"/>
  <c r="D4" i="8"/>
  <c r="D16" i="14"/>
  <c r="D25" i="11"/>
  <c r="D25" i="8"/>
  <c r="P13" i="14"/>
  <c r="D25" i="10"/>
  <c r="D29" i="7"/>
  <c r="D22" i="10"/>
  <c r="B13" i="7"/>
  <c r="D21" i="10"/>
  <c r="H25" i="14"/>
  <c r="T33" i="11"/>
  <c r="P15" i="14"/>
  <c r="P29" i="13"/>
  <c r="P33" i="8"/>
  <c r="P24" i="11"/>
  <c r="T20" i="8"/>
  <c r="P24" i="7"/>
  <c r="P21" i="8"/>
  <c r="H33" i="14"/>
  <c r="H21" i="4"/>
  <c r="H13" i="5"/>
  <c r="B21" i="5"/>
  <c r="T25" i="7"/>
  <c r="P22" i="10"/>
  <c r="P34" i="4"/>
  <c r="P16" i="7"/>
  <c r="B16" i="5"/>
  <c r="T29" i="10"/>
  <c r="P25" i="4"/>
  <c r="T12" i="7"/>
  <c r="T13" i="5"/>
  <c r="P15" i="8"/>
  <c r="H33" i="100"/>
  <c r="H22" i="20"/>
  <c r="T12" i="14"/>
  <c r="H20" i="29"/>
  <c r="P21" i="19"/>
  <c r="H15" i="11"/>
  <c r="D33" i="100"/>
  <c r="P22" i="100"/>
  <c r="B22" i="100"/>
  <c r="D21" i="52"/>
  <c r="D34" i="50"/>
  <c r="B22" i="43"/>
  <c r="P21" i="46"/>
  <c r="T20" i="47"/>
  <c r="P33" i="44"/>
  <c r="P25" i="44"/>
  <c r="T33" i="35"/>
  <c r="B22" i="46"/>
  <c r="H34" i="34"/>
  <c r="H29" i="32"/>
  <c r="T20" i="41"/>
  <c r="H15" i="25"/>
  <c r="H29" i="29"/>
  <c r="D25" i="25"/>
  <c r="H25" i="26"/>
  <c r="H21" i="20"/>
  <c r="D22" i="20"/>
  <c r="H24" i="17"/>
  <c r="T24" i="23"/>
  <c r="H15" i="20"/>
  <c r="P33" i="23"/>
  <c r="P15" i="29"/>
  <c r="P33" i="22"/>
  <c r="D20" i="19"/>
  <c r="D5" i="29"/>
  <c r="T13" i="22"/>
  <c r="D20" i="17"/>
  <c r="P29" i="20"/>
  <c r="H29" i="23"/>
  <c r="P34" i="19"/>
  <c r="B16" i="16"/>
  <c r="D4" i="23"/>
  <c r="P22" i="19"/>
  <c r="B39" i="22"/>
  <c r="T15" i="28"/>
  <c r="D33" i="22"/>
  <c r="P16" i="19"/>
  <c r="B39" i="16"/>
  <c r="T22" i="13"/>
  <c r="T21" i="16"/>
  <c r="P16" i="14"/>
  <c r="T15" i="16"/>
  <c r="P34" i="17"/>
  <c r="B39" i="13"/>
  <c r="H33" i="19"/>
  <c r="H12" i="16"/>
  <c r="T22" i="14"/>
  <c r="P16" i="11"/>
  <c r="H12" i="7"/>
  <c r="H34" i="11"/>
  <c r="T33" i="13"/>
  <c r="D4" i="11"/>
  <c r="H34" i="7"/>
  <c r="T13" i="14"/>
  <c r="H21" i="11"/>
  <c r="H21" i="8"/>
  <c r="B38" i="13"/>
  <c r="H21" i="10"/>
  <c r="B21" i="16"/>
  <c r="H20" i="10"/>
  <c r="H13" i="14"/>
  <c r="H15" i="10"/>
  <c r="P21" i="14"/>
  <c r="T29" i="11"/>
  <c r="T29" i="13"/>
  <c r="H13" i="13"/>
  <c r="P29" i="8"/>
  <c r="P22" i="11"/>
  <c r="T16" i="8"/>
  <c r="D29" i="5"/>
  <c r="H12" i="8"/>
  <c r="T16" i="10"/>
  <c r="D13" i="4"/>
  <c r="B38" i="4"/>
  <c r="T16" i="5"/>
  <c r="H33" i="5"/>
  <c r="T13" i="10"/>
  <c r="B16" i="4"/>
  <c r="B38" i="5"/>
  <c r="T15" i="11"/>
  <c r="P13" i="8"/>
  <c r="P24" i="4"/>
  <c r="H29" i="5"/>
  <c r="H21" i="7"/>
  <c r="H34" i="5"/>
  <c r="H12" i="23"/>
  <c r="P33" i="25"/>
  <c r="P24" i="17"/>
  <c r="D34" i="10"/>
  <c r="D16" i="4"/>
  <c r="D25" i="100"/>
  <c r="T16" i="100"/>
  <c r="H25" i="98"/>
  <c r="T34" i="53"/>
  <c r="D29" i="50"/>
  <c r="H15" i="43"/>
  <c r="D4" i="46"/>
  <c r="T12" i="47"/>
  <c r="P34" i="43"/>
  <c r="B25" i="43"/>
  <c r="T25" i="35"/>
  <c r="B22" i="38"/>
  <c r="H29" i="34"/>
  <c r="P20" i="32"/>
  <c r="H15" i="37"/>
  <c r="H33" i="32"/>
  <c r="P12" i="28"/>
  <c r="P21" i="25"/>
  <c r="D4" i="26"/>
  <c r="T34" i="23"/>
  <c r="H20" i="20"/>
  <c r="H22" i="17"/>
  <c r="T22" i="23"/>
  <c r="B25" i="19"/>
  <c r="P29" i="23"/>
  <c r="P22" i="28"/>
  <c r="P29" i="22"/>
  <c r="D16" i="19"/>
  <c r="T20" i="28"/>
  <c r="T24" i="20"/>
  <c r="D4" i="29"/>
  <c r="P25" i="20"/>
  <c r="H25" i="23"/>
  <c r="P33" i="19"/>
  <c r="D15" i="16"/>
  <c r="H34" i="22"/>
  <c r="T20" i="19"/>
  <c r="H24" i="22"/>
  <c r="T29" i="26"/>
  <c r="D29" i="22"/>
  <c r="D12" i="19"/>
  <c r="H24" i="16"/>
  <c r="H25" i="25"/>
  <c r="P20" i="16"/>
  <c r="D12" i="14"/>
  <c r="D13" i="16"/>
  <c r="T12" i="17"/>
  <c r="H24" i="13"/>
  <c r="D25" i="17"/>
  <c r="B22" i="23"/>
  <c r="H34" i="17"/>
  <c r="D12" i="11"/>
  <c r="B22" i="5"/>
  <c r="H33" i="11"/>
  <c r="T25" i="13"/>
  <c r="H34" i="10"/>
  <c r="H33" i="7"/>
  <c r="D4" i="14"/>
  <c r="D13" i="11"/>
  <c r="D13" i="8"/>
  <c r="B25" i="11"/>
  <c r="D13" i="10"/>
  <c r="D24" i="14"/>
  <c r="H16" i="10"/>
  <c r="P34" i="13"/>
  <c r="B21" i="8"/>
  <c r="H20" i="14"/>
  <c r="T25" i="11"/>
  <c r="B25" i="13"/>
  <c r="D4" i="13"/>
  <c r="P25" i="8"/>
  <c r="T20" i="11"/>
  <c r="T13" i="8"/>
  <c r="T24" i="5"/>
  <c r="D12" i="7"/>
  <c r="H25" i="8"/>
  <c r="D34" i="4"/>
  <c r="H29" i="4"/>
  <c r="P15" i="5"/>
  <c r="H24" i="5"/>
  <c r="H34" i="8"/>
  <c r="D15" i="4"/>
  <c r="P34" i="5"/>
  <c r="T22" i="8"/>
  <c r="D20" i="7"/>
  <c r="P22" i="4"/>
  <c r="T22" i="5"/>
  <c r="T24" i="7"/>
  <c r="T29" i="7"/>
  <c r="D33" i="23"/>
  <c r="B38" i="11"/>
  <c r="D16" i="10"/>
  <c r="B21" i="7"/>
  <c r="P33" i="98"/>
  <c r="H34" i="47"/>
  <c r="P12" i="37"/>
  <c r="B39" i="29"/>
  <c r="D25" i="19"/>
  <c r="D20" i="20"/>
  <c r="P24" i="22"/>
  <c r="P22" i="20"/>
  <c r="H16" i="23"/>
  <c r="H20" i="17"/>
  <c r="P25" i="16"/>
  <c r="D12" i="10"/>
  <c r="D34" i="11"/>
  <c r="D22" i="7"/>
  <c r="H24" i="20"/>
  <c r="T21" i="10"/>
  <c r="B39" i="4"/>
  <c r="T33" i="10"/>
  <c r="T24" i="4"/>
  <c r="P12" i="14"/>
  <c r="P21" i="98"/>
  <c r="P13" i="100"/>
  <c r="B38" i="99"/>
  <c r="T24" i="53"/>
  <c r="T15" i="53"/>
  <c r="T20" i="46"/>
  <c r="B13" i="47"/>
  <c r="H34" i="43"/>
  <c r="D34" i="40"/>
  <c r="D15" i="40"/>
  <c r="H13" i="32"/>
  <c r="T15" i="35"/>
  <c r="H33" i="41"/>
  <c r="T13" i="35"/>
  <c r="D34" i="31"/>
  <c r="D15" i="31"/>
  <c r="T15" i="26"/>
  <c r="H12" i="25"/>
  <c r="H33" i="25"/>
  <c r="T29" i="23"/>
  <c r="H16" i="20"/>
  <c r="H13" i="17"/>
  <c r="P12" i="23"/>
  <c r="D24" i="19"/>
  <c r="P25" i="23"/>
  <c r="D25" i="26"/>
  <c r="P25" i="22"/>
  <c r="B22" i="17"/>
  <c r="D22" i="25"/>
  <c r="T22" i="20"/>
  <c r="H33" i="26"/>
  <c r="T21" i="20"/>
  <c r="P15" i="23"/>
  <c r="P29" i="19"/>
  <c r="T12" i="16"/>
  <c r="H33" i="22"/>
  <c r="T16" i="19"/>
  <c r="H22" i="22"/>
  <c r="B16" i="26"/>
  <c r="D25" i="22"/>
  <c r="T33" i="25"/>
  <c r="T20" i="16"/>
  <c r="B25" i="22"/>
  <c r="D5" i="25"/>
  <c r="P21" i="13"/>
  <c r="H20" i="22"/>
  <c r="P22" i="16"/>
  <c r="H22" i="13"/>
  <c r="P22" i="17"/>
  <c r="P15" i="19"/>
  <c r="B39" i="14"/>
  <c r="P21" i="10"/>
  <c r="D21" i="5"/>
  <c r="H29" i="11"/>
  <c r="D22" i="13"/>
  <c r="H33" i="10"/>
  <c r="H29" i="7"/>
  <c r="P33" i="13"/>
  <c r="B39" i="10"/>
  <c r="B39" i="7"/>
  <c r="D24" i="11"/>
  <c r="B25" i="8"/>
  <c r="T34" i="13"/>
  <c r="B13" i="10"/>
  <c r="H33" i="13"/>
  <c r="D20" i="8"/>
  <c r="T15" i="14"/>
  <c r="B16" i="11"/>
  <c r="P20" i="13"/>
  <c r="P34" i="11"/>
  <c r="T21" i="8"/>
  <c r="T16" i="11"/>
  <c r="P34" i="7"/>
  <c r="P22" i="5"/>
  <c r="T25" i="5"/>
  <c r="D5" i="8"/>
  <c r="T34" i="10"/>
  <c r="B25" i="4"/>
  <c r="D13" i="5"/>
  <c r="D22" i="5"/>
  <c r="H29" i="8"/>
  <c r="T12" i="4"/>
  <c r="D33" i="5"/>
  <c r="T34" i="7"/>
  <c r="D16" i="7"/>
  <c r="T20" i="4"/>
  <c r="D16" i="5"/>
  <c r="T13" i="11"/>
  <c r="T21" i="7"/>
  <c r="H20" i="23"/>
  <c r="B38" i="10"/>
  <c r="P25" i="10"/>
  <c r="H15" i="4"/>
  <c r="T20" i="5"/>
  <c r="D20" i="99"/>
  <c r="P12" i="47"/>
  <c r="H25" i="47"/>
  <c r="T21" i="34"/>
  <c r="H13" i="28"/>
  <c r="D15" i="22"/>
  <c r="B16" i="20"/>
  <c r="P13" i="22"/>
  <c r="T34" i="16"/>
  <c r="D29" i="23"/>
  <c r="D24" i="22"/>
  <c r="T24" i="16"/>
  <c r="D12" i="8"/>
  <c r="H24" i="8"/>
  <c r="T25" i="14"/>
  <c r="T15" i="5"/>
  <c r="T22" i="10"/>
  <c r="D5" i="4"/>
  <c r="P24" i="10"/>
  <c r="P12" i="5"/>
  <c r="P13" i="98"/>
  <c r="P34" i="99"/>
  <c r="D13" i="98"/>
  <c r="P12" i="53"/>
  <c r="H12" i="53"/>
  <c r="P13" i="46"/>
  <c r="T24" i="46"/>
  <c r="H29" i="43"/>
  <c r="D29" i="40"/>
  <c r="B38" i="38"/>
  <c r="P34" i="40"/>
  <c r="H12" i="35"/>
  <c r="T13" i="40"/>
  <c r="P29" i="34"/>
  <c r="D29" i="31"/>
  <c r="H15" i="29"/>
  <c r="H12" i="26"/>
  <c r="D16" i="31"/>
  <c r="B16" i="25"/>
  <c r="T25" i="23"/>
  <c r="B13" i="20"/>
  <c r="D4" i="17"/>
  <c r="T34" i="22"/>
  <c r="D22" i="19"/>
  <c r="T21" i="23"/>
  <c r="B39" i="25"/>
  <c r="T21" i="22"/>
  <c r="D21" i="17"/>
  <c r="T15" i="25"/>
  <c r="P12" i="20"/>
  <c r="P20" i="23"/>
  <c r="T24" i="19"/>
  <c r="D5" i="23"/>
  <c r="P25" i="19"/>
  <c r="T34" i="32"/>
  <c r="H29" i="22"/>
  <c r="T13" i="19"/>
  <c r="H13" i="22"/>
  <c r="P20" i="25"/>
  <c r="H21" i="22"/>
  <c r="D21" i="23"/>
  <c r="D16" i="16"/>
  <c r="B39" i="20"/>
  <c r="D22" i="22"/>
  <c r="H15" i="23"/>
  <c r="D4" i="20"/>
  <c r="D20" i="16"/>
  <c r="H16" i="22"/>
  <c r="H21" i="17"/>
  <c r="T33" i="17"/>
  <c r="T34" i="14"/>
  <c r="T15" i="10"/>
  <c r="H15" i="5"/>
  <c r="H25" i="11"/>
  <c r="D21" i="13"/>
  <c r="H29" i="10"/>
  <c r="H25" i="7"/>
  <c r="P25" i="13"/>
  <c r="H24" i="10"/>
  <c r="H24" i="7"/>
  <c r="D22" i="11"/>
  <c r="D24" i="8"/>
  <c r="D24" i="13"/>
  <c r="B22" i="8"/>
  <c r="H25" i="13"/>
  <c r="D16" i="8"/>
  <c r="B13" i="14"/>
  <c r="D15" i="11"/>
  <c r="P15" i="13"/>
  <c r="P33" i="11"/>
  <c r="P33" i="7"/>
  <c r="D24" i="4"/>
  <c r="T12" i="10"/>
  <c r="H22" i="99"/>
  <c r="D15" i="98"/>
  <c r="H22" i="52"/>
  <c r="H29" i="50"/>
  <c r="H16" i="50"/>
  <c r="D20" i="43"/>
  <c r="T16" i="43"/>
  <c r="T12" i="49"/>
  <c r="T20" i="44"/>
  <c r="T24" i="43"/>
  <c r="T24" i="35"/>
  <c r="P33" i="38"/>
  <c r="T13" i="44"/>
  <c r="H12" i="31"/>
  <c r="D21" i="32"/>
  <c r="P12" i="29"/>
  <c r="T34" i="29"/>
  <c r="T12" i="26"/>
  <c r="T25" i="25"/>
  <c r="B16" i="23"/>
  <c r="B38" i="19"/>
  <c r="H34" i="16"/>
  <c r="T33" i="22"/>
  <c r="H20" i="19"/>
  <c r="T24" i="22"/>
  <c r="P29" i="25"/>
  <c r="T34" i="20"/>
  <c r="H15" i="17"/>
  <c r="P21" i="23"/>
  <c r="T34" i="19"/>
  <c r="P16" i="23"/>
  <c r="T22" i="19"/>
  <c r="P20" i="22"/>
  <c r="T21" i="19"/>
  <c r="T34" i="28"/>
  <c r="H25" i="22"/>
  <c r="B13" i="25"/>
  <c r="D4" i="22"/>
  <c r="B25" i="23"/>
  <c r="D13" i="22"/>
  <c r="H25" i="19"/>
  <c r="T13" i="16"/>
  <c r="P29" i="17"/>
  <c r="D5" i="19"/>
  <c r="H13" i="20"/>
  <c r="T34" i="17"/>
  <c r="T16" i="16"/>
  <c r="H34" i="19"/>
  <c r="D21" i="16"/>
  <c r="D16" i="17"/>
  <c r="T29" i="14"/>
  <c r="P13" i="10"/>
  <c r="P24" i="14"/>
  <c r="P15" i="11"/>
  <c r="D20" i="13"/>
  <c r="H25" i="10"/>
  <c r="P15" i="7"/>
  <c r="B22" i="13"/>
  <c r="H22" i="10"/>
  <c r="H22" i="7"/>
  <c r="H20" i="11"/>
  <c r="D22" i="8"/>
  <c r="T16" i="13"/>
  <c r="D21" i="8"/>
  <c r="T15" i="13"/>
  <c r="B22" i="7"/>
  <c r="D33" i="13"/>
  <c r="T12" i="11"/>
  <c r="D5" i="13"/>
  <c r="P29" i="11"/>
  <c r="T22" i="7"/>
  <c r="P34" i="10"/>
  <c r="P29" i="7"/>
  <c r="D5" i="5"/>
  <c r="D4" i="5"/>
  <c r="T33" i="5"/>
  <c r="T34" i="8"/>
  <c r="D22" i="4"/>
  <c r="P33" i="4"/>
  <c r="B13" i="5"/>
  <c r="P22" i="7"/>
  <c r="D12" i="5"/>
  <c r="D24" i="5"/>
  <c r="D25" i="7"/>
  <c r="B25" i="5"/>
  <c r="T13" i="4"/>
  <c r="P21" i="4"/>
  <c r="P16" i="52"/>
  <c r="P21" i="17"/>
  <c r="D21" i="11"/>
  <c r="P15" i="4"/>
  <c r="T13" i="7"/>
  <c r="H12" i="4"/>
  <c r="P21" i="47"/>
  <c r="D24" i="49"/>
  <c r="T15" i="41"/>
  <c r="B13" i="35"/>
  <c r="D20" i="22"/>
  <c r="D34" i="17"/>
  <c r="H20" i="16"/>
  <c r="H24" i="26"/>
  <c r="B39" i="23"/>
  <c r="H25" i="20"/>
  <c r="D33" i="16"/>
  <c r="H29" i="19"/>
  <c r="H12" i="14"/>
  <c r="H34" i="14"/>
  <c r="B38" i="7"/>
  <c r="P16" i="13"/>
  <c r="D34" i="13"/>
  <c r="D4" i="4"/>
  <c r="T34" i="5"/>
  <c r="T20" i="10"/>
  <c r="D5" i="99"/>
  <c r="P20" i="100"/>
  <c r="D4" i="52"/>
  <c r="P15" i="50"/>
  <c r="B38" i="49"/>
  <c r="T33" i="50"/>
  <c r="P20" i="53"/>
  <c r="P20" i="47"/>
  <c r="P25" i="43"/>
  <c r="P33" i="41"/>
  <c r="P12" i="35"/>
  <c r="D16" i="38"/>
  <c r="T22" i="38"/>
  <c r="P22" i="29"/>
  <c r="B13" i="32"/>
  <c r="D21" i="28"/>
  <c r="B16" i="29"/>
  <c r="P16" i="25"/>
  <c r="T12" i="25"/>
  <c r="D15" i="23"/>
  <c r="D34" i="19"/>
  <c r="H33" i="16"/>
  <c r="T29" i="22"/>
  <c r="H16" i="19"/>
  <c r="T22" i="22"/>
  <c r="H22" i="25"/>
  <c r="T33" i="20"/>
  <c r="B25" i="16"/>
  <c r="T15" i="23"/>
  <c r="T33" i="19"/>
  <c r="D12" i="23"/>
  <c r="P12" i="19"/>
  <c r="P16" i="22"/>
  <c r="T24" i="17"/>
  <c r="P22" i="26"/>
  <c r="P15" i="22"/>
  <c r="B38" i="23"/>
  <c r="P20" i="20"/>
  <c r="D24" i="23"/>
  <c r="H34" i="20"/>
  <c r="H15" i="19"/>
  <c r="D4" i="16"/>
  <c r="D22" i="17"/>
  <c r="H33" i="17"/>
  <c r="D21" i="19"/>
  <c r="D29" i="17"/>
  <c r="B38" i="14"/>
  <c r="H25" i="17"/>
  <c r="P16" i="16"/>
  <c r="T13" i="17"/>
  <c r="H22" i="14"/>
  <c r="H12" i="10"/>
  <c r="D22" i="14"/>
  <c r="D5" i="11"/>
  <c r="B16" i="13"/>
  <c r="P15" i="10"/>
  <c r="D5" i="7"/>
  <c r="B21" i="13"/>
  <c r="H13" i="10"/>
  <c r="H13" i="7"/>
  <c r="H16" i="11"/>
  <c r="H20" i="8"/>
  <c r="T13" i="13"/>
  <c r="H15" i="8"/>
  <c r="P13" i="13"/>
  <c r="D21" i="7"/>
  <c r="D25" i="13"/>
  <c r="B21" i="10"/>
  <c r="H12" i="17"/>
  <c r="P25" i="11"/>
  <c r="P12" i="7"/>
  <c r="P33" i="10"/>
  <c r="P25" i="7"/>
  <c r="P29" i="4"/>
  <c r="H24" i="4"/>
  <c r="P24" i="5"/>
  <c r="T29" i="8"/>
  <c r="H20" i="4"/>
  <c r="B22" i="4"/>
  <c r="D29" i="4"/>
  <c r="T20" i="7"/>
  <c r="D21" i="14"/>
  <c r="T12" i="5"/>
  <c r="D13" i="7"/>
  <c r="T21" i="5"/>
  <c r="H15" i="14"/>
  <c r="T15" i="4"/>
  <c r="H13" i="43"/>
  <c r="P16" i="10"/>
  <c r="D20" i="5"/>
  <c r="H20" i="99"/>
  <c r="P12" i="98"/>
  <c r="D29" i="52"/>
  <c r="H21" i="47"/>
  <c r="D5" i="53"/>
  <c r="P12" i="44"/>
  <c r="P20" i="44"/>
  <c r="T22" i="43"/>
  <c r="T15" i="50"/>
  <c r="B22" i="44"/>
  <c r="D33" i="32"/>
  <c r="P13" i="34"/>
  <c r="H15" i="35"/>
  <c r="P21" i="38"/>
  <c r="H21" i="35"/>
  <c r="D16" i="28"/>
  <c r="H25" i="28"/>
  <c r="T15" i="38"/>
  <c r="T13" i="28"/>
  <c r="T12" i="23"/>
  <c r="D33" i="19"/>
  <c r="H29" i="16"/>
  <c r="T25" i="22"/>
  <c r="B13" i="19"/>
  <c r="P12" i="22"/>
  <c r="P24" i="23"/>
  <c r="T29" i="20"/>
  <c r="D24" i="16"/>
  <c r="P13" i="23"/>
  <c r="T29" i="19"/>
  <c r="P21" i="22"/>
  <c r="B39" i="28"/>
  <c r="D12" i="22"/>
  <c r="T22" i="17"/>
  <c r="P34" i="25"/>
  <c r="D5" i="22"/>
  <c r="D34" i="23"/>
  <c r="P16" i="20"/>
  <c r="D22" i="23"/>
  <c r="H33" i="20"/>
  <c r="P33" i="17"/>
  <c r="P34" i="14"/>
  <c r="B38" i="16"/>
  <c r="P25" i="17"/>
  <c r="H29" i="17"/>
  <c r="D24" i="17"/>
  <c r="D34" i="14"/>
  <c r="P16" i="17"/>
  <c r="H15" i="16"/>
  <c r="D5" i="17"/>
  <c r="B21" i="14"/>
  <c r="P20" i="8"/>
  <c r="H16" i="14"/>
  <c r="P20" i="10"/>
  <c r="D15" i="13"/>
  <c r="D5" i="10"/>
  <c r="B25" i="17"/>
  <c r="P12" i="13"/>
  <c r="D4" i="10"/>
  <c r="D4" i="7"/>
  <c r="B13" i="11"/>
  <c r="H16" i="8"/>
  <c r="B22" i="11"/>
  <c r="B25" i="7"/>
  <c r="H12" i="13"/>
  <c r="H15" i="7"/>
  <c r="T21" i="13"/>
  <c r="D20" i="10"/>
  <c r="B25" i="14"/>
  <c r="T21" i="11"/>
  <c r="B39" i="5"/>
  <c r="P29" i="10"/>
  <c r="B13" i="13"/>
  <c r="H25" i="4"/>
  <c r="H22" i="4"/>
  <c r="H21" i="5"/>
  <c r="B16" i="8"/>
  <c r="H16" i="4"/>
  <c r="D21" i="4"/>
  <c r="B21" i="4"/>
  <c r="T16" i="7"/>
  <c r="T24" i="11"/>
  <c r="H33" i="4"/>
  <c r="D25" i="5"/>
  <c r="P20" i="5"/>
  <c r="H16" i="13"/>
  <c r="P13" i="4"/>
  <c r="D12" i="44"/>
  <c r="P16" i="8"/>
  <c r="P21" i="11"/>
  <c r="H16" i="5"/>
  <c r="B13" i="99"/>
  <c r="H21" i="52"/>
  <c r="B39" i="46"/>
  <c r="T33" i="43"/>
  <c r="B39" i="41"/>
  <c r="D22" i="43"/>
  <c r="D25" i="32"/>
  <c r="D29" i="44"/>
  <c r="D24" i="34"/>
  <c r="D24" i="35"/>
  <c r="B38" i="34"/>
  <c r="P12" i="25"/>
  <c r="H13" i="29"/>
  <c r="D29" i="26"/>
  <c r="T21" i="25"/>
  <c r="B21" i="22"/>
  <c r="D29" i="19"/>
  <c r="H25" i="16"/>
  <c r="B16" i="22"/>
  <c r="B38" i="17"/>
  <c r="B21" i="20"/>
  <c r="P22" i="23"/>
  <c r="T25" i="20"/>
  <c r="D22" i="16"/>
  <c r="T25" i="19"/>
  <c r="T15" i="22"/>
  <c r="P20" i="28"/>
  <c r="P24" i="20"/>
  <c r="P12" i="17"/>
  <c r="H13" i="25"/>
  <c r="D12" i="20"/>
  <c r="H29" i="20"/>
  <c r="T29" i="17"/>
  <c r="P33" i="14"/>
  <c r="P13" i="16"/>
  <c r="B13" i="17"/>
  <c r="D33" i="14"/>
  <c r="D34" i="16"/>
  <c r="P33" i="16"/>
  <c r="H29" i="13"/>
  <c r="D15" i="14"/>
  <c r="T12" i="13"/>
  <c r="B39" i="8"/>
  <c r="P24" i="16"/>
  <c r="H22" i="16"/>
  <c r="B13" i="8"/>
  <c r="D24" i="7"/>
  <c r="B21" i="11"/>
  <c r="T20" i="13"/>
  <c r="T24" i="10"/>
  <c r="H13" i="4"/>
  <c r="T25" i="4"/>
  <c r="T15" i="17"/>
  <c r="L194" i="18" l="1"/>
  <c r="N194" i="18" s="1"/>
  <c r="L18" i="59"/>
  <c r="L21" i="78"/>
  <c r="X18" i="55"/>
  <c r="Z18" i="55" s="1"/>
  <c r="N59" i="71"/>
  <c r="L19" i="88"/>
  <c r="N19" i="88" s="1"/>
  <c r="L18" i="81"/>
  <c r="N83" i="24"/>
  <c r="L30" i="42"/>
  <c r="N30" i="42" s="1"/>
  <c r="X59" i="51"/>
  <c r="Z59" i="51" s="1"/>
  <c r="X18" i="60"/>
  <c r="Z18" i="60" s="1"/>
  <c r="L59" i="71"/>
  <c r="N22" i="83"/>
  <c r="Z22" i="86"/>
  <c r="X18" i="96"/>
  <c r="Z31" i="36"/>
  <c r="N19" i="62"/>
  <c r="N22" i="73"/>
  <c r="L22" i="87"/>
  <c r="L19" i="97"/>
  <c r="N19" i="97" s="1"/>
  <c r="Z35" i="70"/>
  <c r="L27" i="72"/>
  <c r="N27" i="72" s="1"/>
  <c r="Z30" i="21"/>
  <c r="L65" i="66"/>
  <c r="N65" i="66" s="1"/>
  <c r="Z19" i="88"/>
  <c r="Z23" i="93"/>
  <c r="Z19" i="97"/>
  <c r="L18" i="9"/>
  <c r="N18" i="9" s="1"/>
  <c r="H51" i="60"/>
  <c r="N27" i="67"/>
  <c r="Z22" i="87"/>
  <c r="L43" i="33"/>
  <c r="P46" i="88"/>
  <c r="L18" i="58"/>
  <c r="N18" i="58" s="1"/>
  <c r="N61" i="77"/>
  <c r="L18" i="96"/>
  <c r="X18" i="9"/>
  <c r="X173" i="12"/>
  <c r="X43" i="33"/>
  <c r="Z43" i="33" s="1"/>
  <c r="L18" i="57"/>
  <c r="N18" i="57" s="1"/>
  <c r="X54" i="68"/>
  <c r="Z54" i="68" s="1"/>
  <c r="X82" i="69"/>
  <c r="Z82" i="69" s="1"/>
  <c r="X22" i="76"/>
  <c r="Z22" i="76" s="1"/>
  <c r="X61" i="77"/>
  <c r="Z61" i="77" s="1"/>
  <c r="X18" i="91"/>
  <c r="L34" i="5"/>
  <c r="P18" i="11"/>
  <c r="R15" i="11"/>
  <c r="X12" i="11"/>
  <c r="R24" i="11"/>
  <c r="R22" i="11"/>
  <c r="R21" i="11"/>
  <c r="R29" i="11"/>
  <c r="R20" i="11"/>
  <c r="R27" i="11"/>
  <c r="R18" i="11"/>
  <c r="R36" i="11"/>
  <c r="R25" i="11"/>
  <c r="R16" i="11"/>
  <c r="R34" i="11"/>
  <c r="R33" i="11"/>
  <c r="R31" i="11"/>
  <c r="R24" i="14"/>
  <c r="R22" i="14"/>
  <c r="P18" i="14"/>
  <c r="R15" i="14"/>
  <c r="R36" i="14"/>
  <c r="R34" i="14"/>
  <c r="R33" i="14"/>
  <c r="R31" i="14"/>
  <c r="R29" i="14"/>
  <c r="R27" i="14"/>
  <c r="R25" i="14"/>
  <c r="R18" i="14"/>
  <c r="R20" i="14"/>
  <c r="R21" i="14"/>
  <c r="X12" i="14"/>
  <c r="R16" i="14"/>
  <c r="J27" i="4"/>
  <c r="J24" i="4"/>
  <c r="J22" i="4"/>
  <c r="J21" i="4"/>
  <c r="J29" i="4"/>
  <c r="J20" i="4"/>
  <c r="J18" i="4"/>
  <c r="J16" i="4"/>
  <c r="H18" i="4"/>
  <c r="J15" i="4"/>
  <c r="J31" i="4"/>
  <c r="J33" i="4"/>
  <c r="J25" i="4"/>
  <c r="J34" i="4"/>
  <c r="N12" i="4"/>
  <c r="J36" i="4"/>
  <c r="X13" i="4"/>
  <c r="Z15" i="4"/>
  <c r="X21" i="4"/>
  <c r="Z29" i="4"/>
  <c r="L16" i="5"/>
  <c r="Z22" i="5"/>
  <c r="N29" i="5"/>
  <c r="Z12" i="7"/>
  <c r="V21" i="7"/>
  <c r="T18" i="7"/>
  <c r="V15" i="7"/>
  <c r="V18" i="7"/>
  <c r="V33" i="7"/>
  <c r="V36" i="7"/>
  <c r="V31" i="7"/>
  <c r="V25" i="7"/>
  <c r="V22" i="7"/>
  <c r="V20" i="7"/>
  <c r="V16" i="7"/>
  <c r="V34" i="7"/>
  <c r="V29" i="7"/>
  <c r="V24" i="7"/>
  <c r="V27" i="7"/>
  <c r="N33" i="8"/>
  <c r="Z20" i="10"/>
  <c r="X13" i="11"/>
  <c r="N16" i="13"/>
  <c r="N15" i="14"/>
  <c r="Z13" i="4"/>
  <c r="Z16" i="4"/>
  <c r="Z20" i="4"/>
  <c r="X22" i="4"/>
  <c r="X24" i="4"/>
  <c r="X25" i="4"/>
  <c r="L33" i="4"/>
  <c r="N34" i="4"/>
  <c r="L15" i="5"/>
  <c r="N16" i="5"/>
  <c r="X20" i="5"/>
  <c r="Z21" i="5"/>
  <c r="N34" i="5"/>
  <c r="L16" i="7"/>
  <c r="L20" i="7"/>
  <c r="X13" i="8"/>
  <c r="Z29" i="10"/>
  <c r="Z22" i="11"/>
  <c r="Z21" i="4"/>
  <c r="R36" i="5"/>
  <c r="R34" i="5"/>
  <c r="R33" i="5"/>
  <c r="R31" i="5"/>
  <c r="R29" i="5"/>
  <c r="R20" i="5"/>
  <c r="R18" i="5"/>
  <c r="R16" i="5"/>
  <c r="R24" i="5"/>
  <c r="R22" i="5"/>
  <c r="R25" i="5"/>
  <c r="R15" i="5"/>
  <c r="R27" i="5"/>
  <c r="X12" i="5"/>
  <c r="P18" i="5"/>
  <c r="R21" i="5"/>
  <c r="Z20" i="5"/>
  <c r="L25" i="5"/>
  <c r="L13" i="7"/>
  <c r="L25" i="7"/>
  <c r="Z29" i="7"/>
  <c r="Z34" i="7"/>
  <c r="Z22" i="8"/>
  <c r="Z15" i="11"/>
  <c r="R31" i="4"/>
  <c r="R15" i="4"/>
  <c r="R33" i="4"/>
  <c r="R34" i="4"/>
  <c r="X12" i="4"/>
  <c r="R29" i="4"/>
  <c r="P18" i="4"/>
  <c r="R36" i="4"/>
  <c r="R25" i="4"/>
  <c r="R24" i="4"/>
  <c r="R22" i="4"/>
  <c r="R27" i="4"/>
  <c r="R21" i="4"/>
  <c r="R20" i="4"/>
  <c r="R18" i="4"/>
  <c r="R16" i="4"/>
  <c r="Z22" i="4"/>
  <c r="Z24" i="4"/>
  <c r="Z25" i="4"/>
  <c r="N33" i="4"/>
  <c r="Z12" i="5"/>
  <c r="V25" i="5"/>
  <c r="V33" i="5"/>
  <c r="V27" i="5"/>
  <c r="V15" i="5"/>
  <c r="V16" i="5"/>
  <c r="V34" i="5"/>
  <c r="V29" i="5"/>
  <c r="V18" i="5"/>
  <c r="T18" i="5"/>
  <c r="V20" i="5"/>
  <c r="V21" i="5"/>
  <c r="V36" i="5"/>
  <c r="V31" i="5"/>
  <c r="V22" i="5"/>
  <c r="V24" i="5"/>
  <c r="L24" i="5"/>
  <c r="X29" i="5"/>
  <c r="L33" i="5"/>
  <c r="X34" i="5"/>
  <c r="X16" i="7"/>
  <c r="X20" i="7"/>
  <c r="L15" i="8"/>
  <c r="Z33" i="8"/>
  <c r="Z12" i="10"/>
  <c r="V36" i="10"/>
  <c r="V34" i="10"/>
  <c r="V33" i="10"/>
  <c r="V31" i="10"/>
  <c r="V29" i="10"/>
  <c r="V27" i="10"/>
  <c r="V25" i="10"/>
  <c r="V21" i="10"/>
  <c r="V20" i="10"/>
  <c r="V18" i="10"/>
  <c r="V16" i="10"/>
  <c r="T18" i="10"/>
  <c r="V24" i="10"/>
  <c r="V15" i="10"/>
  <c r="V22" i="10"/>
  <c r="Z24" i="11"/>
  <c r="L21" i="14"/>
  <c r="F20" i="5"/>
  <c r="F18" i="5"/>
  <c r="F16" i="5"/>
  <c r="D18" i="5"/>
  <c r="F36" i="5"/>
  <c r="F31" i="5"/>
  <c r="F21" i="5"/>
  <c r="F22" i="5"/>
  <c r="F29" i="5"/>
  <c r="F33" i="5"/>
  <c r="F24" i="5"/>
  <c r="F25" i="5"/>
  <c r="F15" i="5"/>
  <c r="F27" i="5"/>
  <c r="F34" i="5"/>
  <c r="L12" i="5"/>
  <c r="Z21" i="7"/>
  <c r="V33" i="4"/>
  <c r="V34" i="4"/>
  <c r="Z12" i="4"/>
  <c r="V36" i="4"/>
  <c r="V25" i="4"/>
  <c r="V24" i="4"/>
  <c r="V22" i="4"/>
  <c r="V27" i="4"/>
  <c r="V21" i="4"/>
  <c r="V20" i="4"/>
  <c r="V18" i="4"/>
  <c r="V16" i="4"/>
  <c r="V29" i="4"/>
  <c r="T18" i="4"/>
  <c r="V15" i="4"/>
  <c r="V31" i="4"/>
  <c r="L15" i="4"/>
  <c r="X34" i="4"/>
  <c r="N25" i="5"/>
  <c r="Z29" i="5"/>
  <c r="Z34" i="5"/>
  <c r="Z13" i="7"/>
  <c r="Z16" i="7"/>
  <c r="Z20" i="7"/>
  <c r="X22" i="7"/>
  <c r="X15" i="8"/>
  <c r="N29" i="8"/>
  <c r="N34" i="8"/>
  <c r="Z13" i="10"/>
  <c r="X22" i="10"/>
  <c r="X20" i="4"/>
  <c r="Z12" i="8"/>
  <c r="V36" i="8"/>
  <c r="V34" i="8"/>
  <c r="V33" i="8"/>
  <c r="V31" i="8"/>
  <c r="V29" i="8"/>
  <c r="V27" i="8"/>
  <c r="V25" i="8"/>
  <c r="V20" i="8"/>
  <c r="V18" i="8"/>
  <c r="V16" i="8"/>
  <c r="T18" i="8"/>
  <c r="V15" i="8"/>
  <c r="V21" i="8"/>
  <c r="V24" i="8"/>
  <c r="V22" i="8"/>
  <c r="L16" i="4"/>
  <c r="L20" i="4"/>
  <c r="L29" i="4"/>
  <c r="X16" i="5"/>
  <c r="L22" i="5"/>
  <c r="N24" i="5"/>
  <c r="N33" i="5"/>
  <c r="Z25" i="7"/>
  <c r="Z15" i="8"/>
  <c r="L15" i="10"/>
  <c r="Z33" i="10"/>
  <c r="N15" i="4"/>
  <c r="L21" i="4"/>
  <c r="X33" i="4"/>
  <c r="Z34" i="4"/>
  <c r="L13" i="5"/>
  <c r="X15" i="5"/>
  <c r="Z16" i="5"/>
  <c r="L15" i="7"/>
  <c r="Z24" i="8"/>
  <c r="X24" i="10"/>
  <c r="N16" i="4"/>
  <c r="N20" i="4"/>
  <c r="L22" i="4"/>
  <c r="L24" i="4"/>
  <c r="N29" i="4"/>
  <c r="N13" i="5"/>
  <c r="N22" i="5"/>
  <c r="X25" i="5"/>
  <c r="X33" i="5"/>
  <c r="Z29" i="8"/>
  <c r="Z34" i="8"/>
  <c r="Z34" i="10"/>
  <c r="L34" i="4"/>
  <c r="L13" i="4"/>
  <c r="N21" i="4"/>
  <c r="L25" i="4"/>
  <c r="Z33" i="4"/>
  <c r="L20" i="5"/>
  <c r="N21" i="5"/>
  <c r="X24" i="5"/>
  <c r="Z33" i="5"/>
  <c r="N21" i="7"/>
  <c r="N25" i="8"/>
  <c r="Z16" i="10"/>
  <c r="N33" i="14"/>
  <c r="F36" i="4"/>
  <c r="F25" i="4"/>
  <c r="F27" i="4"/>
  <c r="F24" i="4"/>
  <c r="F22" i="4"/>
  <c r="F21" i="4"/>
  <c r="F29" i="4"/>
  <c r="F20" i="4"/>
  <c r="F18" i="4"/>
  <c r="F16" i="4"/>
  <c r="D18" i="4"/>
  <c r="F15" i="4"/>
  <c r="F31" i="4"/>
  <c r="F33" i="4"/>
  <c r="L12" i="4"/>
  <c r="F34" i="4"/>
  <c r="Z25" i="8"/>
  <c r="N13" i="4"/>
  <c r="N22" i="4"/>
  <c r="N24" i="4"/>
  <c r="N20" i="5"/>
  <c r="Z25" i="5"/>
  <c r="F36" i="7"/>
  <c r="F34" i="7"/>
  <c r="F33" i="7"/>
  <c r="F31" i="7"/>
  <c r="F29" i="7"/>
  <c r="F27" i="7"/>
  <c r="F25" i="7"/>
  <c r="F21" i="7"/>
  <c r="F20" i="7"/>
  <c r="F18" i="7"/>
  <c r="F16" i="7"/>
  <c r="L12" i="7"/>
  <c r="F24" i="7"/>
  <c r="D18" i="7"/>
  <c r="F15" i="7"/>
  <c r="F22" i="7"/>
  <c r="J36" i="8"/>
  <c r="J34" i="8"/>
  <c r="J33" i="8"/>
  <c r="J31" i="8"/>
  <c r="J29" i="8"/>
  <c r="J27" i="8"/>
  <c r="J25" i="8"/>
  <c r="J21" i="8"/>
  <c r="J20" i="8"/>
  <c r="J18" i="8"/>
  <c r="J16" i="8"/>
  <c r="H18" i="8"/>
  <c r="J15" i="8"/>
  <c r="N12" i="8"/>
  <c r="J24" i="8"/>
  <c r="J22" i="8"/>
  <c r="X21" i="8"/>
  <c r="Z25" i="10"/>
  <c r="X16" i="4"/>
  <c r="X15" i="4"/>
  <c r="N25" i="4"/>
  <c r="X29" i="4"/>
  <c r="Z13" i="5"/>
  <c r="X22" i="5"/>
  <c r="Z24" i="5"/>
  <c r="L29" i="5"/>
  <c r="X24" i="7"/>
  <c r="Z33" i="7"/>
  <c r="P18" i="8"/>
  <c r="R15" i="8"/>
  <c r="X12" i="8"/>
  <c r="R24" i="8"/>
  <c r="R22" i="8"/>
  <c r="R21" i="8"/>
  <c r="R36" i="8"/>
  <c r="R31" i="8"/>
  <c r="R25" i="8"/>
  <c r="R16" i="8"/>
  <c r="R34" i="8"/>
  <c r="R29" i="8"/>
  <c r="R20" i="8"/>
  <c r="R33" i="8"/>
  <c r="R27" i="8"/>
  <c r="R18" i="8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21" i="11"/>
  <c r="X25" i="7"/>
  <c r="X29" i="7"/>
  <c r="X33" i="7"/>
  <c r="X34" i="7"/>
  <c r="Z13" i="8"/>
  <c r="Z16" i="8"/>
  <c r="Z20" i="8"/>
  <c r="X22" i="8"/>
  <c r="X24" i="8"/>
  <c r="Z21" i="10"/>
  <c r="X25" i="10"/>
  <c r="X29" i="10"/>
  <c r="X33" i="10"/>
  <c r="X34" i="10"/>
  <c r="Z13" i="11"/>
  <c r="Z16" i="11"/>
  <c r="Z20" i="11"/>
  <c r="X22" i="11"/>
  <c r="X24" i="11"/>
  <c r="L13" i="13"/>
  <c r="X22" i="13"/>
  <c r="L34" i="13"/>
  <c r="V20" i="14"/>
  <c r="V18" i="14"/>
  <c r="V16" i="14"/>
  <c r="V24" i="14"/>
  <c r="T18" i="14"/>
  <c r="V36" i="14"/>
  <c r="V31" i="14"/>
  <c r="V25" i="14"/>
  <c r="V21" i="14"/>
  <c r="V15" i="14"/>
  <c r="V33" i="14"/>
  <c r="V27" i="14"/>
  <c r="V22" i="14"/>
  <c r="Z12" i="14"/>
  <c r="V34" i="14"/>
  <c r="V29" i="14"/>
  <c r="R20" i="7"/>
  <c r="R18" i="7"/>
  <c r="R16" i="7"/>
  <c r="R36" i="7"/>
  <c r="R34" i="7"/>
  <c r="R33" i="7"/>
  <c r="R31" i="7"/>
  <c r="R29" i="7"/>
  <c r="R27" i="7"/>
  <c r="R25" i="7"/>
  <c r="R21" i="7"/>
  <c r="R24" i="7"/>
  <c r="P18" i="7"/>
  <c r="R15" i="7"/>
  <c r="R22" i="7"/>
  <c r="X12" i="7"/>
  <c r="Z22" i="7"/>
  <c r="Z24" i="7"/>
  <c r="Z21" i="8"/>
  <c r="X25" i="8"/>
  <c r="X29" i="8"/>
  <c r="X33" i="8"/>
  <c r="X34" i="8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R24" i="10"/>
  <c r="R22" i="10"/>
  <c r="R21" i="10"/>
  <c r="Z22" i="10"/>
  <c r="Z24" i="10"/>
  <c r="Z21" i="11"/>
  <c r="X25" i="11"/>
  <c r="X29" i="11"/>
  <c r="X33" i="11"/>
  <c r="X34" i="11"/>
  <c r="N13" i="13"/>
  <c r="X29" i="13"/>
  <c r="N34" i="13"/>
  <c r="Z16" i="14"/>
  <c r="L20" i="14"/>
  <c r="X22" i="14"/>
  <c r="J21" i="17"/>
  <c r="J18" i="17"/>
  <c r="H18" i="17"/>
  <c r="J36" i="17"/>
  <c r="J33" i="17"/>
  <c r="J29" i="17"/>
  <c r="J24" i="17"/>
  <c r="J20" i="17"/>
  <c r="J25" i="17"/>
  <c r="J15" i="17"/>
  <c r="N12" i="17"/>
  <c r="J34" i="17"/>
  <c r="J31" i="17"/>
  <c r="J27" i="17"/>
  <c r="J22" i="17"/>
  <c r="J16" i="17"/>
  <c r="X15" i="13"/>
  <c r="X20" i="13"/>
  <c r="Z29" i="13"/>
  <c r="X15" i="14"/>
  <c r="Z33" i="14"/>
  <c r="L15" i="17"/>
  <c r="N24" i="20"/>
  <c r="L16" i="10"/>
  <c r="L20" i="10"/>
  <c r="Z12" i="11"/>
  <c r="V36" i="11"/>
  <c r="V34" i="11"/>
  <c r="V33" i="11"/>
  <c r="V31" i="11"/>
  <c r="V29" i="11"/>
  <c r="V27" i="11"/>
  <c r="V25" i="11"/>
  <c r="V24" i="11"/>
  <c r="V22" i="11"/>
  <c r="V20" i="11"/>
  <c r="V18" i="11"/>
  <c r="V16" i="11"/>
  <c r="T18" i="11"/>
  <c r="V15" i="11"/>
  <c r="V21" i="11"/>
  <c r="L15" i="11"/>
  <c r="Z25" i="11"/>
  <c r="Z29" i="11"/>
  <c r="Z33" i="11"/>
  <c r="Z34" i="11"/>
  <c r="F36" i="13"/>
  <c r="F34" i="13"/>
  <c r="F33" i="13"/>
  <c r="F31" i="13"/>
  <c r="F29" i="13"/>
  <c r="F27" i="13"/>
  <c r="F25" i="13"/>
  <c r="F18" i="13"/>
  <c r="F16" i="13"/>
  <c r="F22" i="13"/>
  <c r="F21" i="13"/>
  <c r="F20" i="13"/>
  <c r="D18" i="13"/>
  <c r="F15" i="13"/>
  <c r="F24" i="13"/>
  <c r="L12" i="13"/>
  <c r="X16" i="13"/>
  <c r="Z20" i="13"/>
  <c r="Z21" i="13"/>
  <c r="L25" i="13"/>
  <c r="L33" i="13"/>
  <c r="Z15" i="14"/>
  <c r="N20" i="14"/>
  <c r="X21" i="14"/>
  <c r="N25" i="14"/>
  <c r="J36" i="5"/>
  <c r="J31" i="5"/>
  <c r="J20" i="5"/>
  <c r="H18" i="5"/>
  <c r="J21" i="5"/>
  <c r="J22" i="5"/>
  <c r="J33" i="5"/>
  <c r="J24" i="5"/>
  <c r="J25" i="5"/>
  <c r="J27" i="5"/>
  <c r="J15" i="5"/>
  <c r="J34" i="5"/>
  <c r="J16" i="5"/>
  <c r="J29" i="5"/>
  <c r="N12" i="5"/>
  <c r="J18" i="5"/>
  <c r="X13" i="5"/>
  <c r="Z15" i="5"/>
  <c r="X21" i="5"/>
  <c r="N15" i="7"/>
  <c r="L21" i="7"/>
  <c r="L16" i="8"/>
  <c r="L20" i="8"/>
  <c r="N15" i="10"/>
  <c r="L21" i="10"/>
  <c r="L16" i="11"/>
  <c r="L20" i="11"/>
  <c r="J22" i="13"/>
  <c r="J31" i="13"/>
  <c r="J24" i="13"/>
  <c r="N12" i="13"/>
  <c r="J33" i="13"/>
  <c r="J25" i="13"/>
  <c r="J34" i="13"/>
  <c r="J27" i="13"/>
  <c r="J18" i="13"/>
  <c r="J16" i="13"/>
  <c r="J36" i="13"/>
  <c r="J29" i="13"/>
  <c r="J21" i="13"/>
  <c r="J20" i="13"/>
  <c r="H18" i="13"/>
  <c r="J15" i="13"/>
  <c r="X13" i="13"/>
  <c r="Z15" i="13"/>
  <c r="N25" i="13"/>
  <c r="N33" i="13"/>
  <c r="X34" i="13"/>
  <c r="N13" i="14"/>
  <c r="N16" i="7"/>
  <c r="N20" i="7"/>
  <c r="L22" i="7"/>
  <c r="L24" i="7"/>
  <c r="N15" i="8"/>
  <c r="L21" i="8"/>
  <c r="N16" i="10"/>
  <c r="N20" i="10"/>
  <c r="L22" i="10"/>
  <c r="L24" i="10"/>
  <c r="N15" i="11"/>
  <c r="L21" i="11"/>
  <c r="Z13" i="13"/>
  <c r="Z16" i="13"/>
  <c r="L24" i="13"/>
  <c r="Z34" i="13"/>
  <c r="L24" i="14"/>
  <c r="L29" i="7"/>
  <c r="L33" i="7"/>
  <c r="L34" i="7"/>
  <c r="N16" i="8"/>
  <c r="N20" i="8"/>
  <c r="L22" i="8"/>
  <c r="L24" i="8"/>
  <c r="L13" i="10"/>
  <c r="N21" i="10"/>
  <c r="L25" i="10"/>
  <c r="L29" i="10"/>
  <c r="L33" i="10"/>
  <c r="L34" i="10"/>
  <c r="N16" i="11"/>
  <c r="N20" i="11"/>
  <c r="L22" i="11"/>
  <c r="L24" i="11"/>
  <c r="X13" i="14"/>
  <c r="N24" i="14"/>
  <c r="Z25" i="14"/>
  <c r="N22" i="16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R36" i="13"/>
  <c r="R34" i="13"/>
  <c r="R33" i="13"/>
  <c r="R31" i="13"/>
  <c r="R29" i="13"/>
  <c r="R27" i="13"/>
  <c r="R25" i="13"/>
  <c r="R20" i="13"/>
  <c r="R18" i="13"/>
  <c r="R24" i="13"/>
  <c r="X12" i="13"/>
  <c r="R16" i="13"/>
  <c r="P18" i="13"/>
  <c r="R15" i="13"/>
  <c r="R21" i="13"/>
  <c r="R22" i="13"/>
  <c r="X25" i="13"/>
  <c r="X33" i="13"/>
  <c r="Z13" i="14"/>
  <c r="L16" i="14"/>
  <c r="Z20" i="14"/>
  <c r="N29" i="14"/>
  <c r="N34" i="14"/>
  <c r="X24" i="16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Z12" i="13"/>
  <c r="V33" i="13"/>
  <c r="V25" i="13"/>
  <c r="V34" i="13"/>
  <c r="V27" i="13"/>
  <c r="V16" i="13"/>
  <c r="V18" i="13"/>
  <c r="V15" i="13"/>
  <c r="V21" i="13"/>
  <c r="V20" i="13"/>
  <c r="T18" i="13"/>
  <c r="V36" i="13"/>
  <c r="V29" i="13"/>
  <c r="V22" i="13"/>
  <c r="V31" i="13"/>
  <c r="V24" i="13"/>
  <c r="L15" i="13"/>
  <c r="L20" i="13"/>
  <c r="L21" i="13"/>
  <c r="L22" i="13"/>
  <c r="Z25" i="13"/>
  <c r="Z33" i="13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X16" i="10"/>
  <c r="X20" i="10"/>
  <c r="X15" i="11"/>
  <c r="N25" i="11"/>
  <c r="N29" i="11"/>
  <c r="N33" i="11"/>
  <c r="N34" i="11"/>
  <c r="L16" i="13"/>
  <c r="X24" i="13"/>
  <c r="L29" i="13"/>
  <c r="N12" i="14"/>
  <c r="J36" i="14"/>
  <c r="J34" i="14"/>
  <c r="J33" i="14"/>
  <c r="J31" i="14"/>
  <c r="J29" i="14"/>
  <c r="J27" i="14"/>
  <c r="J25" i="14"/>
  <c r="J20" i="14"/>
  <c r="J18" i="14"/>
  <c r="J16" i="14"/>
  <c r="J24" i="14"/>
  <c r="H18" i="14"/>
  <c r="J21" i="14"/>
  <c r="J15" i="14"/>
  <c r="J22" i="14"/>
  <c r="L15" i="14"/>
  <c r="N16" i="14"/>
  <c r="L22" i="14"/>
  <c r="X24" i="14"/>
  <c r="N15" i="5"/>
  <c r="L21" i="5"/>
  <c r="J24" i="7"/>
  <c r="J22" i="7"/>
  <c r="J21" i="7"/>
  <c r="H18" i="7"/>
  <c r="J15" i="7"/>
  <c r="J33" i="7"/>
  <c r="J27" i="7"/>
  <c r="J18" i="7"/>
  <c r="J36" i="7"/>
  <c r="J31" i="7"/>
  <c r="J25" i="7"/>
  <c r="J20" i="7"/>
  <c r="J16" i="7"/>
  <c r="J34" i="7"/>
  <c r="J29" i="7"/>
  <c r="N12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X16" i="8"/>
  <c r="X20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L12" i="11"/>
  <c r="X16" i="11"/>
  <c r="X20" i="11"/>
  <c r="N15" i="13"/>
  <c r="N20" i="13"/>
  <c r="N21" i="13"/>
  <c r="N29" i="13"/>
  <c r="N22" i="14"/>
  <c r="Z29" i="14"/>
  <c r="Z34" i="14"/>
  <c r="N34" i="17"/>
  <c r="Z22" i="14"/>
  <c r="Z24" i="14"/>
  <c r="F21" i="16"/>
  <c r="F31" i="16"/>
  <c r="F24" i="16"/>
  <c r="F18" i="16"/>
  <c r="F33" i="16"/>
  <c r="F25" i="16"/>
  <c r="D18" i="16"/>
  <c r="F20" i="16"/>
  <c r="F34" i="16"/>
  <c r="F27" i="16"/>
  <c r="F22" i="16"/>
  <c r="F16" i="16"/>
  <c r="F29" i="16"/>
  <c r="F15" i="16"/>
  <c r="L12" i="16"/>
  <c r="F36" i="16"/>
  <c r="X25" i="16"/>
  <c r="X33" i="16"/>
  <c r="Z13" i="17"/>
  <c r="L16" i="17"/>
  <c r="Z33" i="17"/>
  <c r="X15" i="19"/>
  <c r="J24" i="16"/>
  <c r="J22" i="16"/>
  <c r="H18" i="16"/>
  <c r="J15" i="16"/>
  <c r="J18" i="16"/>
  <c r="J33" i="16"/>
  <c r="J25" i="16"/>
  <c r="J20" i="16"/>
  <c r="J34" i="16"/>
  <c r="J27" i="16"/>
  <c r="J21" i="16"/>
  <c r="J36" i="16"/>
  <c r="J29" i="16"/>
  <c r="N12" i="16"/>
  <c r="J16" i="16"/>
  <c r="J31" i="16"/>
  <c r="L29" i="16"/>
  <c r="F36" i="17"/>
  <c r="F34" i="17"/>
  <c r="F33" i="17"/>
  <c r="F31" i="17"/>
  <c r="F29" i="17"/>
  <c r="F27" i="17"/>
  <c r="F25" i="17"/>
  <c r="F20" i="17"/>
  <c r="F18" i="17"/>
  <c r="F16" i="17"/>
  <c r="F22" i="17"/>
  <c r="D18" i="17"/>
  <c r="F24" i="17"/>
  <c r="F15" i="17"/>
  <c r="L12" i="17"/>
  <c r="F21" i="17"/>
  <c r="N16" i="17"/>
  <c r="N29" i="19"/>
  <c r="N22" i="20"/>
  <c r="N15" i="16"/>
  <c r="X16" i="16"/>
  <c r="L21" i="16"/>
  <c r="N21" i="17"/>
  <c r="X22" i="17"/>
  <c r="L25" i="17"/>
  <c r="N33" i="19"/>
  <c r="R34" i="16"/>
  <c r="R27" i="16"/>
  <c r="R20" i="16"/>
  <c r="R21" i="16"/>
  <c r="R36" i="16"/>
  <c r="R29" i="16"/>
  <c r="R22" i="16"/>
  <c r="R15" i="16"/>
  <c r="X12" i="16"/>
  <c r="R31" i="16"/>
  <c r="R16" i="16"/>
  <c r="R24" i="16"/>
  <c r="R33" i="16"/>
  <c r="R25" i="16"/>
  <c r="R18" i="16"/>
  <c r="P18" i="16"/>
  <c r="N21" i="16"/>
  <c r="Z24" i="16"/>
  <c r="L34" i="16"/>
  <c r="X16" i="17"/>
  <c r="N25" i="17"/>
  <c r="N34" i="19"/>
  <c r="N16" i="22"/>
  <c r="N22" i="13"/>
  <c r="N24" i="13"/>
  <c r="L13" i="14"/>
  <c r="N21" i="14"/>
  <c r="L25" i="14"/>
  <c r="L29" i="14"/>
  <c r="L33" i="14"/>
  <c r="L34" i="14"/>
  <c r="Z16" i="16"/>
  <c r="L20" i="16"/>
  <c r="X22" i="16"/>
  <c r="Z12" i="17"/>
  <c r="V36" i="17"/>
  <c r="V34" i="17"/>
  <c r="V33" i="17"/>
  <c r="V31" i="17"/>
  <c r="V29" i="17"/>
  <c r="V27" i="17"/>
  <c r="V25" i="17"/>
  <c r="V21" i="17"/>
  <c r="V15" i="17"/>
  <c r="V16" i="17"/>
  <c r="V22" i="17"/>
  <c r="V18" i="17"/>
  <c r="T18" i="17"/>
  <c r="V24" i="17"/>
  <c r="V20" i="17"/>
  <c r="X34" i="17"/>
  <c r="X29" i="16"/>
  <c r="X15" i="17"/>
  <c r="Z16" i="17"/>
  <c r="N20" i="17"/>
  <c r="X21" i="17"/>
  <c r="L24" i="17"/>
  <c r="L29" i="17"/>
  <c r="Z34" i="17"/>
  <c r="N20" i="22"/>
  <c r="L13" i="16"/>
  <c r="Z15" i="16"/>
  <c r="X21" i="16"/>
  <c r="Z22" i="16"/>
  <c r="L25" i="16"/>
  <c r="L33" i="16"/>
  <c r="N29" i="17"/>
  <c r="L21" i="19"/>
  <c r="N13" i="20"/>
  <c r="N15" i="23"/>
  <c r="X21" i="13"/>
  <c r="F24" i="14"/>
  <c r="F22" i="14"/>
  <c r="F33" i="14"/>
  <c r="F27" i="14"/>
  <c r="F15" i="14"/>
  <c r="L12" i="14"/>
  <c r="F16" i="14"/>
  <c r="F34" i="14"/>
  <c r="F29" i="14"/>
  <c r="F18" i="14"/>
  <c r="D18" i="14"/>
  <c r="F36" i="14"/>
  <c r="F31" i="14"/>
  <c r="F25" i="14"/>
  <c r="F20" i="14"/>
  <c r="F21" i="14"/>
  <c r="X16" i="14"/>
  <c r="X20" i="14"/>
  <c r="N13" i="16"/>
  <c r="L13" i="17"/>
  <c r="Z15" i="17"/>
  <c r="Z21" i="17"/>
  <c r="X25" i="17"/>
  <c r="N33" i="17"/>
  <c r="L22" i="22"/>
  <c r="X20" i="16"/>
  <c r="Z21" i="16"/>
  <c r="X34" i="16"/>
  <c r="X20" i="17"/>
  <c r="Z25" i="17"/>
  <c r="L24" i="22"/>
  <c r="X13" i="16"/>
  <c r="L22" i="17"/>
  <c r="X29" i="17"/>
  <c r="N25" i="25"/>
  <c r="Z22" i="13"/>
  <c r="Z24" i="13"/>
  <c r="Z21" i="14"/>
  <c r="X25" i="14"/>
  <c r="X29" i="14"/>
  <c r="X33" i="14"/>
  <c r="X34" i="14"/>
  <c r="Z13" i="16"/>
  <c r="L16" i="16"/>
  <c r="Z20" i="16"/>
  <c r="N24" i="16"/>
  <c r="X13" i="17"/>
  <c r="Z20" i="17"/>
  <c r="X24" i="17"/>
  <c r="Z29" i="17"/>
  <c r="X33" i="17"/>
  <c r="N15" i="19"/>
  <c r="N25" i="19"/>
  <c r="L21" i="23"/>
  <c r="Z33" i="25"/>
  <c r="F36" i="19"/>
  <c r="F34" i="19"/>
  <c r="F33" i="19"/>
  <c r="F31" i="19"/>
  <c r="F29" i="19"/>
  <c r="F27" i="19"/>
  <c r="F25" i="19"/>
  <c r="F24" i="19"/>
  <c r="F22" i="19"/>
  <c r="F21" i="19"/>
  <c r="D18" i="19"/>
  <c r="F15" i="19"/>
  <c r="L12" i="19"/>
  <c r="F20" i="19"/>
  <c r="F18" i="19"/>
  <c r="F16" i="19"/>
  <c r="X16" i="19"/>
  <c r="X20" i="19"/>
  <c r="X15" i="20"/>
  <c r="N25" i="20"/>
  <c r="N29" i="20"/>
  <c r="N33" i="20"/>
  <c r="N34" i="20"/>
  <c r="L13" i="22"/>
  <c r="N21" i="22"/>
  <c r="L25" i="22"/>
  <c r="L29" i="22"/>
  <c r="L33" i="22"/>
  <c r="L34" i="22"/>
  <c r="N16" i="23"/>
  <c r="N20" i="23"/>
  <c r="L22" i="23"/>
  <c r="L24" i="23"/>
  <c r="X20" i="25"/>
  <c r="Z29" i="26"/>
  <c r="Z15" i="28"/>
  <c r="J21" i="19"/>
  <c r="J20" i="19"/>
  <c r="J18" i="19"/>
  <c r="J16" i="19"/>
  <c r="H18" i="19"/>
  <c r="J15" i="19"/>
  <c r="N12" i="19"/>
  <c r="J36" i="19"/>
  <c r="J34" i="19"/>
  <c r="J33" i="19"/>
  <c r="J31" i="19"/>
  <c r="J29" i="19"/>
  <c r="J27" i="19"/>
  <c r="J25" i="19"/>
  <c r="J24" i="19"/>
  <c r="J22" i="19"/>
  <c r="X13" i="19"/>
  <c r="Z15" i="19"/>
  <c r="X21" i="19"/>
  <c r="F24" i="20"/>
  <c r="F22" i="20"/>
  <c r="F21" i="20"/>
  <c r="F20" i="20"/>
  <c r="F18" i="20"/>
  <c r="F16" i="20"/>
  <c r="D18" i="20"/>
  <c r="F15" i="20"/>
  <c r="L12" i="20"/>
  <c r="F36" i="20"/>
  <c r="F34" i="20"/>
  <c r="F33" i="20"/>
  <c r="F31" i="20"/>
  <c r="F29" i="20"/>
  <c r="F27" i="20"/>
  <c r="F25" i="20"/>
  <c r="X16" i="20"/>
  <c r="X20" i="20"/>
  <c r="N13" i="22"/>
  <c r="N22" i="22"/>
  <c r="N24" i="22"/>
  <c r="L13" i="23"/>
  <c r="N21" i="23"/>
  <c r="L25" i="23"/>
  <c r="L29" i="23"/>
  <c r="L33" i="23"/>
  <c r="L34" i="23"/>
  <c r="Z13" i="19"/>
  <c r="Z16" i="19"/>
  <c r="Z20" i="19"/>
  <c r="X22" i="19"/>
  <c r="X24" i="19"/>
  <c r="J20" i="20"/>
  <c r="J18" i="20"/>
  <c r="J16" i="20"/>
  <c r="H18" i="20"/>
  <c r="J15" i="20"/>
  <c r="N12" i="20"/>
  <c r="J36" i="20"/>
  <c r="J34" i="20"/>
  <c r="J33" i="20"/>
  <c r="J31" i="20"/>
  <c r="J29" i="20"/>
  <c r="J27" i="20"/>
  <c r="J25" i="20"/>
  <c r="J24" i="20"/>
  <c r="J22" i="20"/>
  <c r="J21" i="20"/>
  <c r="X13" i="20"/>
  <c r="Z15" i="20"/>
  <c r="X21" i="20"/>
  <c r="X15" i="22"/>
  <c r="N25" i="22"/>
  <c r="N29" i="22"/>
  <c r="N33" i="22"/>
  <c r="N34" i="22"/>
  <c r="N13" i="23"/>
  <c r="N22" i="23"/>
  <c r="N24" i="23"/>
  <c r="N13" i="25"/>
  <c r="X34" i="25"/>
  <c r="X22" i="26"/>
  <c r="Z34" i="28"/>
  <c r="Z34" i="32"/>
  <c r="V24" i="16"/>
  <c r="V22" i="16"/>
  <c r="V34" i="16"/>
  <c r="V27" i="16"/>
  <c r="V21" i="16"/>
  <c r="V36" i="16"/>
  <c r="V29" i="16"/>
  <c r="V15" i="16"/>
  <c r="V16" i="16"/>
  <c r="Z12" i="16"/>
  <c r="V31" i="16"/>
  <c r="V18" i="16"/>
  <c r="V20" i="16"/>
  <c r="V25" i="16"/>
  <c r="T18" i="16"/>
  <c r="V33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0" i="17"/>
  <c r="R21" i="17"/>
  <c r="R15" i="17"/>
  <c r="X12" i="17"/>
  <c r="R16" i="17"/>
  <c r="R22" i="17"/>
  <c r="P18" i="17"/>
  <c r="R24" i="17"/>
  <c r="R18" i="17"/>
  <c r="Z22" i="17"/>
  <c r="Z24" i="17"/>
  <c r="Z21" i="19"/>
  <c r="X25" i="19"/>
  <c r="X29" i="19"/>
  <c r="X33" i="19"/>
  <c r="X34" i="19"/>
  <c r="Z13" i="20"/>
  <c r="Z16" i="20"/>
  <c r="Z20" i="20"/>
  <c r="X22" i="20"/>
  <c r="X24" i="20"/>
  <c r="F20" i="22"/>
  <c r="F18" i="22"/>
  <c r="F16" i="22"/>
  <c r="D18" i="22"/>
  <c r="F15" i="22"/>
  <c r="L12" i="22"/>
  <c r="F36" i="22"/>
  <c r="F34" i="22"/>
  <c r="F33" i="22"/>
  <c r="F31" i="22"/>
  <c r="F29" i="22"/>
  <c r="F27" i="22"/>
  <c r="F25" i="22"/>
  <c r="F24" i="22"/>
  <c r="F22" i="22"/>
  <c r="F21" i="22"/>
  <c r="X16" i="22"/>
  <c r="X20" i="22"/>
  <c r="X15" i="23"/>
  <c r="N25" i="23"/>
  <c r="N29" i="23"/>
  <c r="N33" i="23"/>
  <c r="N34" i="23"/>
  <c r="L15" i="25"/>
  <c r="N24" i="26"/>
  <c r="X20" i="28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D18" i="23"/>
  <c r="F15" i="23"/>
  <c r="L12" i="23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X16" i="23"/>
  <c r="X20" i="23"/>
  <c r="N33" i="26"/>
  <c r="L20" i="17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Z12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Z15" i="25"/>
  <c r="L22" i="25"/>
  <c r="Z20" i="28"/>
  <c r="L29" i="29"/>
  <c r="N16" i="16"/>
  <c r="N20" i="16"/>
  <c r="L22" i="16"/>
  <c r="L24" i="16"/>
  <c r="N15" i="17"/>
  <c r="L21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Z21" i="22"/>
  <c r="X25" i="22"/>
  <c r="X29" i="22"/>
  <c r="X33" i="22"/>
  <c r="X34" i="22"/>
  <c r="Z13" i="23"/>
  <c r="Z16" i="23"/>
  <c r="Z20" i="23"/>
  <c r="X22" i="23"/>
  <c r="X24" i="23"/>
  <c r="N22" i="25"/>
  <c r="X29" i="25"/>
  <c r="L25" i="26"/>
  <c r="X22" i="28"/>
  <c r="X15" i="29"/>
  <c r="L33" i="29"/>
  <c r="L16" i="20"/>
  <c r="L20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X12" i="26"/>
  <c r="R36" i="26"/>
  <c r="R34" i="26"/>
  <c r="R24" i="26"/>
  <c r="R22" i="26"/>
  <c r="R20" i="26"/>
  <c r="R18" i="26"/>
  <c r="R16" i="26"/>
  <c r="R15" i="26"/>
  <c r="R21" i="26"/>
  <c r="R33" i="26"/>
  <c r="R27" i="26"/>
  <c r="R29" i="26"/>
  <c r="R25" i="26"/>
  <c r="P18" i="26"/>
  <c r="R31" i="26"/>
  <c r="L33" i="17"/>
  <c r="L34" i="17"/>
  <c r="N16" i="19"/>
  <c r="N20" i="19"/>
  <c r="L22" i="19"/>
  <c r="L24" i="19"/>
  <c r="N15" i="20"/>
  <c r="L21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X34" i="29"/>
  <c r="X15" i="16"/>
  <c r="N25" i="16"/>
  <c r="N29" i="16"/>
  <c r="N33" i="16"/>
  <c r="N34" i="16"/>
  <c r="N13" i="17"/>
  <c r="N22" i="17"/>
  <c r="N24" i="17"/>
  <c r="L13" i="19"/>
  <c r="N21" i="19"/>
  <c r="L25" i="19"/>
  <c r="L29" i="19"/>
  <c r="L33" i="19"/>
  <c r="L34" i="19"/>
  <c r="N16" i="20"/>
  <c r="N20" i="20"/>
  <c r="L22" i="20"/>
  <c r="L24" i="20"/>
  <c r="L16" i="22"/>
  <c r="L20" i="22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Z12" i="23"/>
  <c r="L15" i="23"/>
  <c r="Z25" i="23"/>
  <c r="Z29" i="23"/>
  <c r="Z33" i="23"/>
  <c r="Z34" i="23"/>
  <c r="L21" i="26"/>
  <c r="N13" i="19"/>
  <c r="N22" i="19"/>
  <c r="N24" i="19"/>
  <c r="L13" i="20"/>
  <c r="N21" i="20"/>
  <c r="L25" i="20"/>
  <c r="L29" i="20"/>
  <c r="L33" i="20"/>
  <c r="L34" i="20"/>
  <c r="N15" i="22"/>
  <c r="L21" i="22"/>
  <c r="L16" i="23"/>
  <c r="L20" i="23"/>
  <c r="Z13" i="26"/>
  <c r="N21" i="26"/>
  <c r="N13" i="28"/>
  <c r="Z21" i="25"/>
  <c r="N24" i="25"/>
  <c r="X25" i="25"/>
  <c r="L13" i="26"/>
  <c r="Z20" i="26"/>
  <c r="X24" i="26"/>
  <c r="L33" i="26"/>
  <c r="Z34" i="26"/>
  <c r="Z13" i="28"/>
  <c r="Z24" i="32"/>
  <c r="Z12" i="25"/>
  <c r="V21" i="25"/>
  <c r="T18" i="25"/>
  <c r="V15" i="25"/>
  <c r="V33" i="25"/>
  <c r="V27" i="25"/>
  <c r="V18" i="25"/>
  <c r="V34" i="25"/>
  <c r="V29" i="25"/>
  <c r="V24" i="25"/>
  <c r="V16" i="25"/>
  <c r="V31" i="25"/>
  <c r="V22" i="25"/>
  <c r="V36" i="25"/>
  <c r="V20" i="25"/>
  <c r="V25" i="25"/>
  <c r="X15" i="25"/>
  <c r="Z25" i="25"/>
  <c r="N29" i="25"/>
  <c r="N34" i="25"/>
  <c r="N13" i="26"/>
  <c r="N22" i="26"/>
  <c r="Z24" i="26"/>
  <c r="N34" i="29"/>
  <c r="L20" i="31"/>
  <c r="Z29" i="25"/>
  <c r="N33" i="25"/>
  <c r="Z34" i="25"/>
  <c r="Z22" i="26"/>
  <c r="L13" i="29"/>
  <c r="L16" i="25"/>
  <c r="L15" i="26"/>
  <c r="N25" i="26"/>
  <c r="Z33" i="26"/>
  <c r="F24" i="28"/>
  <c r="F22" i="28"/>
  <c r="F31" i="28"/>
  <c r="F21" i="28"/>
  <c r="F20" i="28"/>
  <c r="F18" i="28"/>
  <c r="F16" i="28"/>
  <c r="F33" i="28"/>
  <c r="D18" i="28"/>
  <c r="F15" i="28"/>
  <c r="F34" i="28"/>
  <c r="L12" i="28"/>
  <c r="F27" i="28"/>
  <c r="F36" i="28"/>
  <c r="F29" i="28"/>
  <c r="F25" i="28"/>
  <c r="X16" i="28"/>
  <c r="Z33" i="28"/>
  <c r="L20" i="29"/>
  <c r="X13" i="25"/>
  <c r="N16" i="25"/>
  <c r="D18" i="26"/>
  <c r="F15" i="26"/>
  <c r="F21" i="26"/>
  <c r="F18" i="26"/>
  <c r="F24" i="26"/>
  <c r="L12" i="26"/>
  <c r="F20" i="26"/>
  <c r="F31" i="26"/>
  <c r="F25" i="26"/>
  <c r="F33" i="26"/>
  <c r="F27" i="26"/>
  <c r="F22" i="26"/>
  <c r="F36" i="26"/>
  <c r="F34" i="26"/>
  <c r="F16" i="26"/>
  <c r="F29" i="26"/>
  <c r="N15" i="26"/>
  <c r="X16" i="26"/>
  <c r="J20" i="28"/>
  <c r="J18" i="28"/>
  <c r="J16" i="28"/>
  <c r="J33" i="28"/>
  <c r="J21" i="28"/>
  <c r="H18" i="28"/>
  <c r="J15" i="28"/>
  <c r="J22" i="28"/>
  <c r="J34" i="28"/>
  <c r="J24" i="28"/>
  <c r="J36" i="28"/>
  <c r="J25" i="28"/>
  <c r="N12" i="28"/>
  <c r="J29" i="28"/>
  <c r="J27" i="28"/>
  <c r="J31" i="28"/>
  <c r="X33" i="25"/>
  <c r="Z16" i="26"/>
  <c r="L29" i="26"/>
  <c r="L34" i="26"/>
  <c r="Z16" i="28"/>
  <c r="X13" i="29"/>
  <c r="Z24" i="29"/>
  <c r="V20" i="32"/>
  <c r="V18" i="32"/>
  <c r="V16" i="32"/>
  <c r="V36" i="32"/>
  <c r="V31" i="32"/>
  <c r="V25" i="32"/>
  <c r="V21" i="32"/>
  <c r="V33" i="32"/>
  <c r="V27" i="32"/>
  <c r="V15" i="32"/>
  <c r="V22" i="32"/>
  <c r="V34" i="32"/>
  <c r="V29" i="32"/>
  <c r="T18" i="32"/>
  <c r="Z12" i="32"/>
  <c r="V24" i="32"/>
  <c r="X15" i="38"/>
  <c r="Z15" i="38"/>
  <c r="F20" i="25"/>
  <c r="F18" i="25"/>
  <c r="F16" i="25"/>
  <c r="L12" i="25"/>
  <c r="F24" i="25"/>
  <c r="F22" i="25"/>
  <c r="F15" i="25"/>
  <c r="F36" i="25"/>
  <c r="F31" i="25"/>
  <c r="F25" i="25"/>
  <c r="F21" i="25"/>
  <c r="F34" i="25"/>
  <c r="F29" i="25"/>
  <c r="F33" i="25"/>
  <c r="D18" i="25"/>
  <c r="F27" i="25"/>
  <c r="X16" i="25"/>
  <c r="L20" i="25"/>
  <c r="V36" i="26"/>
  <c r="V34" i="26"/>
  <c r="V33" i="26"/>
  <c r="V31" i="26"/>
  <c r="V29" i="26"/>
  <c r="V27" i="26"/>
  <c r="V25" i="26"/>
  <c r="V20" i="26"/>
  <c r="V18" i="26"/>
  <c r="V16" i="26"/>
  <c r="Z12" i="26"/>
  <c r="V22" i="26"/>
  <c r="V15" i="26"/>
  <c r="T18" i="26"/>
  <c r="V24" i="26"/>
  <c r="V21" i="26"/>
  <c r="X15" i="26"/>
  <c r="Z25" i="26"/>
  <c r="N29" i="26"/>
  <c r="N34" i="26"/>
  <c r="Z15" i="29"/>
  <c r="N21" i="29"/>
  <c r="N33" i="29"/>
  <c r="L16" i="31"/>
  <c r="J20" i="25"/>
  <c r="J18" i="25"/>
  <c r="J16" i="25"/>
  <c r="J15" i="25"/>
  <c r="J36" i="25"/>
  <c r="J31" i="25"/>
  <c r="J25" i="25"/>
  <c r="J21" i="25"/>
  <c r="J33" i="25"/>
  <c r="J27" i="25"/>
  <c r="J22" i="25"/>
  <c r="J24" i="25"/>
  <c r="N12" i="25"/>
  <c r="H18" i="25"/>
  <c r="J29" i="25"/>
  <c r="J34" i="25"/>
  <c r="N20" i="25"/>
  <c r="X21" i="25"/>
  <c r="L24" i="25"/>
  <c r="X20" i="26"/>
  <c r="X13" i="28"/>
  <c r="Z25" i="29"/>
  <c r="L13" i="25"/>
  <c r="N21" i="25"/>
  <c r="L25" i="25"/>
  <c r="L29" i="25"/>
  <c r="L33" i="25"/>
  <c r="L34" i="25"/>
  <c r="N16" i="26"/>
  <c r="N20" i="26"/>
  <c r="L22" i="26"/>
  <c r="L24" i="26"/>
  <c r="X15" i="28"/>
  <c r="X21" i="28"/>
  <c r="Z22" i="28"/>
  <c r="N29" i="28"/>
  <c r="N13" i="29"/>
  <c r="L21" i="29"/>
  <c r="N22" i="29"/>
  <c r="X25" i="29"/>
  <c r="Z25" i="31"/>
  <c r="L22" i="32"/>
  <c r="X25" i="34"/>
  <c r="L24" i="28"/>
  <c r="N25" i="28"/>
  <c r="L12" i="29"/>
  <c r="F21" i="29"/>
  <c r="F34" i="29"/>
  <c r="F24" i="29"/>
  <c r="F36" i="29"/>
  <c r="F25" i="29"/>
  <c r="F15" i="29"/>
  <c r="F27" i="29"/>
  <c r="F16" i="29"/>
  <c r="F29" i="29"/>
  <c r="F18" i="29"/>
  <c r="F33" i="29"/>
  <c r="F31" i="29"/>
  <c r="F20" i="29"/>
  <c r="F22" i="29"/>
  <c r="D18" i="29"/>
  <c r="X33" i="29"/>
  <c r="Z34" i="29"/>
  <c r="Z29" i="31"/>
  <c r="N15" i="32"/>
  <c r="Z13" i="25"/>
  <c r="Z16" i="25"/>
  <c r="Z20" i="25"/>
  <c r="X22" i="25"/>
  <c r="X24" i="25"/>
  <c r="N12" i="26"/>
  <c r="J36" i="26"/>
  <c r="J34" i="26"/>
  <c r="H18" i="26"/>
  <c r="J15" i="26"/>
  <c r="J29" i="26"/>
  <c r="J24" i="26"/>
  <c r="J20" i="26"/>
  <c r="J31" i="26"/>
  <c r="J25" i="26"/>
  <c r="J21" i="26"/>
  <c r="J18" i="26"/>
  <c r="J27" i="26"/>
  <c r="J33" i="26"/>
  <c r="J16" i="26"/>
  <c r="J22" i="26"/>
  <c r="X13" i="26"/>
  <c r="Z15" i="26"/>
  <c r="X21" i="26"/>
  <c r="R24" i="28"/>
  <c r="R22" i="28"/>
  <c r="R34" i="28"/>
  <c r="R36" i="28"/>
  <c r="R25" i="28"/>
  <c r="X12" i="28"/>
  <c r="R27" i="28"/>
  <c r="R29" i="28"/>
  <c r="R33" i="28"/>
  <c r="R18" i="28"/>
  <c r="P18" i="28"/>
  <c r="R16" i="28"/>
  <c r="R21" i="28"/>
  <c r="R20" i="28"/>
  <c r="R31" i="28"/>
  <c r="R15" i="28"/>
  <c r="N24" i="28"/>
  <c r="Z29" i="28"/>
  <c r="H18" i="29"/>
  <c r="J15" i="29"/>
  <c r="J36" i="29"/>
  <c r="J25" i="29"/>
  <c r="J27" i="29"/>
  <c r="J16" i="29"/>
  <c r="J29" i="29"/>
  <c r="N12" i="29"/>
  <c r="J18" i="29"/>
  <c r="J31" i="29"/>
  <c r="J34" i="29"/>
  <c r="J33" i="29"/>
  <c r="J21" i="29"/>
  <c r="J20" i="29"/>
  <c r="J24" i="29"/>
  <c r="J22" i="29"/>
  <c r="L16" i="29"/>
  <c r="X21" i="29"/>
  <c r="Z22" i="29"/>
  <c r="N29" i="29"/>
  <c r="V21" i="31"/>
  <c r="V20" i="31"/>
  <c r="V18" i="31"/>
  <c r="V16" i="31"/>
  <c r="T18" i="31"/>
  <c r="V15" i="31"/>
  <c r="Z12" i="31"/>
  <c r="V24" i="31"/>
  <c r="V33" i="31"/>
  <c r="V22" i="31"/>
  <c r="V31" i="31"/>
  <c r="V29" i="31"/>
  <c r="V36" i="31"/>
  <c r="V34" i="31"/>
  <c r="V27" i="31"/>
  <c r="V25" i="31"/>
  <c r="V20" i="28"/>
  <c r="V36" i="28"/>
  <c r="V25" i="28"/>
  <c r="V27" i="28"/>
  <c r="Z12" i="28"/>
  <c r="V29" i="28"/>
  <c r="V31" i="28"/>
  <c r="V18" i="28"/>
  <c r="V16" i="28"/>
  <c r="V34" i="28"/>
  <c r="V22" i="28"/>
  <c r="V33" i="28"/>
  <c r="V21" i="28"/>
  <c r="V24" i="28"/>
  <c r="T18" i="28"/>
  <c r="V15" i="28"/>
  <c r="L15" i="28"/>
  <c r="L22" i="28"/>
  <c r="N34" i="28"/>
  <c r="L15" i="29"/>
  <c r="X20" i="29"/>
  <c r="Z21" i="29"/>
  <c r="Z33" i="29"/>
  <c r="N15" i="34"/>
  <c r="R36" i="25"/>
  <c r="R34" i="25"/>
  <c r="R33" i="25"/>
  <c r="R31" i="25"/>
  <c r="R29" i="25"/>
  <c r="R27" i="25"/>
  <c r="R25" i="25"/>
  <c r="R21" i="25"/>
  <c r="R16" i="25"/>
  <c r="R22" i="25"/>
  <c r="R18" i="25"/>
  <c r="P18" i="25"/>
  <c r="R24" i="25"/>
  <c r="R15" i="25"/>
  <c r="R20" i="25"/>
  <c r="X12" i="25"/>
  <c r="Z22" i="25"/>
  <c r="Z24" i="25"/>
  <c r="Z21" i="26"/>
  <c r="X25" i="26"/>
  <c r="X29" i="26"/>
  <c r="X33" i="26"/>
  <c r="X34" i="26"/>
  <c r="L16" i="28"/>
  <c r="L20" i="28"/>
  <c r="L21" i="28"/>
  <c r="N22" i="28"/>
  <c r="R21" i="29"/>
  <c r="R29" i="29"/>
  <c r="R18" i="29"/>
  <c r="X12" i="29"/>
  <c r="P18" i="29"/>
  <c r="R31" i="29"/>
  <c r="R20" i="29"/>
  <c r="R33" i="29"/>
  <c r="R22" i="29"/>
  <c r="R15" i="29"/>
  <c r="R25" i="29"/>
  <c r="R24" i="29"/>
  <c r="R36" i="29"/>
  <c r="R27" i="29"/>
  <c r="R16" i="29"/>
  <c r="R34" i="29"/>
  <c r="L25" i="29"/>
  <c r="Z29" i="32"/>
  <c r="L16" i="35"/>
  <c r="N15" i="28"/>
  <c r="N33" i="28"/>
  <c r="T18" i="29"/>
  <c r="V15" i="29"/>
  <c r="V18" i="29"/>
  <c r="Z12" i="29"/>
  <c r="V31" i="29"/>
  <c r="V20" i="29"/>
  <c r="V33" i="29"/>
  <c r="V21" i="29"/>
  <c r="V22" i="29"/>
  <c r="V34" i="29"/>
  <c r="V24" i="29"/>
  <c r="V16" i="29"/>
  <c r="V36" i="29"/>
  <c r="V29" i="29"/>
  <c r="V25" i="29"/>
  <c r="V27" i="29"/>
  <c r="N15" i="29"/>
  <c r="X29" i="29"/>
  <c r="L15" i="31"/>
  <c r="Z33" i="31"/>
  <c r="N16" i="28"/>
  <c r="N20" i="28"/>
  <c r="X24" i="28"/>
  <c r="Z25" i="28"/>
  <c r="N25" i="29"/>
  <c r="L34" i="29"/>
  <c r="N33" i="32"/>
  <c r="L21" i="37"/>
  <c r="N15" i="25"/>
  <c r="L21" i="25"/>
  <c r="L16" i="26"/>
  <c r="L20" i="26"/>
  <c r="L13" i="28"/>
  <c r="Z24" i="28"/>
  <c r="X16" i="29"/>
  <c r="N24" i="29"/>
  <c r="Z29" i="29"/>
  <c r="Z34" i="31"/>
  <c r="N21" i="37"/>
  <c r="X25" i="40"/>
  <c r="N21" i="28"/>
  <c r="L25" i="28"/>
  <c r="L29" i="28"/>
  <c r="L33" i="28"/>
  <c r="L34" i="28"/>
  <c r="N16" i="29"/>
  <c r="N20" i="29"/>
  <c r="L22" i="29"/>
  <c r="L24" i="29"/>
  <c r="N15" i="31"/>
  <c r="L21" i="31"/>
  <c r="X16" i="32"/>
  <c r="L33" i="34"/>
  <c r="N16" i="35"/>
  <c r="N21" i="35"/>
  <c r="L34" i="35"/>
  <c r="X29" i="38"/>
  <c r="Z22" i="50"/>
  <c r="N16" i="31"/>
  <c r="N20" i="31"/>
  <c r="L22" i="31"/>
  <c r="L24" i="31"/>
  <c r="X15" i="32"/>
  <c r="L21" i="32"/>
  <c r="X22" i="32"/>
  <c r="N22" i="34"/>
  <c r="L13" i="37"/>
  <c r="L33" i="37"/>
  <c r="Z29" i="38"/>
  <c r="L13" i="31"/>
  <c r="N21" i="31"/>
  <c r="L25" i="31"/>
  <c r="L29" i="31"/>
  <c r="L33" i="31"/>
  <c r="L34" i="31"/>
  <c r="L13" i="32"/>
  <c r="Z16" i="32"/>
  <c r="Z22" i="32"/>
  <c r="X33" i="34"/>
  <c r="Z16" i="35"/>
  <c r="L22" i="35"/>
  <c r="N15" i="37"/>
  <c r="L20" i="38"/>
  <c r="Z20" i="41"/>
  <c r="N13" i="31"/>
  <c r="N22" i="31"/>
  <c r="N24" i="31"/>
  <c r="Z15" i="32"/>
  <c r="L20" i="32"/>
  <c r="N25" i="32"/>
  <c r="Z33" i="32"/>
  <c r="L29" i="35"/>
  <c r="L34" i="37"/>
  <c r="N20" i="38"/>
  <c r="X15" i="31"/>
  <c r="N25" i="31"/>
  <c r="N29" i="31"/>
  <c r="N33" i="31"/>
  <c r="N34" i="31"/>
  <c r="X21" i="32"/>
  <c r="X12" i="34"/>
  <c r="R36" i="34"/>
  <c r="R34" i="34"/>
  <c r="R33" i="34"/>
  <c r="R31" i="34"/>
  <c r="R29" i="34"/>
  <c r="R27" i="34"/>
  <c r="R25" i="34"/>
  <c r="R21" i="34"/>
  <c r="R20" i="34"/>
  <c r="R18" i="34"/>
  <c r="R16" i="34"/>
  <c r="P18" i="34"/>
  <c r="R15" i="34"/>
  <c r="R24" i="34"/>
  <c r="R22" i="34"/>
  <c r="L29" i="34"/>
  <c r="L34" i="34"/>
  <c r="N34" i="38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F15" i="31"/>
  <c r="D18" i="31"/>
  <c r="X16" i="31"/>
  <c r="X20" i="31"/>
  <c r="X13" i="32"/>
  <c r="N20" i="32"/>
  <c r="N24" i="34"/>
  <c r="L13" i="35"/>
  <c r="L24" i="35"/>
  <c r="L25" i="37"/>
  <c r="X21" i="38"/>
  <c r="X34" i="38"/>
  <c r="Z21" i="28"/>
  <c r="X25" i="28"/>
  <c r="X29" i="28"/>
  <c r="X33" i="28"/>
  <c r="X34" i="28"/>
  <c r="Z13" i="29"/>
  <c r="Z16" i="29"/>
  <c r="Z20" i="29"/>
  <c r="X22" i="29"/>
  <c r="X2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15" i="32"/>
  <c r="F16" i="32"/>
  <c r="L12" i="32"/>
  <c r="F18" i="32"/>
  <c r="D18" i="32"/>
  <c r="F20" i="32"/>
  <c r="F21" i="32"/>
  <c r="Z13" i="32"/>
  <c r="L24" i="32"/>
  <c r="L13" i="34"/>
  <c r="L21" i="34"/>
  <c r="X29" i="34"/>
  <c r="X34" i="34"/>
  <c r="Z13" i="35"/>
  <c r="Z13" i="31"/>
  <c r="Z16" i="31"/>
  <c r="Z20" i="31"/>
  <c r="X22" i="31"/>
  <c r="X24" i="31"/>
  <c r="J21" i="32"/>
  <c r="J20" i="32"/>
  <c r="N12" i="32"/>
  <c r="J36" i="32"/>
  <c r="J34" i="32"/>
  <c r="J33" i="32"/>
  <c r="J31" i="32"/>
  <c r="J29" i="32"/>
  <c r="J27" i="32"/>
  <c r="J25" i="32"/>
  <c r="J18" i="32"/>
  <c r="J24" i="32"/>
  <c r="H18" i="32"/>
  <c r="J16" i="32"/>
  <c r="J15" i="32"/>
  <c r="J22" i="32"/>
  <c r="L16" i="32"/>
  <c r="X20" i="32"/>
  <c r="Z25" i="32"/>
  <c r="N29" i="32"/>
  <c r="N34" i="32"/>
  <c r="N13" i="34"/>
  <c r="N21" i="34"/>
  <c r="L20" i="35"/>
  <c r="Z21" i="31"/>
  <c r="X25" i="31"/>
  <c r="X29" i="31"/>
  <c r="X33" i="31"/>
  <c r="X34" i="31"/>
  <c r="L15" i="32"/>
  <c r="L25" i="34"/>
  <c r="N20" i="35"/>
  <c r="L13" i="38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R24" i="32"/>
  <c r="R22" i="32"/>
  <c r="R20" i="32"/>
  <c r="R36" i="32"/>
  <c r="R31" i="32"/>
  <c r="R25" i="32"/>
  <c r="R21" i="32"/>
  <c r="R33" i="32"/>
  <c r="R27" i="32"/>
  <c r="R15" i="32"/>
  <c r="R16" i="32"/>
  <c r="R34" i="32"/>
  <c r="R18" i="32"/>
  <c r="P18" i="32"/>
  <c r="R29" i="32"/>
  <c r="X12" i="32"/>
  <c r="N16" i="32"/>
  <c r="Z20" i="32"/>
  <c r="X24" i="32"/>
  <c r="Z21" i="34"/>
  <c r="L25" i="35"/>
  <c r="L33" i="35"/>
  <c r="L29" i="37"/>
  <c r="X20" i="40"/>
  <c r="N16" i="34"/>
  <c r="N20" i="34"/>
  <c r="L22" i="34"/>
  <c r="L24" i="34"/>
  <c r="N15" i="35"/>
  <c r="L21" i="35"/>
  <c r="N16" i="37"/>
  <c r="N20" i="37"/>
  <c r="L22" i="37"/>
  <c r="L24" i="37"/>
  <c r="Z22" i="38"/>
  <c r="Z13" i="44"/>
  <c r="N13" i="37"/>
  <c r="N22" i="37"/>
  <c r="N24" i="37"/>
  <c r="F36" i="38"/>
  <c r="F34" i="38"/>
  <c r="F33" i="38"/>
  <c r="F31" i="38"/>
  <c r="F29" i="38"/>
  <c r="F27" i="38"/>
  <c r="F25" i="38"/>
  <c r="F24" i="38"/>
  <c r="F22" i="38"/>
  <c r="F21" i="38"/>
  <c r="F15" i="38"/>
  <c r="F16" i="38"/>
  <c r="L12" i="38"/>
  <c r="F18" i="38"/>
  <c r="D18" i="38"/>
  <c r="F20" i="38"/>
  <c r="X13" i="38"/>
  <c r="Z21" i="38"/>
  <c r="N25" i="38"/>
  <c r="N33" i="38"/>
  <c r="Z13" i="40"/>
  <c r="Z20" i="40"/>
  <c r="N33" i="41"/>
  <c r="N21" i="44"/>
  <c r="Z21" i="32"/>
  <c r="X25" i="32"/>
  <c r="X29" i="32"/>
  <c r="X33" i="32"/>
  <c r="X34" i="32"/>
  <c r="X15" i="34"/>
  <c r="N25" i="34"/>
  <c r="N29" i="34"/>
  <c r="N33" i="34"/>
  <c r="N34" i="34"/>
  <c r="N13" i="35"/>
  <c r="N22" i="35"/>
  <c r="N24" i="35"/>
  <c r="X15" i="37"/>
  <c r="N25" i="37"/>
  <c r="N29" i="37"/>
  <c r="N33" i="37"/>
  <c r="J36" i="38"/>
  <c r="J34" i="38"/>
  <c r="J21" i="38"/>
  <c r="J20" i="38"/>
  <c r="J18" i="38"/>
  <c r="J16" i="38"/>
  <c r="J29" i="38"/>
  <c r="J15" i="38"/>
  <c r="J22" i="38"/>
  <c r="J31" i="38"/>
  <c r="J24" i="38"/>
  <c r="N12" i="38"/>
  <c r="H18" i="38"/>
  <c r="J33" i="38"/>
  <c r="J25" i="38"/>
  <c r="J27" i="38"/>
  <c r="Z13" i="38"/>
  <c r="X20" i="38"/>
  <c r="Z34" i="38"/>
  <c r="X29" i="40"/>
  <c r="Z13" i="41"/>
  <c r="X22" i="41"/>
  <c r="D18" i="34"/>
  <c r="F15" i="34"/>
  <c r="L12" i="34"/>
  <c r="F21" i="34"/>
  <c r="F36" i="34"/>
  <c r="F31" i="34"/>
  <c r="F25" i="34"/>
  <c r="F18" i="34"/>
  <c r="F34" i="34"/>
  <c r="F29" i="34"/>
  <c r="F24" i="34"/>
  <c r="F16" i="34"/>
  <c r="F33" i="34"/>
  <c r="F27" i="34"/>
  <c r="F20" i="34"/>
  <c r="F22" i="34"/>
  <c r="X16" i="34"/>
  <c r="X20" i="34"/>
  <c r="X15" i="35"/>
  <c r="N25" i="35"/>
  <c r="N29" i="35"/>
  <c r="N33" i="35"/>
  <c r="N34" i="35"/>
  <c r="D18" i="37"/>
  <c r="F15" i="37"/>
  <c r="L12" i="37"/>
  <c r="F34" i="37"/>
  <c r="F33" i="37"/>
  <c r="F31" i="37"/>
  <c r="F29" i="37"/>
  <c r="F27" i="37"/>
  <c r="F25" i="37"/>
  <c r="F21" i="37"/>
  <c r="F20" i="37"/>
  <c r="F18" i="37"/>
  <c r="F36" i="37"/>
  <c r="F16" i="37"/>
  <c r="F24" i="37"/>
  <c r="F22" i="37"/>
  <c r="X16" i="37"/>
  <c r="X20" i="37"/>
  <c r="L24" i="38"/>
  <c r="X15" i="41"/>
  <c r="N34" i="41"/>
  <c r="L29" i="44"/>
  <c r="J36" i="34"/>
  <c r="J34" i="34"/>
  <c r="J33" i="34"/>
  <c r="J31" i="34"/>
  <c r="J29" i="34"/>
  <c r="J27" i="34"/>
  <c r="J25" i="34"/>
  <c r="J24" i="34"/>
  <c r="J22" i="34"/>
  <c r="H18" i="34"/>
  <c r="J15" i="34"/>
  <c r="J18" i="34"/>
  <c r="J21" i="34"/>
  <c r="J16" i="34"/>
  <c r="N12" i="34"/>
  <c r="J20" i="34"/>
  <c r="X13" i="34"/>
  <c r="Z15" i="34"/>
  <c r="X21" i="34"/>
  <c r="F36" i="35"/>
  <c r="F34" i="35"/>
  <c r="F33" i="35"/>
  <c r="F31" i="35"/>
  <c r="F29" i="35"/>
  <c r="F27" i="35"/>
  <c r="F25" i="35"/>
  <c r="F20" i="35"/>
  <c r="F18" i="35"/>
  <c r="F16" i="35"/>
  <c r="F15" i="35"/>
  <c r="F24" i="35"/>
  <c r="F22" i="35"/>
  <c r="D18" i="35"/>
  <c r="L12" i="35"/>
  <c r="F21" i="35"/>
  <c r="X16" i="35"/>
  <c r="X20" i="35"/>
  <c r="N12" i="37"/>
  <c r="J33" i="37"/>
  <c r="J31" i="37"/>
  <c r="J29" i="37"/>
  <c r="J27" i="37"/>
  <c r="J25" i="37"/>
  <c r="J34" i="37"/>
  <c r="J24" i="37"/>
  <c r="J22" i="37"/>
  <c r="J36" i="37"/>
  <c r="J21" i="37"/>
  <c r="H18" i="37"/>
  <c r="J15" i="37"/>
  <c r="J20" i="37"/>
  <c r="J18" i="37"/>
  <c r="J16" i="37"/>
  <c r="X13" i="37"/>
  <c r="Z15" i="37"/>
  <c r="X21" i="37"/>
  <c r="L16" i="38"/>
  <c r="X25" i="38"/>
  <c r="X33" i="38"/>
  <c r="Z21" i="40"/>
  <c r="X24" i="41"/>
  <c r="X12" i="43"/>
  <c r="R21" i="43"/>
  <c r="R20" i="43"/>
  <c r="R18" i="43"/>
  <c r="R16" i="43"/>
  <c r="P18" i="43"/>
  <c r="R15" i="43"/>
  <c r="R34" i="43"/>
  <c r="R22" i="43"/>
  <c r="R25" i="43"/>
  <c r="R29" i="43"/>
  <c r="R33" i="43"/>
  <c r="R36" i="43"/>
  <c r="R24" i="43"/>
  <c r="R27" i="43"/>
  <c r="R31" i="43"/>
  <c r="L34" i="44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5" i="35"/>
  <c r="J18" i="35"/>
  <c r="H18" i="35"/>
  <c r="J16" i="35"/>
  <c r="X13" i="35"/>
  <c r="Z15" i="35"/>
  <c r="X21" i="35"/>
  <c r="Z13" i="37"/>
  <c r="Z16" i="37"/>
  <c r="Z20" i="37"/>
  <c r="X22" i="37"/>
  <c r="X24" i="37"/>
  <c r="X34" i="37"/>
  <c r="R21" i="38"/>
  <c r="R16" i="38"/>
  <c r="R36" i="38"/>
  <c r="R31" i="38"/>
  <c r="R24" i="38"/>
  <c r="X12" i="38"/>
  <c r="R18" i="38"/>
  <c r="R33" i="38"/>
  <c r="R25" i="38"/>
  <c r="P18" i="38"/>
  <c r="R20" i="38"/>
  <c r="R27" i="38"/>
  <c r="R34" i="38"/>
  <c r="R29" i="38"/>
  <c r="R15" i="38"/>
  <c r="R22" i="38"/>
  <c r="L15" i="38"/>
  <c r="N25" i="41"/>
  <c r="Z20" i="35"/>
  <c r="X22" i="35"/>
  <c r="X24" i="35"/>
  <c r="Z21" i="37"/>
  <c r="X25" i="37"/>
  <c r="X29" i="37"/>
  <c r="X33" i="37"/>
  <c r="T18" i="38"/>
  <c r="V15" i="38"/>
  <c r="V24" i="38"/>
  <c r="Z12" i="38"/>
  <c r="V33" i="38"/>
  <c r="V25" i="38"/>
  <c r="V18" i="38"/>
  <c r="V27" i="38"/>
  <c r="V20" i="38"/>
  <c r="V34" i="38"/>
  <c r="V21" i="38"/>
  <c r="V29" i="38"/>
  <c r="V22" i="38"/>
  <c r="V36" i="38"/>
  <c r="V31" i="38"/>
  <c r="V16" i="38"/>
  <c r="N16" i="38"/>
  <c r="L22" i="38"/>
  <c r="Z25" i="38"/>
  <c r="Z33" i="38"/>
  <c r="X16" i="40"/>
  <c r="X33" i="40"/>
  <c r="Z16" i="41"/>
  <c r="L34" i="46"/>
  <c r="Z22" i="34"/>
  <c r="Z24" i="34"/>
  <c r="Z21" i="35"/>
  <c r="X25" i="35"/>
  <c r="X29" i="35"/>
  <c r="X33" i="35"/>
  <c r="X34" i="35"/>
  <c r="X12" i="37"/>
  <c r="R33" i="37"/>
  <c r="R31" i="37"/>
  <c r="R29" i="37"/>
  <c r="R27" i="37"/>
  <c r="R25" i="37"/>
  <c r="R34" i="37"/>
  <c r="R24" i="37"/>
  <c r="R22" i="37"/>
  <c r="R36" i="37"/>
  <c r="R21" i="37"/>
  <c r="R20" i="37"/>
  <c r="R18" i="37"/>
  <c r="R16" i="37"/>
  <c r="P18" i="37"/>
  <c r="R15" i="37"/>
  <c r="Z22" i="37"/>
  <c r="Z24" i="37"/>
  <c r="Z34" i="37"/>
  <c r="N15" i="38"/>
  <c r="N29" i="38"/>
  <c r="Z16" i="40"/>
  <c r="L24" i="43"/>
  <c r="N21" i="32"/>
  <c r="L25" i="32"/>
  <c r="L29" i="32"/>
  <c r="L33" i="32"/>
  <c r="L34" i="32"/>
  <c r="V36" i="34"/>
  <c r="V34" i="34"/>
  <c r="V33" i="34"/>
  <c r="V31" i="34"/>
  <c r="V29" i="34"/>
  <c r="V27" i="34"/>
  <c r="V25" i="34"/>
  <c r="V24" i="34"/>
  <c r="V22" i="34"/>
  <c r="T18" i="34"/>
  <c r="V15" i="34"/>
  <c r="V16" i="34"/>
  <c r="Z12" i="34"/>
  <c r="V20" i="34"/>
  <c r="V21" i="34"/>
  <c r="V18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V33" i="37"/>
  <c r="V31" i="37"/>
  <c r="V29" i="37"/>
  <c r="V27" i="37"/>
  <c r="V25" i="37"/>
  <c r="V34" i="37"/>
  <c r="V24" i="37"/>
  <c r="V22" i="37"/>
  <c r="V36" i="37"/>
  <c r="V21" i="37"/>
  <c r="V20" i="37"/>
  <c r="V18" i="37"/>
  <c r="V16" i="37"/>
  <c r="T18" i="37"/>
  <c r="V15" i="37"/>
  <c r="Z12" i="37"/>
  <c r="L15" i="37"/>
  <c r="Z25" i="37"/>
  <c r="Z29" i="37"/>
  <c r="Z33" i="37"/>
  <c r="X16" i="38"/>
  <c r="L21" i="38"/>
  <c r="Z24" i="38"/>
  <c r="X34" i="40"/>
  <c r="Z33" i="47"/>
  <c r="N13" i="32"/>
  <c r="N22" i="32"/>
  <c r="N24" i="32"/>
  <c r="L16" i="34"/>
  <c r="L20" i="34"/>
  <c r="V24" i="35"/>
  <c r="V22" i="35"/>
  <c r="V21" i="35"/>
  <c r="V20" i="35"/>
  <c r="V18" i="35"/>
  <c r="V16" i="35"/>
  <c r="Z12" i="35"/>
  <c r="V31" i="35"/>
  <c r="T18" i="35"/>
  <c r="V36" i="35"/>
  <c r="V29" i="35"/>
  <c r="V34" i="35"/>
  <c r="V27" i="35"/>
  <c r="V25" i="35"/>
  <c r="V15" i="35"/>
  <c r="V33" i="35"/>
  <c r="L15" i="35"/>
  <c r="Z25" i="35"/>
  <c r="Z29" i="35"/>
  <c r="Z33" i="35"/>
  <c r="Z34" i="35"/>
  <c r="L16" i="37"/>
  <c r="L20" i="37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N29" i="41"/>
  <c r="J24" i="40"/>
  <c r="J22" i="40"/>
  <c r="J21" i="40"/>
  <c r="J20" i="40"/>
  <c r="J18" i="40"/>
  <c r="J16" i="40"/>
  <c r="H18" i="40"/>
  <c r="J15" i="40"/>
  <c r="J36" i="40"/>
  <c r="J25" i="40"/>
  <c r="J34" i="40"/>
  <c r="J33" i="40"/>
  <c r="J31" i="40"/>
  <c r="J29" i="40"/>
  <c r="J27" i="40"/>
  <c r="N12" i="40"/>
  <c r="X13" i="40"/>
  <c r="Z15" i="40"/>
  <c r="X21" i="40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X16" i="41"/>
  <c r="X20" i="41"/>
  <c r="X29" i="44"/>
  <c r="X34" i="44"/>
  <c r="V24" i="46"/>
  <c r="V22" i="46"/>
  <c r="V31" i="46"/>
  <c r="V20" i="46"/>
  <c r="T18" i="46"/>
  <c r="V15" i="46"/>
  <c r="V21" i="46"/>
  <c r="V33" i="46"/>
  <c r="V34" i="46"/>
  <c r="V36" i="46"/>
  <c r="V25" i="46"/>
  <c r="Z12" i="46"/>
  <c r="V27" i="46"/>
  <c r="V29" i="46"/>
  <c r="V18" i="46"/>
  <c r="V16" i="46"/>
  <c r="N33" i="52"/>
  <c r="X22" i="40"/>
  <c r="X24" i="40"/>
  <c r="J21" i="41"/>
  <c r="J20" i="41"/>
  <c r="J18" i="41"/>
  <c r="J16" i="41"/>
  <c r="H18" i="41"/>
  <c r="J15" i="41"/>
  <c r="N12" i="41"/>
  <c r="J36" i="41"/>
  <c r="J34" i="41"/>
  <c r="J33" i="41"/>
  <c r="J31" i="41"/>
  <c r="J29" i="41"/>
  <c r="J27" i="41"/>
  <c r="J25" i="41"/>
  <c r="J24" i="41"/>
  <c r="J22" i="41"/>
  <c r="X13" i="41"/>
  <c r="Z15" i="41"/>
  <c r="X21" i="41"/>
  <c r="L13" i="43"/>
  <c r="N24" i="43"/>
  <c r="L33" i="43"/>
  <c r="N15" i="44"/>
  <c r="Z21" i="44"/>
  <c r="Z29" i="49"/>
  <c r="N34" i="52"/>
  <c r="N13" i="43"/>
  <c r="N21" i="43"/>
  <c r="L25" i="44"/>
  <c r="L15" i="46"/>
  <c r="Z33" i="49"/>
  <c r="X12" i="40"/>
  <c r="R36" i="40"/>
  <c r="R34" i="40"/>
  <c r="R33" i="40"/>
  <c r="R31" i="40"/>
  <c r="R29" i="40"/>
  <c r="R27" i="40"/>
  <c r="R25" i="40"/>
  <c r="R21" i="40"/>
  <c r="R20" i="40"/>
  <c r="R18" i="40"/>
  <c r="R16" i="40"/>
  <c r="P18" i="40"/>
  <c r="R24" i="40"/>
  <c r="R22" i="40"/>
  <c r="R15" i="40"/>
  <c r="Z22" i="40"/>
  <c r="Z24" i="40"/>
  <c r="Z21" i="41"/>
  <c r="X25" i="41"/>
  <c r="X29" i="41"/>
  <c r="X33" i="41"/>
  <c r="X34" i="41"/>
  <c r="Z24" i="43"/>
  <c r="L29" i="43"/>
  <c r="X33" i="43"/>
  <c r="L22" i="44"/>
  <c r="J20" i="47"/>
  <c r="J18" i="47"/>
  <c r="J16" i="47"/>
  <c r="J33" i="47"/>
  <c r="J27" i="47"/>
  <c r="J21" i="47"/>
  <c r="J22" i="47"/>
  <c r="J34" i="47"/>
  <c r="J29" i="47"/>
  <c r="J24" i="47"/>
  <c r="J15" i="47"/>
  <c r="J36" i="47"/>
  <c r="J31" i="47"/>
  <c r="J25" i="47"/>
  <c r="H18" i="47"/>
  <c r="N12" i="47"/>
  <c r="N21" i="38"/>
  <c r="L25" i="38"/>
  <c r="L29" i="38"/>
  <c r="L33" i="38"/>
  <c r="L34" i="38"/>
  <c r="Z12" i="40"/>
  <c r="V36" i="40"/>
  <c r="V34" i="40"/>
  <c r="V33" i="40"/>
  <c r="V31" i="40"/>
  <c r="V29" i="40"/>
  <c r="V27" i="40"/>
  <c r="V25" i="40"/>
  <c r="V24" i="40"/>
  <c r="V22" i="40"/>
  <c r="V21" i="40"/>
  <c r="V16" i="40"/>
  <c r="V15" i="40"/>
  <c r="V20" i="40"/>
  <c r="V18" i="40"/>
  <c r="T18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0" i="41"/>
  <c r="R18" i="41"/>
  <c r="R16" i="41"/>
  <c r="P18" i="41"/>
  <c r="R15" i="41"/>
  <c r="R21" i="41"/>
  <c r="Z22" i="41"/>
  <c r="Z24" i="41"/>
  <c r="Z21" i="43"/>
  <c r="X25" i="44"/>
  <c r="L24" i="47"/>
  <c r="N34" i="37"/>
  <c r="N13" i="38"/>
  <c r="N22" i="38"/>
  <c r="N24" i="38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L25" i="43"/>
  <c r="X29" i="43"/>
  <c r="N20" i="44"/>
  <c r="X22" i="44"/>
  <c r="N25" i="47"/>
  <c r="L16" i="49"/>
  <c r="N12" i="50"/>
  <c r="J24" i="50"/>
  <c r="J22" i="50"/>
  <c r="J21" i="50"/>
  <c r="J20" i="50"/>
  <c r="J18" i="50"/>
  <c r="J16" i="50"/>
  <c r="H18" i="50"/>
  <c r="J15" i="50"/>
  <c r="J34" i="50"/>
  <c r="J25" i="50"/>
  <c r="J29" i="50"/>
  <c r="J33" i="50"/>
  <c r="J36" i="50"/>
  <c r="J27" i="50"/>
  <c r="J31" i="50"/>
  <c r="Z34" i="50"/>
  <c r="N15" i="40"/>
  <c r="L21" i="40"/>
  <c r="L16" i="41"/>
  <c r="L20" i="41"/>
  <c r="L22" i="43"/>
  <c r="L34" i="43"/>
  <c r="Z15" i="50"/>
  <c r="N16" i="40"/>
  <c r="N20" i="40"/>
  <c r="L22" i="40"/>
  <c r="L24" i="40"/>
  <c r="N15" i="41"/>
  <c r="L21" i="41"/>
  <c r="X25" i="43"/>
  <c r="N16" i="44"/>
  <c r="Z20" i="44"/>
  <c r="L33" i="44"/>
  <c r="L16" i="47"/>
  <c r="L20" i="49"/>
  <c r="L13" i="40"/>
  <c r="N21" i="40"/>
  <c r="L25" i="40"/>
  <c r="L29" i="40"/>
  <c r="L33" i="40"/>
  <c r="L34" i="40"/>
  <c r="N16" i="41"/>
  <c r="N20" i="41"/>
  <c r="L22" i="41"/>
  <c r="L24" i="41"/>
  <c r="N20" i="43"/>
  <c r="N22" i="43"/>
  <c r="X34" i="43"/>
  <c r="L24" i="44"/>
  <c r="X33" i="44"/>
  <c r="N16" i="47"/>
  <c r="Z16" i="38"/>
  <c r="Z20" i="38"/>
  <c r="X22" i="38"/>
  <c r="X24" i="38"/>
  <c r="N13" i="40"/>
  <c r="N22" i="40"/>
  <c r="N24" i="40"/>
  <c r="L13" i="41"/>
  <c r="N21" i="41"/>
  <c r="L25" i="41"/>
  <c r="L29" i="41"/>
  <c r="L33" i="41"/>
  <c r="L34" i="41"/>
  <c r="Z16" i="44"/>
  <c r="L21" i="44"/>
  <c r="X20" i="50"/>
  <c r="X15" i="52"/>
  <c r="X15" i="40"/>
  <c r="N25" i="40"/>
  <c r="N29" i="40"/>
  <c r="N33" i="40"/>
  <c r="N34" i="40"/>
  <c r="N13" i="41"/>
  <c r="N22" i="41"/>
  <c r="N24" i="41"/>
  <c r="N16" i="43"/>
  <c r="Z22" i="43"/>
  <c r="L13" i="44"/>
  <c r="X24" i="44"/>
  <c r="L21" i="46"/>
  <c r="L33" i="46"/>
  <c r="R31" i="46"/>
  <c r="R18" i="46"/>
  <c r="R16" i="46"/>
  <c r="R20" i="46"/>
  <c r="P18" i="46"/>
  <c r="R15" i="46"/>
  <c r="R33" i="46"/>
  <c r="R21" i="46"/>
  <c r="R22" i="46"/>
  <c r="R34" i="46"/>
  <c r="R24" i="46"/>
  <c r="R36" i="46"/>
  <c r="R25" i="46"/>
  <c r="X12" i="46"/>
  <c r="R29" i="46"/>
  <c r="R27" i="46"/>
  <c r="L22" i="46"/>
  <c r="N34" i="46"/>
  <c r="L15" i="47"/>
  <c r="X20" i="47"/>
  <c r="Z21" i="47"/>
  <c r="V21" i="49"/>
  <c r="V20" i="49"/>
  <c r="V18" i="49"/>
  <c r="V16" i="49"/>
  <c r="Z12" i="49"/>
  <c r="V36" i="49"/>
  <c r="V24" i="49"/>
  <c r="V27" i="49"/>
  <c r="V31" i="49"/>
  <c r="V34" i="49"/>
  <c r="V22" i="49"/>
  <c r="V25" i="49"/>
  <c r="V29" i="49"/>
  <c r="V33" i="49"/>
  <c r="T18" i="49"/>
  <c r="V15" i="49"/>
  <c r="L12" i="50"/>
  <c r="F36" i="50"/>
  <c r="F34" i="50"/>
  <c r="F33" i="50"/>
  <c r="F31" i="50"/>
  <c r="F29" i="50"/>
  <c r="F27" i="50"/>
  <c r="F25" i="50"/>
  <c r="F24" i="50"/>
  <c r="F22" i="50"/>
  <c r="F21" i="50"/>
  <c r="D18" i="50"/>
  <c r="F15" i="50"/>
  <c r="F18" i="50"/>
  <c r="F16" i="50"/>
  <c r="F20" i="50"/>
  <c r="Z25" i="50"/>
  <c r="X13" i="52"/>
  <c r="X16" i="53"/>
  <c r="X15" i="43"/>
  <c r="N25" i="43"/>
  <c r="N29" i="43"/>
  <c r="N33" i="43"/>
  <c r="N34" i="43"/>
  <c r="N13" i="44"/>
  <c r="N22" i="44"/>
  <c r="N24" i="44"/>
  <c r="L16" i="46"/>
  <c r="L20" i="46"/>
  <c r="X25" i="46"/>
  <c r="N33" i="46"/>
  <c r="V21" i="47"/>
  <c r="V22" i="47"/>
  <c r="V34" i="47"/>
  <c r="V29" i="47"/>
  <c r="V15" i="47"/>
  <c r="V24" i="47"/>
  <c r="V16" i="47"/>
  <c r="V18" i="47"/>
  <c r="V36" i="47"/>
  <c r="V31" i="47"/>
  <c r="V25" i="47"/>
  <c r="T18" i="47"/>
  <c r="Z12" i="47"/>
  <c r="V20" i="47"/>
  <c r="V33" i="47"/>
  <c r="V27" i="47"/>
  <c r="N15" i="47"/>
  <c r="Z20" i="47"/>
  <c r="N24" i="47"/>
  <c r="X25" i="47"/>
  <c r="N16" i="49"/>
  <c r="N20" i="49"/>
  <c r="L22" i="49"/>
  <c r="R24" i="50"/>
  <c r="R22" i="50"/>
  <c r="R21" i="50"/>
  <c r="X12" i="50"/>
  <c r="R15" i="50"/>
  <c r="R29" i="50"/>
  <c r="R18" i="50"/>
  <c r="P18" i="50"/>
  <c r="R33" i="50"/>
  <c r="R36" i="50"/>
  <c r="R27" i="50"/>
  <c r="R16" i="50"/>
  <c r="R31" i="50"/>
  <c r="R20" i="50"/>
  <c r="R34" i="50"/>
  <c r="R25" i="50"/>
  <c r="Z15" i="52"/>
  <c r="F20" i="43"/>
  <c r="F18" i="43"/>
  <c r="F16" i="43"/>
  <c r="D18" i="43"/>
  <c r="F15" i="43"/>
  <c r="L12" i="43"/>
  <c r="F31" i="43"/>
  <c r="F34" i="43"/>
  <c r="F22" i="43"/>
  <c r="F25" i="43"/>
  <c r="F29" i="43"/>
  <c r="F33" i="43"/>
  <c r="F21" i="43"/>
  <c r="F36" i="43"/>
  <c r="F24" i="43"/>
  <c r="F27" i="43"/>
  <c r="X16" i="43"/>
  <c r="X20" i="43"/>
  <c r="X15" i="44"/>
  <c r="N25" i="44"/>
  <c r="N29" i="44"/>
  <c r="N33" i="44"/>
  <c r="N34" i="44"/>
  <c r="N15" i="46"/>
  <c r="N21" i="46"/>
  <c r="X24" i="46"/>
  <c r="Z25" i="47"/>
  <c r="N29" i="47"/>
  <c r="N34" i="47"/>
  <c r="L13" i="49"/>
  <c r="Z25" i="49"/>
  <c r="V20" i="50"/>
  <c r="V18" i="50"/>
  <c r="V16" i="50"/>
  <c r="T18" i="50"/>
  <c r="V15" i="50"/>
  <c r="V36" i="50"/>
  <c r="V34" i="50"/>
  <c r="V33" i="50"/>
  <c r="V31" i="50"/>
  <c r="V29" i="50"/>
  <c r="V27" i="50"/>
  <c r="V25" i="50"/>
  <c r="V21" i="50"/>
  <c r="V24" i="50"/>
  <c r="Z12" i="50"/>
  <c r="V22" i="50"/>
  <c r="X16" i="50"/>
  <c r="N25" i="52"/>
  <c r="J36" i="43"/>
  <c r="J34" i="43"/>
  <c r="J33" i="43"/>
  <c r="J31" i="43"/>
  <c r="J29" i="43"/>
  <c r="J27" i="43"/>
  <c r="J25" i="43"/>
  <c r="J24" i="43"/>
  <c r="J22" i="43"/>
  <c r="N12" i="43"/>
  <c r="J20" i="43"/>
  <c r="J15" i="43"/>
  <c r="J18" i="43"/>
  <c r="J21" i="43"/>
  <c r="H18" i="43"/>
  <c r="J16" i="43"/>
  <c r="X13" i="43"/>
  <c r="Z15" i="43"/>
  <c r="X21" i="43"/>
  <c r="D18" i="44"/>
  <c r="F15" i="44"/>
  <c r="F36" i="44"/>
  <c r="F34" i="44"/>
  <c r="F33" i="44"/>
  <c r="F31" i="44"/>
  <c r="F29" i="44"/>
  <c r="F27" i="44"/>
  <c r="F25" i="44"/>
  <c r="F21" i="44"/>
  <c r="F24" i="44"/>
  <c r="F16" i="44"/>
  <c r="L12" i="44"/>
  <c r="F22" i="44"/>
  <c r="F20" i="44"/>
  <c r="F18" i="44"/>
  <c r="X16" i="44"/>
  <c r="X20" i="44"/>
  <c r="N16" i="46"/>
  <c r="N20" i="46"/>
  <c r="X34" i="46"/>
  <c r="X16" i="47"/>
  <c r="L22" i="47"/>
  <c r="X13" i="49"/>
  <c r="X22" i="49"/>
  <c r="Z34" i="49"/>
  <c r="X20" i="53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J21" i="44"/>
  <c r="J16" i="44"/>
  <c r="N12" i="44"/>
  <c r="J20" i="44"/>
  <c r="J15" i="44"/>
  <c r="J18" i="44"/>
  <c r="H18" i="44"/>
  <c r="X13" i="44"/>
  <c r="Z15" i="44"/>
  <c r="X21" i="44"/>
  <c r="L13" i="46"/>
  <c r="X22" i="46"/>
  <c r="Z24" i="46"/>
  <c r="L29" i="46"/>
  <c r="X15" i="47"/>
  <c r="N22" i="47"/>
  <c r="X24" i="47"/>
  <c r="Z13" i="49"/>
  <c r="Z16" i="49"/>
  <c r="Z20" i="49"/>
  <c r="L21" i="50"/>
  <c r="N13" i="46"/>
  <c r="X21" i="46"/>
  <c r="N29" i="46"/>
  <c r="X33" i="46"/>
  <c r="N13" i="47"/>
  <c r="Z16" i="47"/>
  <c r="L21" i="47"/>
  <c r="X29" i="47"/>
  <c r="X34" i="47"/>
  <c r="L15" i="49"/>
  <c r="X13" i="50"/>
  <c r="Z24" i="50"/>
  <c r="F24" i="53"/>
  <c r="F22" i="53"/>
  <c r="F21" i="53"/>
  <c r="F20" i="53"/>
  <c r="F18" i="53"/>
  <c r="F16" i="53"/>
  <c r="D18" i="53"/>
  <c r="F15" i="53"/>
  <c r="L12" i="53"/>
  <c r="F34" i="53"/>
  <c r="F33" i="53"/>
  <c r="F31" i="53"/>
  <c r="F29" i="53"/>
  <c r="F36" i="53"/>
  <c r="F27" i="53"/>
  <c r="F25" i="53"/>
  <c r="X15" i="46"/>
  <c r="X20" i="46"/>
  <c r="Z22" i="46"/>
  <c r="Z15" i="47"/>
  <c r="L20" i="47"/>
  <c r="Z29" i="47"/>
  <c r="N33" i="47"/>
  <c r="Z34" i="47"/>
  <c r="L24" i="49"/>
  <c r="X21" i="50"/>
  <c r="N29" i="52"/>
  <c r="N13" i="53"/>
  <c r="N22" i="53"/>
  <c r="Z12" i="43"/>
  <c r="V36" i="43"/>
  <c r="V34" i="43"/>
  <c r="V33" i="43"/>
  <c r="V31" i="43"/>
  <c r="V29" i="43"/>
  <c r="V27" i="43"/>
  <c r="V25" i="43"/>
  <c r="V24" i="43"/>
  <c r="V22" i="43"/>
  <c r="T18" i="43"/>
  <c r="V15" i="43"/>
  <c r="V18" i="43"/>
  <c r="V21" i="43"/>
  <c r="V16" i="43"/>
  <c r="V20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0" i="44"/>
  <c r="R18" i="44"/>
  <c r="R16" i="44"/>
  <c r="P18" i="44"/>
  <c r="R15" i="44"/>
  <c r="R22" i="44"/>
  <c r="R21" i="44"/>
  <c r="R24" i="44"/>
  <c r="Z22" i="44"/>
  <c r="Z24" i="44"/>
  <c r="F36" i="46"/>
  <c r="F34" i="46"/>
  <c r="F33" i="46"/>
  <c r="F31" i="46"/>
  <c r="F29" i="46"/>
  <c r="F27" i="46"/>
  <c r="F25" i="46"/>
  <c r="L12" i="46"/>
  <c r="F20" i="46"/>
  <c r="F18" i="46"/>
  <c r="F16" i="46"/>
  <c r="F21" i="46"/>
  <c r="D18" i="46"/>
  <c r="F15" i="46"/>
  <c r="F24" i="46"/>
  <c r="F22" i="46"/>
  <c r="X16" i="46"/>
  <c r="Z21" i="46"/>
  <c r="X22" i="47"/>
  <c r="L15" i="50"/>
  <c r="Z33" i="50"/>
  <c r="L16" i="43"/>
  <c r="L20" i="43"/>
  <c r="V36" i="44"/>
  <c r="V34" i="44"/>
  <c r="V33" i="44"/>
  <c r="V31" i="44"/>
  <c r="V29" i="44"/>
  <c r="V27" i="44"/>
  <c r="V25" i="44"/>
  <c r="V24" i="44"/>
  <c r="V22" i="44"/>
  <c r="V21" i="44"/>
  <c r="V16" i="44"/>
  <c r="V20" i="44"/>
  <c r="Z12" i="44"/>
  <c r="V15" i="44"/>
  <c r="V18" i="44"/>
  <c r="T18" i="44"/>
  <c r="L15" i="44"/>
  <c r="Z25" i="44"/>
  <c r="Z29" i="44"/>
  <c r="Z33" i="44"/>
  <c r="Z34" i="44"/>
  <c r="J21" i="46"/>
  <c r="J27" i="46"/>
  <c r="J29" i="46"/>
  <c r="J31" i="46"/>
  <c r="J20" i="46"/>
  <c r="J18" i="46"/>
  <c r="J16" i="46"/>
  <c r="H18" i="46"/>
  <c r="J15" i="46"/>
  <c r="J33" i="46"/>
  <c r="J22" i="46"/>
  <c r="J24" i="46"/>
  <c r="J25" i="46"/>
  <c r="J36" i="46"/>
  <c r="J34" i="46"/>
  <c r="N12" i="46"/>
  <c r="X13" i="46"/>
  <c r="Z15" i="46"/>
  <c r="Z20" i="46"/>
  <c r="L25" i="46"/>
  <c r="X13" i="47"/>
  <c r="N20" i="47"/>
  <c r="N21" i="49"/>
  <c r="X24" i="49"/>
  <c r="N15" i="50"/>
  <c r="N24" i="53"/>
  <c r="N15" i="43"/>
  <c r="L21" i="43"/>
  <c r="L16" i="44"/>
  <c r="L20" i="44"/>
  <c r="Z13" i="46"/>
  <c r="Z16" i="46"/>
  <c r="L24" i="46"/>
  <c r="N25" i="46"/>
  <c r="X29" i="46"/>
  <c r="F24" i="47"/>
  <c r="F22" i="47"/>
  <c r="F36" i="47"/>
  <c r="F31" i="47"/>
  <c r="F25" i="47"/>
  <c r="F18" i="47"/>
  <c r="D18" i="47"/>
  <c r="F20" i="47"/>
  <c r="F21" i="47"/>
  <c r="F33" i="47"/>
  <c r="F27" i="47"/>
  <c r="F34" i="47"/>
  <c r="F29" i="47"/>
  <c r="F16" i="47"/>
  <c r="L12" i="47"/>
  <c r="F15" i="47"/>
  <c r="Z13" i="47"/>
  <c r="X33" i="47"/>
  <c r="N12" i="49"/>
  <c r="J36" i="49"/>
  <c r="J34" i="49"/>
  <c r="J33" i="49"/>
  <c r="J31" i="49"/>
  <c r="J29" i="49"/>
  <c r="J27" i="49"/>
  <c r="J25" i="49"/>
  <c r="J24" i="49"/>
  <c r="J22" i="49"/>
  <c r="J21" i="49"/>
  <c r="J18" i="49"/>
  <c r="H18" i="49"/>
  <c r="J15" i="49"/>
  <c r="J20" i="49"/>
  <c r="J16" i="49"/>
  <c r="Z15" i="49"/>
  <c r="X21" i="49"/>
  <c r="Z29" i="50"/>
  <c r="J21" i="52"/>
  <c r="J20" i="52"/>
  <c r="J18" i="52"/>
  <c r="J16" i="52"/>
  <c r="H18" i="52"/>
  <c r="J15" i="52"/>
  <c r="N12" i="52"/>
  <c r="J36" i="52"/>
  <c r="J34" i="52"/>
  <c r="J33" i="52"/>
  <c r="J31" i="52"/>
  <c r="J29" i="52"/>
  <c r="J27" i="52"/>
  <c r="J25" i="52"/>
  <c r="J22" i="52"/>
  <c r="J24" i="52"/>
  <c r="X21" i="52"/>
  <c r="Z25" i="46"/>
  <c r="Z29" i="46"/>
  <c r="Z33" i="46"/>
  <c r="Z34" i="46"/>
  <c r="R36" i="47"/>
  <c r="R34" i="47"/>
  <c r="R33" i="47"/>
  <c r="R31" i="47"/>
  <c r="R29" i="47"/>
  <c r="R27" i="47"/>
  <c r="R25" i="47"/>
  <c r="R22" i="47"/>
  <c r="R24" i="47"/>
  <c r="R15" i="47"/>
  <c r="R16" i="47"/>
  <c r="R18" i="47"/>
  <c r="X12" i="47"/>
  <c r="P18" i="47"/>
  <c r="R21" i="47"/>
  <c r="R20" i="47"/>
  <c r="Z22" i="47"/>
  <c r="Z24" i="47"/>
  <c r="N15" i="49"/>
  <c r="L21" i="49"/>
  <c r="L16" i="50"/>
  <c r="L20" i="50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L12" i="52"/>
  <c r="X16" i="52"/>
  <c r="X20" i="52"/>
  <c r="X15" i="53"/>
  <c r="N25" i="53"/>
  <c r="N29" i="53"/>
  <c r="N33" i="53"/>
  <c r="N34" i="53"/>
  <c r="L25" i="49"/>
  <c r="L29" i="49"/>
  <c r="L33" i="49"/>
  <c r="L34" i="49"/>
  <c r="N16" i="50"/>
  <c r="N20" i="50"/>
  <c r="L22" i="50"/>
  <c r="L24" i="50"/>
  <c r="Z13" i="52"/>
  <c r="Z16" i="52"/>
  <c r="Z20" i="52"/>
  <c r="X22" i="52"/>
  <c r="X24" i="52"/>
  <c r="J20" i="53"/>
  <c r="J18" i="53"/>
  <c r="J16" i="53"/>
  <c r="H18" i="53"/>
  <c r="J15" i="53"/>
  <c r="N12" i="53"/>
  <c r="J24" i="53"/>
  <c r="J22" i="53"/>
  <c r="J34" i="53"/>
  <c r="J33" i="53"/>
  <c r="J31" i="53"/>
  <c r="J21" i="53"/>
  <c r="J29" i="53"/>
  <c r="J27" i="53"/>
  <c r="J36" i="53"/>
  <c r="J25" i="53"/>
  <c r="X13" i="53"/>
  <c r="Z15" i="53"/>
  <c r="X21" i="53"/>
  <c r="N13" i="49"/>
  <c r="N22" i="49"/>
  <c r="N24" i="49"/>
  <c r="L13" i="50"/>
  <c r="N21" i="50"/>
  <c r="L25" i="50"/>
  <c r="L29" i="50"/>
  <c r="L33" i="50"/>
  <c r="L34" i="50"/>
  <c r="Z21" i="52"/>
  <c r="X25" i="52"/>
  <c r="X29" i="52"/>
  <c r="X33" i="52"/>
  <c r="X34" i="52"/>
  <c r="Z13" i="53"/>
  <c r="Z16" i="53"/>
  <c r="Z20" i="53"/>
  <c r="X22" i="53"/>
  <c r="X24" i="53"/>
  <c r="X15" i="49"/>
  <c r="N25" i="49"/>
  <c r="N29" i="49"/>
  <c r="N33" i="49"/>
  <c r="N34" i="49"/>
  <c r="N13" i="50"/>
  <c r="N22" i="50"/>
  <c r="N24" i="50"/>
  <c r="X12" i="52"/>
  <c r="R36" i="52"/>
  <c r="R34" i="52"/>
  <c r="R33" i="52"/>
  <c r="R31" i="52"/>
  <c r="R29" i="52"/>
  <c r="R27" i="52"/>
  <c r="R25" i="52"/>
  <c r="R24" i="52"/>
  <c r="R22" i="52"/>
  <c r="R21" i="52"/>
  <c r="P18" i="52"/>
  <c r="R15" i="52"/>
  <c r="R20" i="52"/>
  <c r="R18" i="52"/>
  <c r="R16" i="52"/>
  <c r="Z22" i="52"/>
  <c r="Z24" i="52"/>
  <c r="Z21" i="53"/>
  <c r="X25" i="53"/>
  <c r="X29" i="53"/>
  <c r="X33" i="53"/>
  <c r="X34" i="53"/>
  <c r="N22" i="46"/>
  <c r="N24" i="46"/>
  <c r="L13" i="47"/>
  <c r="N21" i="47"/>
  <c r="L25" i="47"/>
  <c r="L29" i="47"/>
  <c r="L33" i="47"/>
  <c r="L34" i="47"/>
  <c r="F36" i="49"/>
  <c r="F34" i="49"/>
  <c r="F33" i="49"/>
  <c r="F31" i="49"/>
  <c r="F29" i="49"/>
  <c r="F27" i="49"/>
  <c r="F25" i="49"/>
  <c r="F24" i="49"/>
  <c r="F22" i="49"/>
  <c r="F20" i="49"/>
  <c r="F18" i="49"/>
  <c r="F16" i="49"/>
  <c r="F21" i="49"/>
  <c r="D18" i="49"/>
  <c r="F15" i="49"/>
  <c r="L12" i="49"/>
  <c r="X16" i="49"/>
  <c r="X20" i="49"/>
  <c r="X15" i="50"/>
  <c r="N25" i="50"/>
  <c r="N29" i="50"/>
  <c r="N33" i="50"/>
  <c r="N3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R15" i="53"/>
  <c r="P18" i="53"/>
  <c r="Z22" i="53"/>
  <c r="Z24" i="53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L15" i="53"/>
  <c r="Z25" i="53"/>
  <c r="Z29" i="53"/>
  <c r="Z33" i="53"/>
  <c r="Z34" i="53"/>
  <c r="N15" i="52"/>
  <c r="L21" i="52"/>
  <c r="L16" i="53"/>
  <c r="L20" i="53"/>
  <c r="Z21" i="49"/>
  <c r="X25" i="49"/>
  <c r="X29" i="49"/>
  <c r="X33" i="49"/>
  <c r="X34" i="49"/>
  <c r="Z13" i="50"/>
  <c r="Z16" i="50"/>
  <c r="Z20" i="50"/>
  <c r="X22" i="50"/>
  <c r="X24" i="50"/>
  <c r="N16" i="52"/>
  <c r="N20" i="52"/>
  <c r="L22" i="52"/>
  <c r="L24" i="52"/>
  <c r="N15" i="53"/>
  <c r="L21" i="53"/>
  <c r="X21" i="47"/>
  <c r="R36" i="49"/>
  <c r="R34" i="49"/>
  <c r="R33" i="49"/>
  <c r="R31" i="49"/>
  <c r="R29" i="49"/>
  <c r="R27" i="49"/>
  <c r="R25" i="49"/>
  <c r="R24" i="49"/>
  <c r="R22" i="49"/>
  <c r="P18" i="49"/>
  <c r="R15" i="49"/>
  <c r="R18" i="49"/>
  <c r="R20" i="49"/>
  <c r="R16" i="49"/>
  <c r="R21" i="49"/>
  <c r="X12" i="49"/>
  <c r="Z22" i="49"/>
  <c r="Z24" i="49"/>
  <c r="Z21" i="50"/>
  <c r="X25" i="50"/>
  <c r="X29" i="50"/>
  <c r="X33" i="50"/>
  <c r="X34" i="50"/>
  <c r="L13" i="52"/>
  <c r="N21" i="52"/>
  <c r="L25" i="52"/>
  <c r="L29" i="52"/>
  <c r="L33" i="52"/>
  <c r="L34" i="52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L13" i="98"/>
  <c r="X15" i="98"/>
  <c r="L33" i="98"/>
  <c r="L34" i="98"/>
  <c r="N34" i="98"/>
  <c r="L21" i="100"/>
  <c r="Z29" i="100"/>
  <c r="N33" i="98"/>
  <c r="L25" i="99"/>
  <c r="L25" i="98"/>
  <c r="V36" i="100"/>
  <c r="V34" i="100"/>
  <c r="V33" i="100"/>
  <c r="V31" i="100"/>
  <c r="V29" i="100"/>
  <c r="V27" i="100"/>
  <c r="V25" i="100"/>
  <c r="V21" i="100"/>
  <c r="V20" i="100"/>
  <c r="V18" i="100"/>
  <c r="V16" i="100"/>
  <c r="T18" i="100"/>
  <c r="V15" i="100"/>
  <c r="V24" i="100"/>
  <c r="V22" i="100"/>
  <c r="Z12" i="100"/>
  <c r="N25" i="98"/>
  <c r="L29" i="99"/>
  <c r="L21" i="99"/>
  <c r="L15" i="100"/>
  <c r="Z33" i="100"/>
  <c r="N21" i="99"/>
  <c r="N15" i="100"/>
  <c r="L29" i="98"/>
  <c r="Z34" i="100"/>
  <c r="N29" i="98"/>
  <c r="L13" i="99"/>
  <c r="L33" i="99"/>
  <c r="N21" i="98"/>
  <c r="N15" i="99"/>
  <c r="Z25" i="100"/>
  <c r="L34" i="99"/>
  <c r="Z21" i="98"/>
  <c r="X25" i="98"/>
  <c r="X29" i="98"/>
  <c r="X33" i="98"/>
  <c r="X34" i="98"/>
  <c r="J36" i="99"/>
  <c r="J34" i="99"/>
  <c r="J33" i="99"/>
  <c r="J31" i="99"/>
  <c r="J29" i="99"/>
  <c r="J27" i="99"/>
  <c r="J25" i="99"/>
  <c r="J24" i="99"/>
  <c r="J22" i="99"/>
  <c r="J21" i="99"/>
  <c r="H18" i="99"/>
  <c r="J15" i="99"/>
  <c r="N12" i="99"/>
  <c r="J20" i="99"/>
  <c r="J16" i="99"/>
  <c r="J18" i="99"/>
  <c r="X13" i="99"/>
  <c r="Z15" i="99"/>
  <c r="X21" i="99"/>
  <c r="X15" i="100"/>
  <c r="N25" i="100"/>
  <c r="N29" i="100"/>
  <c r="N33" i="100"/>
  <c r="N34" i="100"/>
  <c r="R21" i="98"/>
  <c r="R20" i="98"/>
  <c r="R18" i="98"/>
  <c r="R16" i="98"/>
  <c r="P18" i="98"/>
  <c r="R15" i="98"/>
  <c r="X12" i="98"/>
  <c r="R36" i="98"/>
  <c r="R34" i="98"/>
  <c r="R33" i="98"/>
  <c r="R31" i="98"/>
  <c r="R29" i="98"/>
  <c r="R27" i="98"/>
  <c r="R25" i="98"/>
  <c r="R24" i="98"/>
  <c r="R22" i="98"/>
  <c r="Z22" i="98"/>
  <c r="Z24" i="98"/>
  <c r="Z13" i="99"/>
  <c r="Z16" i="99"/>
  <c r="Z20" i="99"/>
  <c r="X22" i="99"/>
  <c r="X24" i="99"/>
  <c r="F36" i="100"/>
  <c r="F34" i="100"/>
  <c r="F33" i="100"/>
  <c r="F31" i="100"/>
  <c r="F29" i="100"/>
  <c r="F27" i="100"/>
  <c r="F25" i="100"/>
  <c r="F24" i="100"/>
  <c r="F22" i="100"/>
  <c r="F21" i="100"/>
  <c r="D18" i="100"/>
  <c r="F15" i="100"/>
  <c r="L12" i="100"/>
  <c r="F18" i="100"/>
  <c r="F16" i="100"/>
  <c r="F20" i="100"/>
  <c r="X16" i="100"/>
  <c r="X20" i="100"/>
  <c r="T18" i="98"/>
  <c r="V15" i="98"/>
  <c r="Z12" i="98"/>
  <c r="V36" i="98"/>
  <c r="V34" i="98"/>
  <c r="V33" i="98"/>
  <c r="V31" i="98"/>
  <c r="V29" i="98"/>
  <c r="V27" i="98"/>
  <c r="V25" i="98"/>
  <c r="V24" i="98"/>
  <c r="V22" i="98"/>
  <c r="V21" i="98"/>
  <c r="V20" i="98"/>
  <c r="V18" i="98"/>
  <c r="V16" i="98"/>
  <c r="L15" i="98"/>
  <c r="Z25" i="98"/>
  <c r="Z29" i="98"/>
  <c r="Z33" i="98"/>
  <c r="Z34" i="98"/>
  <c r="Z21" i="99"/>
  <c r="X25" i="99"/>
  <c r="X29" i="99"/>
  <c r="X33" i="99"/>
  <c r="X34" i="99"/>
  <c r="J21" i="100"/>
  <c r="J20" i="100"/>
  <c r="J18" i="100"/>
  <c r="J16" i="100"/>
  <c r="H18" i="100"/>
  <c r="J15" i="100"/>
  <c r="N12" i="100"/>
  <c r="J36" i="100"/>
  <c r="J34" i="100"/>
  <c r="J33" i="100"/>
  <c r="J31" i="100"/>
  <c r="J29" i="100"/>
  <c r="J27" i="100"/>
  <c r="J25" i="100"/>
  <c r="J24" i="100"/>
  <c r="J22" i="100"/>
  <c r="X13" i="100"/>
  <c r="Z15" i="100"/>
  <c r="X21" i="100"/>
  <c r="L16" i="98"/>
  <c r="L20" i="98"/>
  <c r="P18" i="99"/>
  <c r="R15" i="99"/>
  <c r="X12" i="99"/>
  <c r="R36" i="99"/>
  <c r="R34" i="99"/>
  <c r="R33" i="99"/>
  <c r="R31" i="99"/>
  <c r="R29" i="99"/>
  <c r="R27" i="99"/>
  <c r="R25" i="99"/>
  <c r="R24" i="99"/>
  <c r="R22" i="99"/>
  <c r="R21" i="99"/>
  <c r="R20" i="99"/>
  <c r="R18" i="99"/>
  <c r="R16" i="99"/>
  <c r="Z22" i="99"/>
  <c r="Z24" i="99"/>
  <c r="Z13" i="100"/>
  <c r="Z16" i="100"/>
  <c r="Z20" i="100"/>
  <c r="X22" i="100"/>
  <c r="X24" i="100"/>
  <c r="N15" i="98"/>
  <c r="L21" i="98"/>
  <c r="V36" i="99"/>
  <c r="V34" i="99"/>
  <c r="V33" i="99"/>
  <c r="V31" i="99"/>
  <c r="V29" i="99"/>
  <c r="V27" i="99"/>
  <c r="V25" i="99"/>
  <c r="V24" i="99"/>
  <c r="V22" i="99"/>
  <c r="V21" i="99"/>
  <c r="V20" i="99"/>
  <c r="V18" i="99"/>
  <c r="V16" i="99"/>
  <c r="T18" i="99"/>
  <c r="V15" i="99"/>
  <c r="Z12" i="99"/>
  <c r="L15" i="99"/>
  <c r="Z25" i="99"/>
  <c r="Z29" i="99"/>
  <c r="Z33" i="99"/>
  <c r="Z34" i="99"/>
  <c r="Z21" i="100"/>
  <c r="X25" i="100"/>
  <c r="X29" i="100"/>
  <c r="X33" i="100"/>
  <c r="X34" i="100"/>
  <c r="N16" i="98"/>
  <c r="N20" i="98"/>
  <c r="L22" i="98"/>
  <c r="L24" i="98"/>
  <c r="L16" i="99"/>
  <c r="L20" i="99"/>
  <c r="X12" i="100"/>
  <c r="R36" i="100"/>
  <c r="R34" i="100"/>
  <c r="R33" i="100"/>
  <c r="R31" i="100"/>
  <c r="R29" i="100"/>
  <c r="R27" i="100"/>
  <c r="R25" i="100"/>
  <c r="R24" i="100"/>
  <c r="R22" i="100"/>
  <c r="R21" i="100"/>
  <c r="R20" i="100"/>
  <c r="R18" i="100"/>
  <c r="R16" i="100"/>
  <c r="P18" i="100"/>
  <c r="R15" i="100"/>
  <c r="Z22" i="100"/>
  <c r="Z24" i="100"/>
  <c r="N13" i="98"/>
  <c r="N22" i="98"/>
  <c r="N24" i="98"/>
  <c r="N16" i="99"/>
  <c r="N20" i="99"/>
  <c r="L22" i="99"/>
  <c r="L24" i="99"/>
  <c r="L16" i="100"/>
  <c r="L20" i="100"/>
  <c r="L12" i="98"/>
  <c r="F36" i="98"/>
  <c r="F34" i="98"/>
  <c r="F33" i="98"/>
  <c r="F31" i="98"/>
  <c r="F29" i="98"/>
  <c r="F27" i="98"/>
  <c r="F25" i="98"/>
  <c r="F21" i="98"/>
  <c r="F20" i="98"/>
  <c r="F18" i="98"/>
  <c r="F16" i="98"/>
  <c r="D18" i="98"/>
  <c r="F15" i="98"/>
  <c r="F24" i="98"/>
  <c r="F22" i="98"/>
  <c r="X16" i="98"/>
  <c r="X20" i="98"/>
  <c r="N13" i="99"/>
  <c r="N22" i="99"/>
  <c r="N24" i="99"/>
  <c r="N16" i="100"/>
  <c r="N20" i="100"/>
  <c r="L22" i="100"/>
  <c r="L24" i="100"/>
  <c r="J36" i="98"/>
  <c r="J34" i="98"/>
  <c r="J33" i="98"/>
  <c r="J31" i="98"/>
  <c r="J29" i="98"/>
  <c r="J27" i="98"/>
  <c r="J25" i="98"/>
  <c r="J21" i="98"/>
  <c r="H18" i="98"/>
  <c r="J15" i="98"/>
  <c r="N12" i="98"/>
  <c r="J20" i="98"/>
  <c r="J18" i="98"/>
  <c r="J16" i="98"/>
  <c r="J22" i="98"/>
  <c r="J24" i="98"/>
  <c r="X13" i="98"/>
  <c r="Z15" i="98"/>
  <c r="X21" i="98"/>
  <c r="X15" i="99"/>
  <c r="N25" i="99"/>
  <c r="N29" i="99"/>
  <c r="N33" i="99"/>
  <c r="N34" i="99"/>
  <c r="L13" i="100"/>
  <c r="N21" i="100"/>
  <c r="L25" i="100"/>
  <c r="L29" i="100"/>
  <c r="L33" i="100"/>
  <c r="L34" i="100"/>
  <c r="Z13" i="98"/>
  <c r="Z16" i="98"/>
  <c r="Z20" i="98"/>
  <c r="X22" i="98"/>
  <c r="X24" i="98"/>
  <c r="F36" i="99"/>
  <c r="F34" i="99"/>
  <c r="F33" i="99"/>
  <c r="F31" i="99"/>
  <c r="F29" i="99"/>
  <c r="F27" i="99"/>
  <c r="F25" i="99"/>
  <c r="F21" i="99"/>
  <c r="D18" i="99"/>
  <c r="F15" i="99"/>
  <c r="L12" i="99"/>
  <c r="F24" i="99"/>
  <c r="F22" i="99"/>
  <c r="F20" i="99"/>
  <c r="F18" i="99"/>
  <c r="F16" i="99"/>
  <c r="X16" i="99"/>
  <c r="X20" i="99"/>
  <c r="N13" i="100"/>
  <c r="N22" i="100"/>
  <c r="N24" i="100"/>
  <c r="V322" i="3"/>
  <c r="V310" i="3"/>
  <c r="V300" i="3"/>
  <c r="V284" i="3"/>
  <c r="V272" i="3"/>
  <c r="V268" i="3"/>
  <c r="V240" i="3"/>
  <c r="V216" i="3"/>
  <c r="V212" i="3"/>
  <c r="V208" i="3"/>
  <c r="V289" i="3"/>
  <c r="V321" i="3"/>
  <c r="V309" i="3"/>
  <c r="V307" i="3"/>
  <c r="V299" i="3"/>
  <c r="V279" i="3"/>
  <c r="V267" i="3"/>
  <c r="V259" i="3"/>
  <c r="V251" i="3"/>
  <c r="V235" i="3"/>
  <c r="V227" i="3"/>
  <c r="V207" i="3"/>
  <c r="V203" i="3"/>
  <c r="V199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311" i="3"/>
  <c r="V305" i="3"/>
  <c r="V293" i="3"/>
  <c r="V273" i="3"/>
  <c r="V320" i="3"/>
  <c r="V302" i="3"/>
  <c r="V294" i="3"/>
  <c r="V290" i="3"/>
  <c r="V286" i="3"/>
  <c r="V274" i="3"/>
  <c r="V250" i="3"/>
  <c r="V242" i="3"/>
  <c r="V226" i="3"/>
  <c r="V222" i="3"/>
  <c r="T205" i="3"/>
  <c r="V233" i="3"/>
  <c r="V319" i="3"/>
  <c r="V301" i="3"/>
  <c r="V285" i="3"/>
  <c r="V269" i="3"/>
  <c r="V241" i="3"/>
  <c r="V229" i="3"/>
  <c r="V217" i="3"/>
  <c r="V213" i="3"/>
  <c r="V209" i="3"/>
  <c r="V331" i="3"/>
  <c r="V330" i="3"/>
  <c r="V326" i="3"/>
  <c r="V318" i="3"/>
  <c r="V280" i="3"/>
  <c r="V260" i="3"/>
  <c r="V252" i="3"/>
  <c r="V244" i="3"/>
  <c r="V236" i="3"/>
  <c r="V228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317" i="3"/>
  <c r="V303" i="3"/>
  <c r="V295" i="3"/>
  <c r="V291" i="3"/>
  <c r="V287" i="3"/>
  <c r="V275" i="3"/>
  <c r="V243" i="3"/>
  <c r="V223" i="3"/>
  <c r="V219" i="3"/>
  <c r="V316" i="3"/>
  <c r="V270" i="3"/>
  <c r="V262" i="3"/>
  <c r="V254" i="3"/>
  <c r="V246" i="3"/>
  <c r="V230" i="3"/>
  <c r="V218" i="3"/>
  <c r="V214" i="3"/>
  <c r="V210" i="3"/>
  <c r="V221" i="3"/>
  <c r="V315" i="3"/>
  <c r="V297" i="3"/>
  <c r="V281" i="3"/>
  <c r="V277" i="3"/>
  <c r="V261" i="3"/>
  <c r="V253" i="3"/>
  <c r="V245" i="3"/>
  <c r="V237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265" i="3"/>
  <c r="V257" i="3"/>
  <c r="V314" i="3"/>
  <c r="V304" i="3"/>
  <c r="V296" i="3"/>
  <c r="V292" i="3"/>
  <c r="V288" i="3"/>
  <c r="V276" i="3"/>
  <c r="V264" i="3"/>
  <c r="V256" i="3"/>
  <c r="V248" i="3"/>
  <c r="V232" i="3"/>
  <c r="V224" i="3"/>
  <c r="V220" i="3"/>
  <c r="V313" i="3"/>
  <c r="V283" i="3"/>
  <c r="V271" i="3"/>
  <c r="V263" i="3"/>
  <c r="V255" i="3"/>
  <c r="V247" i="3"/>
  <c r="V239" i="3"/>
  <c r="V231" i="3"/>
  <c r="V215" i="3"/>
  <c r="V211" i="3"/>
  <c r="V249" i="3"/>
  <c r="V312" i="3"/>
  <c r="V306" i="3"/>
  <c r="V298" i="3"/>
  <c r="V282" i="3"/>
  <c r="V278" i="3"/>
  <c r="V266" i="3"/>
  <c r="V258" i="3"/>
  <c r="V238" i="3"/>
  <c r="V234" i="3"/>
  <c r="V202" i="3"/>
  <c r="V198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225" i="3"/>
  <c r="N84" i="3"/>
  <c r="Z131" i="3"/>
  <c r="Z309" i="3"/>
  <c r="Z314" i="3"/>
  <c r="N39" i="3"/>
  <c r="N63" i="3"/>
  <c r="R312" i="3"/>
  <c r="R306" i="3"/>
  <c r="R305" i="3"/>
  <c r="R293" i="3"/>
  <c r="R289" i="3"/>
  <c r="R266" i="3"/>
  <c r="R265" i="3"/>
  <c r="R258" i="3"/>
  <c r="R257" i="3"/>
  <c r="R249" i="3"/>
  <c r="R234" i="3"/>
  <c r="R233" i="3"/>
  <c r="R225" i="3"/>
  <c r="R221" i="3"/>
  <c r="R142" i="3"/>
  <c r="R313" i="3"/>
  <c r="R146" i="3"/>
  <c r="R311" i="3"/>
  <c r="R284" i="3"/>
  <c r="R273" i="3"/>
  <c r="R272" i="3"/>
  <c r="R240" i="3"/>
  <c r="R216" i="3"/>
  <c r="R212" i="3"/>
  <c r="R189" i="3"/>
  <c r="R238" i="3"/>
  <c r="R322" i="3"/>
  <c r="R310" i="3"/>
  <c r="R307" i="3"/>
  <c r="R300" i="3"/>
  <c r="R299" i="3"/>
  <c r="R279" i="3"/>
  <c r="R268" i="3"/>
  <c r="R267" i="3"/>
  <c r="R259" i="3"/>
  <c r="R235" i="3"/>
  <c r="R208" i="3"/>
  <c r="R203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97" i="3"/>
  <c r="R239" i="3"/>
  <c r="R194" i="3"/>
  <c r="R182" i="3"/>
  <c r="R170" i="3"/>
  <c r="R321" i="3"/>
  <c r="R309" i="3"/>
  <c r="R294" i="3"/>
  <c r="R290" i="3"/>
  <c r="R274" i="3"/>
  <c r="R251" i="3"/>
  <c r="R250" i="3"/>
  <c r="R227" i="3"/>
  <c r="R226" i="3"/>
  <c r="R222" i="3"/>
  <c r="R207" i="3"/>
  <c r="R181" i="3"/>
  <c r="R320" i="3"/>
  <c r="R302" i="3"/>
  <c r="R301" i="3"/>
  <c r="R286" i="3"/>
  <c r="R285" i="3"/>
  <c r="R269" i="3"/>
  <c r="R242" i="3"/>
  <c r="R241" i="3"/>
  <c r="R217" i="3"/>
  <c r="R213" i="3"/>
  <c r="R209" i="3"/>
  <c r="P205" i="3"/>
  <c r="R326" i="3"/>
  <c r="R319" i="3"/>
  <c r="R280" i="3"/>
  <c r="R260" i="3"/>
  <c r="R252" i="3"/>
  <c r="R236" i="3"/>
  <c r="R229" i="3"/>
  <c r="R228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77" i="3"/>
  <c r="R282" i="3"/>
  <c r="R162" i="3"/>
  <c r="R331" i="3"/>
  <c r="R330" i="3"/>
  <c r="R318" i="3"/>
  <c r="R303" i="3"/>
  <c r="R295" i="3"/>
  <c r="R291" i="3"/>
  <c r="R287" i="3"/>
  <c r="R275" i="3"/>
  <c r="R244" i="3"/>
  <c r="R243" i="3"/>
  <c r="R223" i="3"/>
  <c r="R173" i="3"/>
  <c r="R178" i="3"/>
  <c r="R154" i="3"/>
  <c r="R317" i="3"/>
  <c r="R270" i="3"/>
  <c r="R230" i="3"/>
  <c r="R219" i="3"/>
  <c r="R218" i="3"/>
  <c r="R214" i="3"/>
  <c r="R210" i="3"/>
  <c r="R198" i="3"/>
  <c r="R186" i="3"/>
  <c r="R174" i="3"/>
  <c r="R150" i="3"/>
  <c r="R316" i="3"/>
  <c r="R281" i="3"/>
  <c r="R262" i="3"/>
  <c r="R261" i="3"/>
  <c r="R254" i="3"/>
  <c r="R253" i="3"/>
  <c r="R246" i="3"/>
  <c r="R245" i="3"/>
  <c r="R237" i="3"/>
  <c r="R201" i="3"/>
  <c r="R193" i="3"/>
  <c r="R185" i="3"/>
  <c r="R169" i="3"/>
  <c r="R165" i="3"/>
  <c r="R161" i="3"/>
  <c r="R157" i="3"/>
  <c r="R153" i="3"/>
  <c r="R149" i="3"/>
  <c r="R145" i="3"/>
  <c r="R315" i="3"/>
  <c r="R304" i="3"/>
  <c r="R297" i="3"/>
  <c r="R296" i="3"/>
  <c r="R292" i="3"/>
  <c r="R288" i="3"/>
  <c r="R277" i="3"/>
  <c r="R276" i="3"/>
  <c r="R224" i="3"/>
  <c r="R220" i="3"/>
  <c r="X12" i="3"/>
  <c r="Z12" i="3" s="1"/>
  <c r="R298" i="3"/>
  <c r="R283" i="3"/>
  <c r="R278" i="3"/>
  <c r="R158" i="3"/>
  <c r="R314" i="3"/>
  <c r="R271" i="3"/>
  <c r="R264" i="3"/>
  <c r="R263" i="3"/>
  <c r="R256" i="3"/>
  <c r="R255" i="3"/>
  <c r="R248" i="3"/>
  <c r="R247" i="3"/>
  <c r="R232" i="3"/>
  <c r="R231" i="3"/>
  <c r="R215" i="3"/>
  <c r="R211" i="3"/>
  <c r="R202" i="3"/>
  <c r="R190" i="3"/>
  <c r="R166" i="3"/>
  <c r="N227" i="3"/>
  <c r="N78" i="3"/>
  <c r="F331" i="3"/>
  <c r="F330" i="3"/>
  <c r="F318" i="3"/>
  <c r="F281" i="3"/>
  <c r="F261" i="3"/>
  <c r="F253" i="3"/>
  <c r="F245" i="3"/>
  <c r="F244" i="3"/>
  <c r="F237" i="3"/>
  <c r="F201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317" i="3"/>
  <c r="F304" i="3"/>
  <c r="F296" i="3"/>
  <c r="F292" i="3"/>
  <c r="F288" i="3"/>
  <c r="F276" i="3"/>
  <c r="F224" i="3"/>
  <c r="F220" i="3"/>
  <c r="F219" i="3"/>
  <c r="L12" i="3"/>
  <c r="F316" i="3"/>
  <c r="F271" i="3"/>
  <c r="F263" i="3"/>
  <c r="F262" i="3"/>
  <c r="F255" i="3"/>
  <c r="F254" i="3"/>
  <c r="F247" i="3"/>
  <c r="F246" i="3"/>
  <c r="F231" i="3"/>
  <c r="F215" i="3"/>
  <c r="F211" i="3"/>
  <c r="F229" i="3"/>
  <c r="F315" i="3"/>
  <c r="F298" i="3"/>
  <c r="F297" i="3"/>
  <c r="F282" i="3"/>
  <c r="F278" i="3"/>
  <c r="F277" i="3"/>
  <c r="F238" i="3"/>
  <c r="F20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314" i="3"/>
  <c r="F305" i="3"/>
  <c r="F293" i="3"/>
  <c r="F289" i="3"/>
  <c r="F265" i="3"/>
  <c r="F264" i="3"/>
  <c r="F257" i="3"/>
  <c r="F256" i="3"/>
  <c r="F249" i="3"/>
  <c r="F248" i="3"/>
  <c r="F233" i="3"/>
  <c r="F232" i="3"/>
  <c r="F225" i="3"/>
  <c r="F221" i="3"/>
  <c r="F313" i="3"/>
  <c r="F284" i="3"/>
  <c r="F283" i="3"/>
  <c r="F272" i="3"/>
  <c r="F240" i="3"/>
  <c r="F239" i="3"/>
  <c r="F216" i="3"/>
  <c r="F212" i="3"/>
  <c r="F319" i="3"/>
  <c r="F312" i="3"/>
  <c r="F307" i="3"/>
  <c r="F306" i="3"/>
  <c r="F299" i="3"/>
  <c r="F279" i="3"/>
  <c r="F267" i="3"/>
  <c r="F266" i="3"/>
  <c r="F259" i="3"/>
  <c r="F258" i="3"/>
  <c r="F235" i="3"/>
  <c r="F234" i="3"/>
  <c r="F203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42" i="3"/>
  <c r="F311" i="3"/>
  <c r="F294" i="3"/>
  <c r="F290" i="3"/>
  <c r="F274" i="3"/>
  <c r="F273" i="3"/>
  <c r="F250" i="3"/>
  <c r="F226" i="3"/>
  <c r="F222" i="3"/>
  <c r="F270" i="3"/>
  <c r="F322" i="3"/>
  <c r="F310" i="3"/>
  <c r="F301" i="3"/>
  <c r="F300" i="3"/>
  <c r="F285" i="3"/>
  <c r="F269" i="3"/>
  <c r="F268" i="3"/>
  <c r="F241" i="3"/>
  <c r="F217" i="3"/>
  <c r="F213" i="3"/>
  <c r="F209" i="3"/>
  <c r="F208" i="3"/>
  <c r="F326" i="3"/>
  <c r="F321" i="3"/>
  <c r="F280" i="3"/>
  <c r="F260" i="3"/>
  <c r="F252" i="3"/>
  <c r="F251" i="3"/>
  <c r="F236" i="3"/>
  <c r="F228" i="3"/>
  <c r="F227" i="3"/>
  <c r="F207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214" i="3"/>
  <c r="F320" i="3"/>
  <c r="F303" i="3"/>
  <c r="F302" i="3"/>
  <c r="F295" i="3"/>
  <c r="F291" i="3"/>
  <c r="F287" i="3"/>
  <c r="F286" i="3"/>
  <c r="F275" i="3"/>
  <c r="F243" i="3"/>
  <c r="F242" i="3"/>
  <c r="F223" i="3"/>
  <c r="D205" i="3"/>
  <c r="F230" i="3"/>
  <c r="F218" i="3"/>
  <c r="F210" i="3"/>
  <c r="Z123" i="3"/>
  <c r="Z232" i="3"/>
  <c r="N268" i="3"/>
  <c r="J316" i="3"/>
  <c r="J304" i="3"/>
  <c r="J296" i="3"/>
  <c r="J292" i="3"/>
  <c r="J288" i="3"/>
  <c r="J276" i="3"/>
  <c r="J262" i="3"/>
  <c r="J254" i="3"/>
  <c r="J246" i="3"/>
  <c r="J224" i="3"/>
  <c r="J220" i="3"/>
  <c r="N12" i="3"/>
  <c r="J188" i="3"/>
  <c r="J219" i="3"/>
  <c r="J193" i="3"/>
  <c r="J181" i="3"/>
  <c r="J315" i="3"/>
  <c r="J297" i="3"/>
  <c r="J277" i="3"/>
  <c r="J271" i="3"/>
  <c r="J263" i="3"/>
  <c r="J255" i="3"/>
  <c r="J247" i="3"/>
  <c r="J231" i="3"/>
  <c r="J215" i="3"/>
  <c r="J211" i="3"/>
  <c r="J197" i="3"/>
  <c r="J185" i="3"/>
  <c r="J173" i="3"/>
  <c r="J165" i="3"/>
  <c r="J157" i="3"/>
  <c r="J149" i="3"/>
  <c r="J314" i="3"/>
  <c r="J298" i="3"/>
  <c r="J282" i="3"/>
  <c r="J278" i="3"/>
  <c r="J264" i="3"/>
  <c r="J256" i="3"/>
  <c r="J248" i="3"/>
  <c r="J238" i="3"/>
  <c r="J232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61" i="3"/>
  <c r="J153" i="3"/>
  <c r="J313" i="3"/>
  <c r="J305" i="3"/>
  <c r="J293" i="3"/>
  <c r="J289" i="3"/>
  <c r="J283" i="3"/>
  <c r="J265" i="3"/>
  <c r="J257" i="3"/>
  <c r="J249" i="3"/>
  <c r="J239" i="3"/>
  <c r="J233" i="3"/>
  <c r="J225" i="3"/>
  <c r="J221" i="3"/>
  <c r="J312" i="3"/>
  <c r="J306" i="3"/>
  <c r="J284" i="3"/>
  <c r="J272" i="3"/>
  <c r="J266" i="3"/>
  <c r="J258" i="3"/>
  <c r="J240" i="3"/>
  <c r="J234" i="3"/>
  <c r="J216" i="3"/>
  <c r="J212" i="3"/>
  <c r="J142" i="3"/>
  <c r="J168" i="3"/>
  <c r="J311" i="3"/>
  <c r="J307" i="3"/>
  <c r="J299" i="3"/>
  <c r="J279" i="3"/>
  <c r="J273" i="3"/>
  <c r="J267" i="3"/>
  <c r="J259" i="3"/>
  <c r="J235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281" i="3"/>
  <c r="J201" i="3"/>
  <c r="J189" i="3"/>
  <c r="J169" i="3"/>
  <c r="J322" i="3"/>
  <c r="J310" i="3"/>
  <c r="J300" i="3"/>
  <c r="J294" i="3"/>
  <c r="J290" i="3"/>
  <c r="J274" i="3"/>
  <c r="J268" i="3"/>
  <c r="J250" i="3"/>
  <c r="J226" i="3"/>
  <c r="J222" i="3"/>
  <c r="J208" i="3"/>
  <c r="J145" i="3"/>
  <c r="J321" i="3"/>
  <c r="J301" i="3"/>
  <c r="J285" i="3"/>
  <c r="J269" i="3"/>
  <c r="J251" i="3"/>
  <c r="J241" i="3"/>
  <c r="J227" i="3"/>
  <c r="J217" i="3"/>
  <c r="J213" i="3"/>
  <c r="J209" i="3"/>
  <c r="J207" i="3"/>
  <c r="J205" i="3"/>
  <c r="H205" i="3"/>
  <c r="J261" i="3"/>
  <c r="J253" i="3"/>
  <c r="J245" i="3"/>
  <c r="J326" i="3"/>
  <c r="J320" i="3"/>
  <c r="J302" i="3"/>
  <c r="J286" i="3"/>
  <c r="J280" i="3"/>
  <c r="J260" i="3"/>
  <c r="J252" i="3"/>
  <c r="J242" i="3"/>
  <c r="J236" i="3"/>
  <c r="J228" i="3"/>
  <c r="J200" i="3"/>
  <c r="J196" i="3"/>
  <c r="J192" i="3"/>
  <c r="J184" i="3"/>
  <c r="J180" i="3"/>
  <c r="J176" i="3"/>
  <c r="J172" i="3"/>
  <c r="J164" i="3"/>
  <c r="J160" i="3"/>
  <c r="J156" i="3"/>
  <c r="J152" i="3"/>
  <c r="J148" i="3"/>
  <c r="J144" i="3"/>
  <c r="J319" i="3"/>
  <c r="J303" i="3"/>
  <c r="J295" i="3"/>
  <c r="J291" i="3"/>
  <c r="J287" i="3"/>
  <c r="J275" i="3"/>
  <c r="J243" i="3"/>
  <c r="J229" i="3"/>
  <c r="J223" i="3"/>
  <c r="J317" i="3"/>
  <c r="J331" i="3"/>
  <c r="J330" i="3"/>
  <c r="J318" i="3"/>
  <c r="J270" i="3"/>
  <c r="J244" i="3"/>
  <c r="J230" i="3"/>
  <c r="J218" i="3"/>
  <c r="J214" i="3"/>
  <c r="J210" i="3"/>
  <c r="J237" i="3"/>
  <c r="J177" i="3"/>
  <c r="N16" i="3"/>
  <c r="N48" i="3"/>
  <c r="Z95" i="3"/>
  <c r="D22" i="6"/>
  <c r="L16" i="6"/>
  <c r="Z119" i="3"/>
  <c r="Z317" i="3"/>
  <c r="Z91" i="3"/>
  <c r="Z142" i="3"/>
  <c r="N331" i="3"/>
  <c r="N318" i="3"/>
  <c r="Z83" i="3"/>
  <c r="Z111" i="3"/>
  <c r="Z139" i="3"/>
  <c r="Z135" i="3"/>
  <c r="Z246" i="3"/>
  <c r="Z254" i="3"/>
  <c r="Z264" i="3"/>
  <c r="N310" i="3"/>
  <c r="L79" i="12"/>
  <c r="N79" i="12" s="1"/>
  <c r="F226" i="12"/>
  <c r="L73" i="15"/>
  <c r="N73" i="15" s="1"/>
  <c r="L15" i="3"/>
  <c r="N15" i="3" s="1"/>
  <c r="L19" i="3"/>
  <c r="L23" i="3"/>
  <c r="L27" i="3"/>
  <c r="N27" i="3" s="1"/>
  <c r="L31" i="3"/>
  <c r="L35" i="3"/>
  <c r="N35" i="3" s="1"/>
  <c r="L39" i="3"/>
  <c r="L43" i="3"/>
  <c r="N43" i="3" s="1"/>
  <c r="L47" i="3"/>
  <c r="N47" i="3" s="1"/>
  <c r="L51" i="3"/>
  <c r="N51" i="3" s="1"/>
  <c r="L55" i="3"/>
  <c r="N55" i="3" s="1"/>
  <c r="L59" i="3"/>
  <c r="N59" i="3" s="1"/>
  <c r="L63" i="3"/>
  <c r="L67" i="3"/>
  <c r="L71" i="3"/>
  <c r="N71" i="3" s="1"/>
  <c r="L75" i="3"/>
  <c r="N75" i="3" s="1"/>
  <c r="L79" i="3"/>
  <c r="N79" i="3" s="1"/>
  <c r="L83" i="3"/>
  <c r="L87" i="3"/>
  <c r="N87" i="3" s="1"/>
  <c r="L91" i="3"/>
  <c r="L95" i="3"/>
  <c r="N95" i="3" s="1"/>
  <c r="L99" i="3"/>
  <c r="L103" i="3"/>
  <c r="L107" i="3"/>
  <c r="L111" i="3"/>
  <c r="L115" i="3"/>
  <c r="N115" i="3" s="1"/>
  <c r="L119" i="3"/>
  <c r="L123" i="3"/>
  <c r="D309" i="3"/>
  <c r="F309" i="3" s="1"/>
  <c r="V18" i="6"/>
  <c r="L28" i="6"/>
  <c r="N28" i="6" s="1"/>
  <c r="V14" i="9"/>
  <c r="Z18" i="9"/>
  <c r="J20" i="9"/>
  <c r="J22" i="9"/>
  <c r="J31" i="9"/>
  <c r="X41" i="9"/>
  <c r="Z41" i="9" s="1"/>
  <c r="L47" i="9"/>
  <c r="V74" i="9"/>
  <c r="J82" i="9"/>
  <c r="N27" i="12"/>
  <c r="L27" i="12"/>
  <c r="Z35" i="12"/>
  <c r="L48" i="12"/>
  <c r="N48" i="12" s="1"/>
  <c r="Z56" i="12"/>
  <c r="N75" i="12"/>
  <c r="L75" i="12"/>
  <c r="L92" i="12"/>
  <c r="N96" i="12"/>
  <c r="Z104" i="12"/>
  <c r="L173" i="12"/>
  <c r="F183" i="12"/>
  <c r="Z185" i="12"/>
  <c r="Z195" i="12"/>
  <c r="Z207" i="12"/>
  <c r="X277" i="12"/>
  <c r="Z18" i="15"/>
  <c r="N195" i="15"/>
  <c r="L195" i="15"/>
  <c r="F271" i="12"/>
  <c r="F262" i="12"/>
  <c r="F261" i="12"/>
  <c r="F246" i="12"/>
  <c r="F245" i="12"/>
  <c r="F234" i="12"/>
  <c r="F210" i="12"/>
  <c r="F209" i="12"/>
  <c r="F202" i="12"/>
  <c r="F194" i="12"/>
  <c r="F193" i="12"/>
  <c r="F173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241" i="12"/>
  <c r="F229" i="12"/>
  <c r="F228" i="12"/>
  <c r="F221" i="12"/>
  <c r="F220" i="12"/>
  <c r="F189" i="12"/>
  <c r="D171" i="12"/>
  <c r="F264" i="12"/>
  <c r="F263" i="12"/>
  <c r="F256" i="12"/>
  <c r="F252" i="12"/>
  <c r="F236" i="12"/>
  <c r="F235" i="12"/>
  <c r="F212" i="12"/>
  <c r="F211" i="12"/>
  <c r="F196" i="12"/>
  <c r="F195" i="12"/>
  <c r="F184" i="12"/>
  <c r="F180" i="12"/>
  <c r="F176" i="12"/>
  <c r="F247" i="12"/>
  <c r="F231" i="12"/>
  <c r="F230" i="12"/>
  <c r="F223" i="12"/>
  <c r="F222" i="12"/>
  <c r="F203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119" i="12"/>
  <c r="F279" i="12"/>
  <c r="F242" i="12"/>
  <c r="F214" i="12"/>
  <c r="F213" i="12"/>
  <c r="F190" i="12"/>
  <c r="F186" i="12"/>
  <c r="F185" i="12"/>
  <c r="F283" i="12"/>
  <c r="F278" i="12"/>
  <c r="F265" i="12"/>
  <c r="F257" i="12"/>
  <c r="F253" i="12"/>
  <c r="F249" i="12"/>
  <c r="F248" i="12"/>
  <c r="F237" i="12"/>
  <c r="F205" i="12"/>
  <c r="F204" i="12"/>
  <c r="F197" i="12"/>
  <c r="F181" i="12"/>
  <c r="F177" i="12"/>
  <c r="F277" i="12"/>
  <c r="F232" i="12"/>
  <c r="F224" i="12"/>
  <c r="F168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276" i="12"/>
  <c r="F259" i="12"/>
  <c r="F258" i="12"/>
  <c r="F243" i="12"/>
  <c r="F215" i="12"/>
  <c r="F199" i="12"/>
  <c r="F198" i="12"/>
  <c r="F191" i="12"/>
  <c r="F187" i="12"/>
  <c r="F275" i="12"/>
  <c r="F266" i="12"/>
  <c r="F254" i="12"/>
  <c r="F250" i="12"/>
  <c r="F238" i="12"/>
  <c r="F206" i="12"/>
  <c r="F182" i="12"/>
  <c r="F178" i="12"/>
  <c r="F274" i="12"/>
  <c r="F233" i="12"/>
  <c r="F225" i="12"/>
  <c r="F217" i="12"/>
  <c r="F216" i="12"/>
  <c r="F201" i="12"/>
  <c r="F200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6" i="12"/>
  <c r="F273" i="12"/>
  <c r="F268" i="12"/>
  <c r="F267" i="12"/>
  <c r="F260" i="12"/>
  <c r="F244" i="12"/>
  <c r="F240" i="12"/>
  <c r="F239" i="12"/>
  <c r="F208" i="12"/>
  <c r="F207" i="12"/>
  <c r="F192" i="12"/>
  <c r="F188" i="12"/>
  <c r="N31" i="12"/>
  <c r="L31" i="12"/>
  <c r="N52" i="12"/>
  <c r="L52" i="12"/>
  <c r="F219" i="12"/>
  <c r="X140" i="3"/>
  <c r="Z140" i="3" s="1"/>
  <c r="X142" i="3"/>
  <c r="X234" i="3"/>
  <c r="Z234" i="3" s="1"/>
  <c r="L244" i="3"/>
  <c r="X258" i="3"/>
  <c r="Z258" i="3" s="1"/>
  <c r="X266" i="3"/>
  <c r="Z266" i="3" s="1"/>
  <c r="X306" i="3"/>
  <c r="Z306" i="3" s="1"/>
  <c r="X312" i="3"/>
  <c r="Z312" i="3" s="1"/>
  <c r="L318" i="3"/>
  <c r="L330" i="3"/>
  <c r="N330" i="3" s="1"/>
  <c r="L331" i="3"/>
  <c r="L53" i="9"/>
  <c r="N53" i="9" s="1"/>
  <c r="V66" i="9"/>
  <c r="L69" i="9"/>
  <c r="N69" i="9" s="1"/>
  <c r="N23" i="12"/>
  <c r="L23" i="12"/>
  <c r="N44" i="12"/>
  <c r="L44" i="12"/>
  <c r="L71" i="12"/>
  <c r="N71" i="12" s="1"/>
  <c r="L88" i="12"/>
  <c r="N92" i="12"/>
  <c r="N116" i="12"/>
  <c r="L116" i="12"/>
  <c r="N173" i="12"/>
  <c r="F175" i="12"/>
  <c r="F272" i="12"/>
  <c r="Z275" i="12"/>
  <c r="Z277" i="12"/>
  <c r="H309" i="3"/>
  <c r="J309" i="3" s="1"/>
  <c r="J98" i="9"/>
  <c r="J95" i="9"/>
  <c r="J83" i="9"/>
  <c r="J77" i="9"/>
  <c r="J57" i="9"/>
  <c r="J47" i="9"/>
  <c r="J37" i="9"/>
  <c r="J33" i="9"/>
  <c r="J19" i="9"/>
  <c r="J84" i="9"/>
  <c r="J64" i="9"/>
  <c r="J85" i="9"/>
  <c r="J71" i="9"/>
  <c r="J65" i="9"/>
  <c r="J59" i="9"/>
  <c r="J49" i="9"/>
  <c r="H16" i="9"/>
  <c r="J86" i="9"/>
  <c r="J78" i="9"/>
  <c r="J72" i="9"/>
  <c r="J66" i="9"/>
  <c r="J60" i="9"/>
  <c r="J50" i="9"/>
  <c r="J38" i="9"/>
  <c r="J34" i="9"/>
  <c r="J73" i="9"/>
  <c r="J61" i="9"/>
  <c r="J51" i="9"/>
  <c r="J39" i="9"/>
  <c r="J29" i="9"/>
  <c r="J25" i="9"/>
  <c r="J21" i="9"/>
  <c r="J74" i="9"/>
  <c r="J52" i="9"/>
  <c r="J40" i="9"/>
  <c r="J87" i="9"/>
  <c r="J79" i="9"/>
  <c r="J75" i="9"/>
  <c r="J67" i="9"/>
  <c r="J53" i="9"/>
  <c r="J41" i="9"/>
  <c r="J35" i="9"/>
  <c r="J80" i="9"/>
  <c r="J62" i="9"/>
  <c r="J76" i="9"/>
  <c r="J68" i="9"/>
  <c r="J44" i="9"/>
  <c r="J36" i="9"/>
  <c r="J32" i="9"/>
  <c r="N12" i="9"/>
  <c r="J93" i="9"/>
  <c r="J69" i="9"/>
  <c r="J63" i="9"/>
  <c r="J55" i="9"/>
  <c r="J45" i="9"/>
  <c r="J27" i="9"/>
  <c r="J23" i="9"/>
  <c r="L12" i="9"/>
  <c r="J16" i="9"/>
  <c r="J26" i="9"/>
  <c r="J58" i="9"/>
  <c r="N15" i="12"/>
  <c r="L15" i="12"/>
  <c r="N19" i="12"/>
  <c r="L19" i="12"/>
  <c r="N40" i="12"/>
  <c r="L40" i="12"/>
  <c r="L67" i="12"/>
  <c r="N67" i="12" s="1"/>
  <c r="N88" i="12"/>
  <c r="X279" i="12"/>
  <c r="P270" i="12"/>
  <c r="L18" i="3"/>
  <c r="L22" i="3"/>
  <c r="N22" i="3" s="1"/>
  <c r="L26" i="3"/>
  <c r="N26" i="3" s="1"/>
  <c r="L30" i="3"/>
  <c r="L34" i="3"/>
  <c r="N34" i="3" s="1"/>
  <c r="L38" i="3"/>
  <c r="N38" i="3" s="1"/>
  <c r="L42" i="3"/>
  <c r="L46" i="3"/>
  <c r="N46" i="3" s="1"/>
  <c r="L50" i="3"/>
  <c r="N50" i="3" s="1"/>
  <c r="L54" i="3"/>
  <c r="L58" i="3"/>
  <c r="L62" i="3"/>
  <c r="N62" i="3" s="1"/>
  <c r="L66" i="3"/>
  <c r="N66" i="3" s="1"/>
  <c r="L70" i="3"/>
  <c r="N70" i="3" s="1"/>
  <c r="L74" i="3"/>
  <c r="N74" i="3" s="1"/>
  <c r="L78" i="3"/>
  <c r="L82" i="3"/>
  <c r="N82" i="3" s="1"/>
  <c r="L86" i="3"/>
  <c r="L90" i="3"/>
  <c r="N90" i="3" s="1"/>
  <c r="L94" i="3"/>
  <c r="N94" i="3" s="1"/>
  <c r="L98" i="3"/>
  <c r="L102" i="3"/>
  <c r="L106" i="3"/>
  <c r="N106" i="3" s="1"/>
  <c r="L110" i="3"/>
  <c r="N110" i="3" s="1"/>
  <c r="L114" i="3"/>
  <c r="N114" i="3" s="1"/>
  <c r="L118" i="3"/>
  <c r="L122" i="3"/>
  <c r="N122" i="3" s="1"/>
  <c r="L126" i="3"/>
  <c r="L14" i="6"/>
  <c r="R86" i="9"/>
  <c r="R78" i="9"/>
  <c r="R66" i="9"/>
  <c r="R51" i="9"/>
  <c r="R50" i="9"/>
  <c r="R39" i="9"/>
  <c r="R38" i="9"/>
  <c r="R34" i="9"/>
  <c r="R74" i="9"/>
  <c r="R73" i="9"/>
  <c r="R61" i="9"/>
  <c r="R53" i="9"/>
  <c r="R52" i="9"/>
  <c r="R41" i="9"/>
  <c r="R40" i="9"/>
  <c r="R87" i="9"/>
  <c r="R80" i="9"/>
  <c r="R79" i="9"/>
  <c r="R75" i="9"/>
  <c r="R67" i="9"/>
  <c r="R35" i="9"/>
  <c r="R91" i="9"/>
  <c r="R89" i="9"/>
  <c r="R62" i="9"/>
  <c r="R54" i="9"/>
  <c r="R43" i="9"/>
  <c r="R42" i="9"/>
  <c r="R31" i="9"/>
  <c r="R30" i="9"/>
  <c r="R26" i="9"/>
  <c r="R22" i="9"/>
  <c r="R81" i="9"/>
  <c r="R76" i="9"/>
  <c r="R69" i="9"/>
  <c r="R68" i="9"/>
  <c r="R45" i="9"/>
  <c r="R44" i="9"/>
  <c r="R36" i="9"/>
  <c r="R32" i="9"/>
  <c r="X12" i="9"/>
  <c r="R93" i="9"/>
  <c r="R63" i="9"/>
  <c r="R77" i="9"/>
  <c r="R58" i="9"/>
  <c r="R57" i="9"/>
  <c r="R37" i="9"/>
  <c r="R33" i="9"/>
  <c r="R18" i="9"/>
  <c r="R16" i="9"/>
  <c r="R14" i="9"/>
  <c r="R85" i="9"/>
  <c r="R84" i="9"/>
  <c r="R65" i="9"/>
  <c r="R64" i="9"/>
  <c r="R49" i="9"/>
  <c r="R48" i="9"/>
  <c r="R28" i="9"/>
  <c r="R24" i="9"/>
  <c r="R20" i="9"/>
  <c r="P16" i="9"/>
  <c r="J28" i="9"/>
  <c r="J30" i="9"/>
  <c r="J42" i="9"/>
  <c r="J46" i="9"/>
  <c r="Z47" i="9"/>
  <c r="X47" i="9"/>
  <c r="Z49" i="9"/>
  <c r="Z53" i="9"/>
  <c r="R56" i="9"/>
  <c r="R71" i="9"/>
  <c r="N80" i="9"/>
  <c r="Z23" i="12"/>
  <c r="N36" i="12"/>
  <c r="L36" i="12"/>
  <c r="Z44" i="12"/>
  <c r="N63" i="12"/>
  <c r="L63" i="12"/>
  <c r="Z92" i="12"/>
  <c r="N111" i="12"/>
  <c r="L111" i="12"/>
  <c r="Z173" i="12"/>
  <c r="N261" i="12"/>
  <c r="Z279" i="12"/>
  <c r="N14" i="3"/>
  <c r="L207" i="3"/>
  <c r="N207" i="3" s="1"/>
  <c r="L227" i="3"/>
  <c r="L251" i="3"/>
  <c r="N251" i="3" s="1"/>
  <c r="X277" i="3"/>
  <c r="Z277" i="3" s="1"/>
  <c r="X297" i="3"/>
  <c r="Z297" i="3" s="1"/>
  <c r="X315" i="3"/>
  <c r="Z315" i="3" s="1"/>
  <c r="L321" i="3"/>
  <c r="N321" i="3" s="1"/>
  <c r="V73" i="9"/>
  <c r="V61" i="9"/>
  <c r="V53" i="9"/>
  <c r="V41" i="9"/>
  <c r="V29" i="9"/>
  <c r="V25" i="9"/>
  <c r="V21" i="9"/>
  <c r="V80" i="9"/>
  <c r="V91" i="9"/>
  <c r="V89" i="9"/>
  <c r="V87" i="9"/>
  <c r="V79" i="9"/>
  <c r="V75" i="9"/>
  <c r="V67" i="9"/>
  <c r="V43" i="9"/>
  <c r="V35" i="9"/>
  <c r="V31" i="9"/>
  <c r="V62" i="9"/>
  <c r="V54" i="9"/>
  <c r="V42" i="9"/>
  <c r="V30" i="9"/>
  <c r="V26" i="9"/>
  <c r="V22" i="9"/>
  <c r="V81" i="9"/>
  <c r="V69" i="9"/>
  <c r="V45" i="9"/>
  <c r="V76" i="9"/>
  <c r="V68" i="9"/>
  <c r="V56" i="9"/>
  <c r="V44" i="9"/>
  <c r="V36" i="9"/>
  <c r="V32" i="9"/>
  <c r="Z12" i="9"/>
  <c r="V98" i="9"/>
  <c r="V95" i="9"/>
  <c r="V93" i="9"/>
  <c r="V83" i="9"/>
  <c r="V63" i="9"/>
  <c r="V55" i="9"/>
  <c r="V47" i="9"/>
  <c r="V27" i="9"/>
  <c r="V23" i="9"/>
  <c r="V19" i="9"/>
  <c r="V82" i="9"/>
  <c r="V70" i="9"/>
  <c r="V58" i="9"/>
  <c r="V84" i="9"/>
  <c r="V72" i="9"/>
  <c r="V64" i="9"/>
  <c r="V60" i="9"/>
  <c r="V48" i="9"/>
  <c r="V28" i="9"/>
  <c r="V24" i="9"/>
  <c r="V20" i="9"/>
  <c r="V71" i="9"/>
  <c r="V59" i="9"/>
  <c r="V51" i="9"/>
  <c r="V39" i="9"/>
  <c r="T16" i="9"/>
  <c r="V49" i="9"/>
  <c r="X53" i="9"/>
  <c r="R55" i="9"/>
  <c r="R60" i="9"/>
  <c r="J91" i="9"/>
  <c r="Z15" i="12"/>
  <c r="Z19" i="12"/>
  <c r="N32" i="12"/>
  <c r="L32" i="12"/>
  <c r="Z40" i="12"/>
  <c r="L59" i="12"/>
  <c r="N59" i="12" s="1"/>
  <c r="N80" i="12"/>
  <c r="Z88" i="12"/>
  <c r="N107" i="12"/>
  <c r="L107" i="12"/>
  <c r="F218" i="12"/>
  <c r="Z235" i="12"/>
  <c r="L14" i="3"/>
  <c r="F31" i="6"/>
  <c r="L12" i="6"/>
  <c r="F18" i="6"/>
  <c r="V22" i="6"/>
  <c r="V16" i="9"/>
  <c r="V38" i="9"/>
  <c r="R46" i="9"/>
  <c r="J48" i="9"/>
  <c r="Z58" i="9"/>
  <c r="Z69" i="9"/>
  <c r="N28" i="12"/>
  <c r="L28" i="12"/>
  <c r="Z36" i="12"/>
  <c r="N55" i="12"/>
  <c r="L55" i="12"/>
  <c r="N78" i="12"/>
  <c r="Z84" i="12"/>
  <c r="N103" i="12"/>
  <c r="L103" i="12"/>
  <c r="N213" i="12"/>
  <c r="Z261" i="12"/>
  <c r="T12" i="15"/>
  <c r="X40" i="15"/>
  <c r="Z40" i="15" s="1"/>
  <c r="L19" i="9"/>
  <c r="N19" i="9" s="1"/>
  <c r="V46" i="9"/>
  <c r="V78" i="9"/>
  <c r="N24" i="12"/>
  <c r="L24" i="12"/>
  <c r="Z32" i="12"/>
  <c r="N51" i="12"/>
  <c r="L51" i="12"/>
  <c r="N72" i="12"/>
  <c r="N74" i="12"/>
  <c r="Z80" i="12"/>
  <c r="N99" i="12"/>
  <c r="L99" i="12"/>
  <c r="F174" i="12"/>
  <c r="F179" i="12"/>
  <c r="N211" i="12"/>
  <c r="F251" i="12"/>
  <c r="X19" i="9"/>
  <c r="V34" i="9"/>
  <c r="V52" i="9"/>
  <c r="J54" i="9"/>
  <c r="J70" i="9"/>
  <c r="N83" i="9"/>
  <c r="H12" i="12"/>
  <c r="L16" i="12"/>
  <c r="N16" i="12" s="1"/>
  <c r="L20" i="12"/>
  <c r="N20" i="12" s="1"/>
  <c r="N47" i="12"/>
  <c r="L47" i="12"/>
  <c r="L68" i="12"/>
  <c r="N68" i="12" s="1"/>
  <c r="N95" i="12"/>
  <c r="L95" i="12"/>
  <c r="L112" i="12"/>
  <c r="N209" i="12"/>
  <c r="L209" i="12"/>
  <c r="F227" i="12"/>
  <c r="D270" i="12"/>
  <c r="F270" i="12" s="1"/>
  <c r="P31" i="6"/>
  <c r="J14" i="9"/>
  <c r="R19" i="9"/>
  <c r="R21" i="9"/>
  <c r="R59" i="9"/>
  <c r="J81" i="9"/>
  <c r="P12" i="12"/>
  <c r="N43" i="12"/>
  <c r="L43" i="12"/>
  <c r="N64" i="12"/>
  <c r="L64" i="12"/>
  <c r="N91" i="12"/>
  <c r="L91" i="12"/>
  <c r="L108" i="12"/>
  <c r="H270" i="12"/>
  <c r="N271" i="12"/>
  <c r="L16" i="3"/>
  <c r="L20" i="3"/>
  <c r="N20" i="3" s="1"/>
  <c r="L24" i="3"/>
  <c r="N24" i="3" s="1"/>
  <c r="L28" i="3"/>
  <c r="L32" i="3"/>
  <c r="L36" i="3"/>
  <c r="N36" i="3" s="1"/>
  <c r="L40" i="3"/>
  <c r="L44" i="3"/>
  <c r="L48" i="3"/>
  <c r="L52" i="3"/>
  <c r="N52" i="3" s="1"/>
  <c r="L56" i="3"/>
  <c r="N56" i="3" s="1"/>
  <c r="L60" i="3"/>
  <c r="N60" i="3" s="1"/>
  <c r="L64" i="3"/>
  <c r="L68" i="3"/>
  <c r="N68" i="3" s="1"/>
  <c r="L72" i="3"/>
  <c r="L76" i="3"/>
  <c r="N76" i="3" s="1"/>
  <c r="L80" i="3"/>
  <c r="L84" i="3"/>
  <c r="L88" i="3"/>
  <c r="N88" i="3" s="1"/>
  <c r="L92" i="3"/>
  <c r="N92" i="3" s="1"/>
  <c r="L96" i="3"/>
  <c r="N96" i="3" s="1"/>
  <c r="L100" i="3"/>
  <c r="L104" i="3"/>
  <c r="N104" i="3" s="1"/>
  <c r="L108" i="3"/>
  <c r="L112" i="3"/>
  <c r="L116" i="3"/>
  <c r="N116" i="3" s="1"/>
  <c r="L120" i="3"/>
  <c r="L124" i="3"/>
  <c r="N124" i="3" s="1"/>
  <c r="L128" i="3"/>
  <c r="L132" i="3"/>
  <c r="L136" i="3"/>
  <c r="L140" i="3"/>
  <c r="L232" i="3"/>
  <c r="N232" i="3" s="1"/>
  <c r="X242" i="3"/>
  <c r="Z242" i="3" s="1"/>
  <c r="L248" i="3"/>
  <c r="N248" i="3" s="1"/>
  <c r="L256" i="3"/>
  <c r="N256" i="3" s="1"/>
  <c r="L264" i="3"/>
  <c r="N264" i="3" s="1"/>
  <c r="X286" i="3"/>
  <c r="Z286" i="3" s="1"/>
  <c r="X302" i="3"/>
  <c r="Z302" i="3" s="1"/>
  <c r="L314" i="3"/>
  <c r="X320" i="3"/>
  <c r="Z320" i="3" s="1"/>
  <c r="Z12" i="6"/>
  <c r="T16" i="6"/>
  <c r="V31" i="6"/>
  <c r="V29" i="6"/>
  <c r="V28" i="6"/>
  <c r="V26" i="6"/>
  <c r="V24" i="6"/>
  <c r="L29" i="6"/>
  <c r="N29" i="6" s="1"/>
  <c r="J18" i="9"/>
  <c r="Z19" i="9"/>
  <c r="R23" i="9"/>
  <c r="N39" i="9"/>
  <c r="N41" i="9"/>
  <c r="L41" i="9"/>
  <c r="V50" i="9"/>
  <c r="V57" i="9"/>
  <c r="V65" i="9"/>
  <c r="R70" i="9"/>
  <c r="N39" i="12"/>
  <c r="L39" i="12"/>
  <c r="N60" i="12"/>
  <c r="L60" i="12"/>
  <c r="L87" i="12"/>
  <c r="N87" i="12" s="1"/>
  <c r="L245" i="12"/>
  <c r="N245" i="12" s="1"/>
  <c r="X12" i="6"/>
  <c r="F16" i="6"/>
  <c r="V20" i="6"/>
  <c r="F28" i="6"/>
  <c r="X14" i="9"/>
  <c r="R25" i="9"/>
  <c r="X39" i="9"/>
  <c r="Z39" i="9" s="1"/>
  <c r="N43" i="9"/>
  <c r="R83" i="9"/>
  <c r="V85" i="9"/>
  <c r="L35" i="12"/>
  <c r="N35" i="12" s="1"/>
  <c r="N56" i="12"/>
  <c r="L56" i="12"/>
  <c r="N58" i="12"/>
  <c r="Z64" i="12"/>
  <c r="N83" i="12"/>
  <c r="L83" i="12"/>
  <c r="L100" i="12"/>
  <c r="N104" i="12"/>
  <c r="Z112" i="12"/>
  <c r="N185" i="12"/>
  <c r="L193" i="12"/>
  <c r="N193" i="12" s="1"/>
  <c r="N207" i="12"/>
  <c r="N267" i="12"/>
  <c r="Z271" i="12"/>
  <c r="N22" i="15"/>
  <c r="F43" i="9"/>
  <c r="F44" i="9"/>
  <c r="F68" i="9"/>
  <c r="F76" i="9"/>
  <c r="F89" i="9"/>
  <c r="F91" i="9"/>
  <c r="V119" i="12"/>
  <c r="V123" i="12"/>
  <c r="V127" i="12"/>
  <c r="V131" i="12"/>
  <c r="V135" i="12"/>
  <c r="V139" i="12"/>
  <c r="V143" i="12"/>
  <c r="V147" i="12"/>
  <c r="V151" i="12"/>
  <c r="V155" i="12"/>
  <c r="V159" i="12"/>
  <c r="V163" i="12"/>
  <c r="V167" i="12"/>
  <c r="V203" i="12"/>
  <c r="V223" i="12"/>
  <c r="V231" i="12"/>
  <c r="V247" i="12"/>
  <c r="V277" i="12"/>
  <c r="H12" i="15"/>
  <c r="X25" i="15"/>
  <c r="N37" i="15"/>
  <c r="L37" i="15"/>
  <c r="L49" i="15"/>
  <c r="N49" i="15" s="1"/>
  <c r="N61" i="15"/>
  <c r="L61" i="15"/>
  <c r="N68" i="15"/>
  <c r="X73" i="15"/>
  <c r="N84" i="15"/>
  <c r="X89" i="15"/>
  <c r="X91" i="15"/>
  <c r="N93" i="15"/>
  <c r="Z113" i="15"/>
  <c r="X113" i="15"/>
  <c r="Z258" i="15"/>
  <c r="H16" i="6"/>
  <c r="F80" i="9"/>
  <c r="F81" i="9"/>
  <c r="V176" i="12"/>
  <c r="V180" i="12"/>
  <c r="V184" i="12"/>
  <c r="V196" i="12"/>
  <c r="V204" i="12"/>
  <c r="V212" i="12"/>
  <c r="V236" i="12"/>
  <c r="V248" i="12"/>
  <c r="V252" i="12"/>
  <c r="V256" i="12"/>
  <c r="V264" i="12"/>
  <c r="L271" i="12"/>
  <c r="V278" i="12"/>
  <c r="N14" i="15"/>
  <c r="X22" i="15"/>
  <c r="Z22" i="15" s="1"/>
  <c r="Z25" i="15"/>
  <c r="N34" i="15"/>
  <c r="X37" i="15"/>
  <c r="X49" i="15"/>
  <c r="N58" i="15"/>
  <c r="X61" i="15"/>
  <c r="Z61" i="15" s="1"/>
  <c r="N70" i="15"/>
  <c r="Z73" i="15"/>
  <c r="X75" i="15"/>
  <c r="Z75" i="15" s="1"/>
  <c r="N86" i="15"/>
  <c r="Z89" i="15"/>
  <c r="Z91" i="15"/>
  <c r="X93" i="15"/>
  <c r="Z93" i="15" s="1"/>
  <c r="X95" i="15"/>
  <c r="Z190" i="15"/>
  <c r="V213" i="12"/>
  <c r="V221" i="12"/>
  <c r="V229" i="12"/>
  <c r="V241" i="12"/>
  <c r="V279" i="12"/>
  <c r="Z37" i="15"/>
  <c r="Z49" i="15"/>
  <c r="L77" i="15"/>
  <c r="N77" i="15" s="1"/>
  <c r="Z95" i="15"/>
  <c r="Z38" i="18"/>
  <c r="X38" i="18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6" i="12"/>
  <c r="V194" i="12"/>
  <c r="V202" i="12"/>
  <c r="V210" i="12"/>
  <c r="V222" i="12"/>
  <c r="V230" i="12"/>
  <c r="V234" i="12"/>
  <c r="V246" i="12"/>
  <c r="V262" i="12"/>
  <c r="Z17" i="15"/>
  <c r="L24" i="15"/>
  <c r="N24" i="15" s="1"/>
  <c r="Z97" i="15"/>
  <c r="Z99" i="15"/>
  <c r="Z18" i="18"/>
  <c r="X18" i="18"/>
  <c r="Z70" i="18"/>
  <c r="X70" i="18"/>
  <c r="F39" i="9"/>
  <c r="F40" i="9"/>
  <c r="F51" i="9"/>
  <c r="F52" i="9"/>
  <c r="V175" i="12"/>
  <c r="V179" i="12"/>
  <c r="V183" i="12"/>
  <c r="V195" i="12"/>
  <c r="L200" i="12"/>
  <c r="N200" i="12" s="1"/>
  <c r="V211" i="12"/>
  <c r="L216" i="12"/>
  <c r="N216" i="12" s="1"/>
  <c r="V219" i="12"/>
  <c r="X222" i="12"/>
  <c r="Z222" i="12" s="1"/>
  <c r="V227" i="12"/>
  <c r="X230" i="12"/>
  <c r="Z230" i="12" s="1"/>
  <c r="V235" i="12"/>
  <c r="V251" i="12"/>
  <c r="V255" i="12"/>
  <c r="V263" i="12"/>
  <c r="T270" i="12"/>
  <c r="L274" i="12"/>
  <c r="N274" i="12" s="1"/>
  <c r="N16" i="15"/>
  <c r="X19" i="15"/>
  <c r="Z19" i="15" s="1"/>
  <c r="N26" i="15"/>
  <c r="L29" i="15"/>
  <c r="N36" i="15"/>
  <c r="N41" i="15"/>
  <c r="L41" i="15"/>
  <c r="N48" i="15"/>
  <c r="N53" i="15"/>
  <c r="L53" i="15"/>
  <c r="N60" i="15"/>
  <c r="N65" i="15"/>
  <c r="L65" i="15"/>
  <c r="Z77" i="15"/>
  <c r="X79" i="15"/>
  <c r="Z79" i="15" s="1"/>
  <c r="N90" i="15"/>
  <c r="Z101" i="15"/>
  <c r="Z103" i="15"/>
  <c r="X105" i="15"/>
  <c r="X107" i="15"/>
  <c r="N202" i="15"/>
  <c r="L202" i="15"/>
  <c r="Z252" i="15"/>
  <c r="X252" i="15"/>
  <c r="Z124" i="18"/>
  <c r="F60" i="9"/>
  <c r="F61" i="9"/>
  <c r="F72" i="9"/>
  <c r="F73" i="9"/>
  <c r="X83" i="9"/>
  <c r="Z83" i="9" s="1"/>
  <c r="T171" i="12"/>
  <c r="V188" i="12"/>
  <c r="V192" i="12"/>
  <c r="V208" i="12"/>
  <c r="V220" i="12"/>
  <c r="V228" i="12"/>
  <c r="V240" i="12"/>
  <c r="V244" i="12"/>
  <c r="V260" i="12"/>
  <c r="V268" i="12"/>
  <c r="N38" i="15"/>
  <c r="N62" i="15"/>
  <c r="N81" i="15"/>
  <c r="L81" i="15"/>
  <c r="N94" i="15"/>
  <c r="Z105" i="15"/>
  <c r="Z107" i="15"/>
  <c r="Z50" i="18"/>
  <c r="X50" i="18"/>
  <c r="L79" i="18"/>
  <c r="N79" i="18" s="1"/>
  <c r="D12" i="18"/>
  <c r="Z115" i="18"/>
  <c r="X115" i="18"/>
  <c r="Z18" i="27"/>
  <c r="D16" i="9"/>
  <c r="F49" i="9"/>
  <c r="F50" i="9"/>
  <c r="F65" i="9"/>
  <c r="F66" i="9"/>
  <c r="F78" i="9"/>
  <c r="F85" i="9"/>
  <c r="F86" i="9"/>
  <c r="L22" i="12"/>
  <c r="N22" i="12" s="1"/>
  <c r="L26" i="12"/>
  <c r="N26" i="12" s="1"/>
  <c r="L30" i="12"/>
  <c r="L34" i="12"/>
  <c r="N34" i="12" s="1"/>
  <c r="L38" i="12"/>
  <c r="N38" i="12" s="1"/>
  <c r="L42" i="12"/>
  <c r="L46" i="12"/>
  <c r="N46" i="12" s="1"/>
  <c r="L50" i="12"/>
  <c r="N50" i="12" s="1"/>
  <c r="L54" i="12"/>
  <c r="N54" i="12" s="1"/>
  <c r="L58" i="12"/>
  <c r="L62" i="12"/>
  <c r="L66" i="12"/>
  <c r="N66" i="12" s="1"/>
  <c r="L70" i="12"/>
  <c r="N70" i="12" s="1"/>
  <c r="V117" i="12"/>
  <c r="V121" i="12"/>
  <c r="V125" i="12"/>
  <c r="V129" i="12"/>
  <c r="V133" i="12"/>
  <c r="V137" i="12"/>
  <c r="V141" i="12"/>
  <c r="V145" i="12"/>
  <c r="V149" i="12"/>
  <c r="V153" i="12"/>
  <c r="V157" i="12"/>
  <c r="V161" i="12"/>
  <c r="V165" i="12"/>
  <c r="V169" i="12"/>
  <c r="V171" i="12"/>
  <c r="V173" i="12"/>
  <c r="V193" i="12"/>
  <c r="V201" i="12"/>
  <c r="V209" i="12"/>
  <c r="V217" i="12"/>
  <c r="V225" i="12"/>
  <c r="V233" i="12"/>
  <c r="V245" i="12"/>
  <c r="V261" i="12"/>
  <c r="V271" i="12"/>
  <c r="D12" i="15"/>
  <c r="L21" i="15"/>
  <c r="X24" i="15"/>
  <c r="Z24" i="15" s="1"/>
  <c r="X26" i="15"/>
  <c r="Z26" i="15" s="1"/>
  <c r="Z29" i="15"/>
  <c r="Z41" i="15"/>
  <c r="Z53" i="15"/>
  <c r="Z65" i="15"/>
  <c r="N76" i="15"/>
  <c r="X81" i="15"/>
  <c r="Z81" i="15" s="1"/>
  <c r="N98" i="15"/>
  <c r="Z109" i="15"/>
  <c r="Z111" i="15"/>
  <c r="X208" i="15"/>
  <c r="Z208" i="15" s="1"/>
  <c r="N219" i="15"/>
  <c r="L219" i="15"/>
  <c r="Z28" i="18"/>
  <c r="X28" i="18"/>
  <c r="H12" i="21"/>
  <c r="N13" i="21"/>
  <c r="L13" i="21"/>
  <c r="F58" i="9"/>
  <c r="F59" i="9"/>
  <c r="F71" i="9"/>
  <c r="V174" i="12"/>
  <c r="V178" i="12"/>
  <c r="V182" i="12"/>
  <c r="X193" i="12"/>
  <c r="Z193" i="12" s="1"/>
  <c r="V206" i="12"/>
  <c r="V218" i="12"/>
  <c r="V226" i="12"/>
  <c r="V238" i="12"/>
  <c r="V250" i="12"/>
  <c r="V254" i="12"/>
  <c r="V266" i="12"/>
  <c r="V272" i="12"/>
  <c r="X21" i="15"/>
  <c r="Z21" i="15" s="1"/>
  <c r="X31" i="15"/>
  <c r="Z31" i="15" s="1"/>
  <c r="X43" i="15"/>
  <c r="Z43" i="15" s="1"/>
  <c r="X55" i="15"/>
  <c r="Z55" i="15" s="1"/>
  <c r="X67" i="15"/>
  <c r="Z67" i="15" s="1"/>
  <c r="X83" i="15"/>
  <c r="Z83" i="15" s="1"/>
  <c r="L85" i="15"/>
  <c r="L211" i="15"/>
  <c r="N211" i="15" s="1"/>
  <c r="N232" i="15"/>
  <c r="Z13" i="18"/>
  <c r="T12" i="18"/>
  <c r="X12" i="18" s="1"/>
  <c r="X13" i="18"/>
  <c r="F47" i="9"/>
  <c r="F48" i="9"/>
  <c r="F64" i="9"/>
  <c r="F83" i="9"/>
  <c r="F84" i="9"/>
  <c r="F95" i="9"/>
  <c r="F98" i="9"/>
  <c r="V187" i="12"/>
  <c r="V191" i="12"/>
  <c r="V199" i="12"/>
  <c r="V207" i="12"/>
  <c r="V215" i="12"/>
  <c r="V239" i="12"/>
  <c r="V243" i="12"/>
  <c r="V259" i="12"/>
  <c r="V267" i="12"/>
  <c r="V273" i="12"/>
  <c r="X18" i="15"/>
  <c r="N33" i="15"/>
  <c r="L33" i="15"/>
  <c r="N45" i="15"/>
  <c r="L45" i="15"/>
  <c r="N52" i="15"/>
  <c r="L57" i="15"/>
  <c r="N57" i="15" s="1"/>
  <c r="L69" i="15"/>
  <c r="N69" i="15" s="1"/>
  <c r="N85" i="15"/>
  <c r="V116" i="12"/>
  <c r="V120" i="12"/>
  <c r="V124" i="12"/>
  <c r="V128" i="12"/>
  <c r="V132" i="12"/>
  <c r="V136" i="12"/>
  <c r="V140" i="12"/>
  <c r="V144" i="12"/>
  <c r="V148" i="12"/>
  <c r="V152" i="12"/>
  <c r="V156" i="12"/>
  <c r="V160" i="12"/>
  <c r="V164" i="12"/>
  <c r="V168" i="12"/>
  <c r="V200" i="12"/>
  <c r="V216" i="12"/>
  <c r="V224" i="12"/>
  <c r="V232" i="12"/>
  <c r="V274" i="12"/>
  <c r="X13" i="15"/>
  <c r="P12" i="15"/>
  <c r="N54" i="15"/>
  <c r="N66" i="15"/>
  <c r="L106" i="15"/>
  <c r="Z180" i="15"/>
  <c r="X180" i="15"/>
  <c r="Z232" i="15"/>
  <c r="Z75" i="18"/>
  <c r="X75" i="18"/>
  <c r="X101" i="18"/>
  <c r="Z101" i="18" s="1"/>
  <c r="J26" i="6"/>
  <c r="J28" i="6"/>
  <c r="J29" i="6"/>
  <c r="F45" i="9"/>
  <c r="F46" i="9"/>
  <c r="F69" i="9"/>
  <c r="F70" i="9"/>
  <c r="V177" i="12"/>
  <c r="V181" i="12"/>
  <c r="V197" i="12"/>
  <c r="V205" i="12"/>
  <c r="V237" i="12"/>
  <c r="V249" i="12"/>
  <c r="V253" i="12"/>
  <c r="V257" i="12"/>
  <c r="V265" i="12"/>
  <c r="V275" i="12"/>
  <c r="V283" i="12"/>
  <c r="L20" i="15"/>
  <c r="N20" i="15" s="1"/>
  <c r="N25" i="15"/>
  <c r="L30" i="15"/>
  <c r="Z33" i="15"/>
  <c r="Z45" i="15"/>
  <c r="Z57" i="15"/>
  <c r="Z69" i="15"/>
  <c r="X71" i="15"/>
  <c r="Z71" i="15" s="1"/>
  <c r="Z85" i="15"/>
  <c r="X87" i="15"/>
  <c r="Z87" i="15" s="1"/>
  <c r="N190" i="15"/>
  <c r="Z215" i="15"/>
  <c r="Z223" i="15"/>
  <c r="N113" i="15"/>
  <c r="L190" i="15"/>
  <c r="Z195" i="15"/>
  <c r="L206" i="15"/>
  <c r="N206" i="15" s="1"/>
  <c r="Z211" i="15"/>
  <c r="Z219" i="15"/>
  <c r="L258" i="15"/>
  <c r="N258" i="15" s="1"/>
  <c r="X263" i="15"/>
  <c r="X264" i="15"/>
  <c r="Z264" i="15" s="1"/>
  <c r="Z267" i="15"/>
  <c r="Z21" i="18"/>
  <c r="Z26" i="18"/>
  <c r="X36" i="18"/>
  <c r="Z36" i="18" s="1"/>
  <c r="X48" i="18"/>
  <c r="Z48" i="18" s="1"/>
  <c r="Z68" i="18"/>
  <c r="X68" i="18"/>
  <c r="Z99" i="18"/>
  <c r="X99" i="18"/>
  <c r="Z106" i="18"/>
  <c r="Z113" i="18"/>
  <c r="Z127" i="18"/>
  <c r="X127" i="18"/>
  <c r="T287" i="18"/>
  <c r="X288" i="18"/>
  <c r="Z288" i="18" s="1"/>
  <c r="X262" i="15"/>
  <c r="Z262" i="15" s="1"/>
  <c r="Z263" i="15"/>
  <c r="R288" i="18"/>
  <c r="R285" i="18"/>
  <c r="R278" i="18"/>
  <c r="R277" i="18"/>
  <c r="R261" i="18"/>
  <c r="R234" i="18"/>
  <c r="R233" i="18"/>
  <c r="R217" i="18"/>
  <c r="R206" i="18"/>
  <c r="R205" i="18"/>
  <c r="R201" i="18"/>
  <c r="R197" i="18"/>
  <c r="R299" i="18"/>
  <c r="R272" i="18"/>
  <c r="R268" i="18"/>
  <c r="R256" i="18"/>
  <c r="R225" i="18"/>
  <c r="R224" i="18"/>
  <c r="R188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298" i="18"/>
  <c r="R280" i="18"/>
  <c r="R279" i="18"/>
  <c r="R251" i="18"/>
  <c r="R243" i="18"/>
  <c r="R235" i="18"/>
  <c r="R211" i="18"/>
  <c r="R207" i="18"/>
  <c r="R303" i="18"/>
  <c r="R296" i="18"/>
  <c r="R281" i="18"/>
  <c r="R273" i="18"/>
  <c r="R269" i="18"/>
  <c r="R258" i="18"/>
  <c r="R257" i="18"/>
  <c r="R189" i="18"/>
  <c r="R185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295" i="18"/>
  <c r="R264" i="18"/>
  <c r="R252" i="18"/>
  <c r="R245" i="18"/>
  <c r="R244" i="18"/>
  <c r="R237" i="18"/>
  <c r="R236" i="18"/>
  <c r="R221" i="18"/>
  <c r="R220" i="18"/>
  <c r="R212" i="18"/>
  <c r="R208" i="18"/>
  <c r="R294" i="18"/>
  <c r="R259" i="18"/>
  <c r="R228" i="18"/>
  <c r="R227" i="18"/>
  <c r="R203" i="18"/>
  <c r="R199" i="18"/>
  <c r="R293" i="18"/>
  <c r="R282" i="18"/>
  <c r="R275" i="18"/>
  <c r="R274" i="18"/>
  <c r="R270" i="18"/>
  <c r="R247" i="18"/>
  <c r="R246" i="18"/>
  <c r="R239" i="18"/>
  <c r="R238" i="18"/>
  <c r="R222" i="18"/>
  <c r="R195" i="18"/>
  <c r="R190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292" i="18"/>
  <c r="R266" i="18"/>
  <c r="R265" i="18"/>
  <c r="R254" i="18"/>
  <c r="R253" i="18"/>
  <c r="R230" i="18"/>
  <c r="R229" i="18"/>
  <c r="R214" i="18"/>
  <c r="R213" i="18"/>
  <c r="R209" i="18"/>
  <c r="R194" i="18"/>
  <c r="R291" i="18"/>
  <c r="R276" i="18"/>
  <c r="R260" i="18"/>
  <c r="R249" i="18"/>
  <c r="R248" i="18"/>
  <c r="R241" i="18"/>
  <c r="R240" i="18"/>
  <c r="R204" i="18"/>
  <c r="R200" i="18"/>
  <c r="R196" i="18"/>
  <c r="P192" i="18"/>
  <c r="R290" i="18"/>
  <c r="R284" i="18"/>
  <c r="R283" i="18"/>
  <c r="R271" i="18"/>
  <c r="R267" i="18"/>
  <c r="R255" i="18"/>
  <c r="R232" i="18"/>
  <c r="R231" i="18"/>
  <c r="R223" i="18"/>
  <c r="R216" i="18"/>
  <c r="R215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Z31" i="18"/>
  <c r="X31" i="18"/>
  <c r="Z43" i="18"/>
  <c r="X43" i="18"/>
  <c r="X55" i="18"/>
  <c r="Z55" i="18" s="1"/>
  <c r="X60" i="18"/>
  <c r="Z60" i="18" s="1"/>
  <c r="Z65" i="18"/>
  <c r="X80" i="18"/>
  <c r="Z80" i="18" s="1"/>
  <c r="Z87" i="18"/>
  <c r="X87" i="18"/>
  <c r="Z129" i="18"/>
  <c r="Z216" i="18"/>
  <c r="Z230" i="18"/>
  <c r="N278" i="18"/>
  <c r="P287" i="18"/>
  <c r="X287" i="18" s="1"/>
  <c r="X290" i="18"/>
  <c r="Z290" i="18" s="1"/>
  <c r="N40" i="21"/>
  <c r="N53" i="21"/>
  <c r="J130" i="24"/>
  <c r="J133" i="24"/>
  <c r="J117" i="24"/>
  <c r="J107" i="24"/>
  <c r="J128" i="24"/>
  <c r="J122" i="24"/>
  <c r="J114" i="24"/>
  <c r="J138" i="24"/>
  <c r="J99" i="24"/>
  <c r="J95" i="24"/>
  <c r="J101" i="24"/>
  <c r="J77" i="24"/>
  <c r="J73" i="24"/>
  <c r="J69" i="24"/>
  <c r="J65" i="24"/>
  <c r="J61" i="24"/>
  <c r="J57" i="24"/>
  <c r="J134" i="24"/>
  <c r="J129" i="24"/>
  <c r="J123" i="24"/>
  <c r="J119" i="24"/>
  <c r="J109" i="24"/>
  <c r="J102" i="24"/>
  <c r="J115" i="24"/>
  <c r="J104" i="24"/>
  <c r="J78" i="24"/>
  <c r="J131" i="24"/>
  <c r="J98" i="24"/>
  <c r="J84" i="24"/>
  <c r="J112" i="24"/>
  <c r="J106" i="24"/>
  <c r="J93" i="24"/>
  <c r="J94" i="24"/>
  <c r="J91" i="24"/>
  <c r="J66" i="24"/>
  <c r="J60" i="24"/>
  <c r="J126" i="24"/>
  <c r="J86" i="24"/>
  <c r="J81" i="24"/>
  <c r="J75" i="24"/>
  <c r="J72" i="24"/>
  <c r="J63" i="24"/>
  <c r="J124" i="24"/>
  <c r="J113" i="24"/>
  <c r="J105" i="24"/>
  <c r="J97" i="24"/>
  <c r="J89" i="24"/>
  <c r="H81" i="24"/>
  <c r="J120" i="24"/>
  <c r="J108" i="24"/>
  <c r="J58" i="24"/>
  <c r="J118" i="24"/>
  <c r="J110" i="24"/>
  <c r="J83" i="24"/>
  <c r="J70" i="24"/>
  <c r="J116" i="24"/>
  <c r="J100" i="24"/>
  <c r="J67" i="24"/>
  <c r="J64" i="24"/>
  <c r="J55" i="24"/>
  <c r="J92" i="24"/>
  <c r="J90" i="24"/>
  <c r="J87" i="24"/>
  <c r="J76" i="24"/>
  <c r="J121" i="24"/>
  <c r="J103" i="24"/>
  <c r="J127" i="24"/>
  <c r="J111" i="24"/>
  <c r="J74" i="24"/>
  <c r="J62" i="24"/>
  <c r="J59" i="24"/>
  <c r="J56" i="24"/>
  <c r="J125" i="24"/>
  <c r="J96" i="24"/>
  <c r="J85" i="24"/>
  <c r="J79" i="24"/>
  <c r="J71" i="24"/>
  <c r="J68" i="24"/>
  <c r="Z94" i="24"/>
  <c r="Z23" i="18"/>
  <c r="X23" i="18"/>
  <c r="Z89" i="18"/>
  <c r="Z103" i="18"/>
  <c r="X103" i="18"/>
  <c r="R297" i="18"/>
  <c r="R79" i="21"/>
  <c r="R72" i="21"/>
  <c r="R71" i="21"/>
  <c r="R60" i="21"/>
  <c r="R59" i="21"/>
  <c r="R43" i="21"/>
  <c r="R24" i="21"/>
  <c r="R108" i="21"/>
  <c r="R95" i="21"/>
  <c r="R94" i="21"/>
  <c r="R90" i="21"/>
  <c r="R86" i="21"/>
  <c r="R51" i="21"/>
  <c r="R50" i="21"/>
  <c r="R38" i="21"/>
  <c r="R34" i="21"/>
  <c r="R73" i="21"/>
  <c r="R62" i="21"/>
  <c r="R61" i="21"/>
  <c r="R25" i="21"/>
  <c r="R97" i="21"/>
  <c r="R96" i="21"/>
  <c r="R80" i="21"/>
  <c r="R53" i="21"/>
  <c r="R52" i="21"/>
  <c r="R44" i="21"/>
  <c r="X12" i="21"/>
  <c r="R91" i="21"/>
  <c r="R87" i="21"/>
  <c r="R64" i="21"/>
  <c r="R63" i="21"/>
  <c r="R40" i="21"/>
  <c r="R39" i="21"/>
  <c r="R35" i="21"/>
  <c r="R99" i="21"/>
  <c r="R98" i="21"/>
  <c r="R74" i="21"/>
  <c r="R54" i="21"/>
  <c r="R31" i="21"/>
  <c r="R26" i="21"/>
  <c r="R81" i="21"/>
  <c r="R66" i="21"/>
  <c r="R65" i="21"/>
  <c r="R45" i="21"/>
  <c r="R41" i="21"/>
  <c r="R30" i="21"/>
  <c r="R28" i="21"/>
  <c r="R101" i="21"/>
  <c r="R100" i="21"/>
  <c r="R92" i="21"/>
  <c r="R88" i="21"/>
  <c r="R36" i="21"/>
  <c r="R32" i="21"/>
  <c r="P28" i="21"/>
  <c r="R76" i="21"/>
  <c r="R75" i="21"/>
  <c r="R68" i="21"/>
  <c r="R67" i="21"/>
  <c r="R56" i="21"/>
  <c r="R55" i="21"/>
  <c r="R102" i="21"/>
  <c r="R83" i="21"/>
  <c r="R82" i="21"/>
  <c r="R47" i="21"/>
  <c r="R46" i="21"/>
  <c r="R42" i="21"/>
  <c r="R104" i="21"/>
  <c r="R93" i="21"/>
  <c r="R89" i="21"/>
  <c r="R78" i="21"/>
  <c r="R77" i="21"/>
  <c r="R70" i="21"/>
  <c r="R69" i="21"/>
  <c r="R58" i="21"/>
  <c r="R57" i="21"/>
  <c r="R37" i="21"/>
  <c r="R33" i="21"/>
  <c r="N17" i="21"/>
  <c r="L17" i="21"/>
  <c r="Z40" i="21"/>
  <c r="Z64" i="21"/>
  <c r="N78" i="21"/>
  <c r="T12" i="27"/>
  <c r="Z16" i="27"/>
  <c r="Z15" i="18"/>
  <c r="X15" i="18"/>
  <c r="X33" i="18"/>
  <c r="Z33" i="18" s="1"/>
  <c r="Z40" i="18"/>
  <c r="X40" i="18"/>
  <c r="X45" i="18"/>
  <c r="Z45" i="18" s="1"/>
  <c r="Z52" i="18"/>
  <c r="X52" i="18"/>
  <c r="X57" i="18"/>
  <c r="Z57" i="18" s="1"/>
  <c r="X72" i="18"/>
  <c r="Z72" i="18" s="1"/>
  <c r="Z77" i="18"/>
  <c r="X89" i="18"/>
  <c r="Z214" i="18"/>
  <c r="N219" i="18"/>
  <c r="Z278" i="18"/>
  <c r="X278" i="18"/>
  <c r="V108" i="21"/>
  <c r="V94" i="21"/>
  <c r="V90" i="21"/>
  <c r="V86" i="21"/>
  <c r="V62" i="21"/>
  <c r="V50" i="21"/>
  <c r="V38" i="21"/>
  <c r="V34" i="21"/>
  <c r="V97" i="21"/>
  <c r="V73" i="21"/>
  <c r="V61" i="21"/>
  <c r="V53" i="21"/>
  <c r="V25" i="21"/>
  <c r="V96" i="21"/>
  <c r="V80" i="21"/>
  <c r="V64" i="21"/>
  <c r="V52" i="21"/>
  <c r="V44" i="21"/>
  <c r="V40" i="21"/>
  <c r="Z12" i="21"/>
  <c r="V99" i="21"/>
  <c r="V91" i="21"/>
  <c r="V87" i="21"/>
  <c r="V63" i="21"/>
  <c r="V39" i="21"/>
  <c r="V35" i="21"/>
  <c r="V31" i="21"/>
  <c r="V98" i="21"/>
  <c r="V74" i="21"/>
  <c r="V66" i="21"/>
  <c r="V54" i="21"/>
  <c r="V30" i="21"/>
  <c r="V28" i="21"/>
  <c r="V26" i="21"/>
  <c r="V101" i="21"/>
  <c r="V81" i="21"/>
  <c r="V65" i="21"/>
  <c r="V45" i="21"/>
  <c r="V41" i="21"/>
  <c r="T28" i="21"/>
  <c r="V100" i="21"/>
  <c r="V92" i="21"/>
  <c r="V88" i="21"/>
  <c r="V76" i="21"/>
  <c r="V68" i="21"/>
  <c r="V56" i="21"/>
  <c r="V36" i="21"/>
  <c r="V32" i="21"/>
  <c r="V83" i="21"/>
  <c r="V75" i="21"/>
  <c r="V67" i="21"/>
  <c r="V55" i="21"/>
  <c r="V47" i="21"/>
  <c r="V104" i="21"/>
  <c r="V102" i="21"/>
  <c r="V82" i="21"/>
  <c r="V78" i="21"/>
  <c r="V70" i="21"/>
  <c r="V58" i="21"/>
  <c r="V46" i="21"/>
  <c r="V42" i="21"/>
  <c r="V93" i="21"/>
  <c r="V89" i="21"/>
  <c r="V85" i="21"/>
  <c r="V77" i="21"/>
  <c r="V69" i="21"/>
  <c r="V57" i="21"/>
  <c r="V49" i="21"/>
  <c r="V37" i="21"/>
  <c r="V33" i="21"/>
  <c r="V84" i="21"/>
  <c r="V72" i="21"/>
  <c r="V60" i="21"/>
  <c r="V48" i="21"/>
  <c r="V24" i="21"/>
  <c r="X24" i="21"/>
  <c r="Z24" i="21" s="1"/>
  <c r="L30" i="21"/>
  <c r="N30" i="21" s="1"/>
  <c r="V43" i="21"/>
  <c r="Z47" i="21"/>
  <c r="R49" i="21"/>
  <c r="V51" i="21"/>
  <c r="R85" i="21"/>
  <c r="N37" i="24"/>
  <c r="D261" i="15"/>
  <c r="L270" i="15"/>
  <c r="N270" i="15" s="1"/>
  <c r="Z20" i="18"/>
  <c r="X20" i="18"/>
  <c r="Z25" i="18"/>
  <c r="Z30" i="18"/>
  <c r="X35" i="18"/>
  <c r="Z35" i="18" s="1"/>
  <c r="Z47" i="18"/>
  <c r="X47" i="18"/>
  <c r="X62" i="18"/>
  <c r="Z62" i="18" s="1"/>
  <c r="X67" i="18"/>
  <c r="Z67" i="18" s="1"/>
  <c r="X77" i="18"/>
  <c r="Z105" i="18"/>
  <c r="Z126" i="18"/>
  <c r="Z194" i="18"/>
  <c r="R210" i="18"/>
  <c r="Z266" i="18"/>
  <c r="Z292" i="18"/>
  <c r="L294" i="18"/>
  <c r="N294" i="18" s="1"/>
  <c r="Z78" i="21"/>
  <c r="X21" i="24"/>
  <c r="X37" i="24"/>
  <c r="Z37" i="24" s="1"/>
  <c r="Z53" i="24"/>
  <c r="N262" i="15"/>
  <c r="L267" i="15"/>
  <c r="N267" i="15" s="1"/>
  <c r="Z17" i="18"/>
  <c r="Z42" i="18"/>
  <c r="X59" i="18"/>
  <c r="Z59" i="18" s="1"/>
  <c r="X64" i="18"/>
  <c r="Z64" i="18" s="1"/>
  <c r="Z79" i="18"/>
  <c r="X79" i="18"/>
  <c r="X91" i="18"/>
  <c r="Z91" i="18" s="1"/>
  <c r="X119" i="18"/>
  <c r="Z119" i="18" s="1"/>
  <c r="R219" i="18"/>
  <c r="Z21" i="24"/>
  <c r="H261" i="15"/>
  <c r="X17" i="18"/>
  <c r="Z22" i="18"/>
  <c r="X27" i="18"/>
  <c r="Z27" i="18" s="1"/>
  <c r="Z37" i="18"/>
  <c r="X42" i="18"/>
  <c r="Z49" i="18"/>
  <c r="X54" i="18"/>
  <c r="Z54" i="18" s="1"/>
  <c r="Z69" i="18"/>
  <c r="X74" i="18"/>
  <c r="Z74" i="18" s="1"/>
  <c r="Z107" i="18"/>
  <c r="X107" i="18"/>
  <c r="Z114" i="18"/>
  <c r="Z121" i="18"/>
  <c r="R131" i="18"/>
  <c r="L232" i="18"/>
  <c r="N232" i="18" s="1"/>
  <c r="N234" i="18"/>
  <c r="X258" i="18"/>
  <c r="L284" i="18"/>
  <c r="R289" i="18"/>
  <c r="Z294" i="18"/>
  <c r="Z58" i="21"/>
  <c r="Z60" i="21"/>
  <c r="X60" i="21"/>
  <c r="D12" i="24"/>
  <c r="X266" i="15"/>
  <c r="Z266" i="15" s="1"/>
  <c r="X269" i="15"/>
  <c r="Z269" i="15" s="1"/>
  <c r="Z32" i="18"/>
  <c r="X32" i="18"/>
  <c r="Z44" i="18"/>
  <c r="X44" i="18"/>
  <c r="X56" i="18"/>
  <c r="Z56" i="18" s="1"/>
  <c r="Z61" i="18"/>
  <c r="Z81" i="18"/>
  <c r="Z93" i="18"/>
  <c r="X123" i="18"/>
  <c r="Z123" i="18" s="1"/>
  <c r="Z258" i="18"/>
  <c r="N284" i="18"/>
  <c r="R48" i="21"/>
  <c r="V79" i="21"/>
  <c r="N130" i="24"/>
  <c r="L130" i="24"/>
  <c r="Z14" i="18"/>
  <c r="Z29" i="18"/>
  <c r="X39" i="18"/>
  <c r="Z39" i="18" s="1"/>
  <c r="Z51" i="18"/>
  <c r="X51" i="18"/>
  <c r="Z66" i="18"/>
  <c r="Z71" i="18"/>
  <c r="X71" i="18"/>
  <c r="Z76" i="18"/>
  <c r="X76" i="18"/>
  <c r="Z83" i="18"/>
  <c r="X83" i="18"/>
  <c r="Z95" i="18"/>
  <c r="X95" i="18"/>
  <c r="Z102" i="18"/>
  <c r="Z109" i="18"/>
  <c r="Z125" i="18"/>
  <c r="Z206" i="18"/>
  <c r="X206" i="18"/>
  <c r="L228" i="18"/>
  <c r="N228" i="18" s="1"/>
  <c r="N288" i="18"/>
  <c r="X296" i="18"/>
  <c r="R84" i="21"/>
  <c r="X270" i="15"/>
  <c r="Z270" i="15" s="1"/>
  <c r="X19" i="18"/>
  <c r="Z19" i="18" s="1"/>
  <c r="Z24" i="18"/>
  <c r="X24" i="18"/>
  <c r="Z34" i="18"/>
  <c r="Z46" i="18"/>
  <c r="Z58" i="18"/>
  <c r="Z104" i="18"/>
  <c r="X111" i="18"/>
  <c r="Z111" i="18" s="1"/>
  <c r="X234" i="18"/>
  <c r="Z234" i="18" s="1"/>
  <c r="R263" i="18"/>
  <c r="Z296" i="18"/>
  <c r="Z72" i="21"/>
  <c r="X72" i="21"/>
  <c r="Z40" i="24"/>
  <c r="X40" i="24"/>
  <c r="Z265" i="15"/>
  <c r="Z16" i="18"/>
  <c r="X16" i="18"/>
  <c r="X34" i="18"/>
  <c r="Z41" i="18"/>
  <c r="X46" i="18"/>
  <c r="Z53" i="18"/>
  <c r="X58" i="18"/>
  <c r="Z63" i="18"/>
  <c r="X63" i="18"/>
  <c r="Z73" i="18"/>
  <c r="Z78" i="18"/>
  <c r="Z85" i="18"/>
  <c r="Z97" i="18"/>
  <c r="R202" i="18"/>
  <c r="N216" i="18"/>
  <c r="R218" i="18"/>
  <c r="R226" i="18"/>
  <c r="R242" i="18"/>
  <c r="V59" i="21"/>
  <c r="N66" i="21"/>
  <c r="L66" i="21"/>
  <c r="Z70" i="21"/>
  <c r="Z24" i="24"/>
  <c r="X24" i="24"/>
  <c r="Z84" i="24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J182" i="18"/>
  <c r="J186" i="18"/>
  <c r="J190" i="18"/>
  <c r="J222" i="18"/>
  <c r="J228" i="18"/>
  <c r="J238" i="18"/>
  <c r="J246" i="18"/>
  <c r="J270" i="18"/>
  <c r="J274" i="18"/>
  <c r="J282" i="18"/>
  <c r="J294" i="18"/>
  <c r="N119" i="24"/>
  <c r="L119" i="24"/>
  <c r="L29" i="27"/>
  <c r="N105" i="27"/>
  <c r="F135" i="30"/>
  <c r="F127" i="30"/>
  <c r="F126" i="30"/>
  <c r="F107" i="30"/>
  <c r="F103" i="30"/>
  <c r="F167" i="30"/>
  <c r="F162" i="30"/>
  <c r="F161" i="30"/>
  <c r="F142" i="30"/>
  <c r="F118" i="30"/>
  <c r="F117" i="30"/>
  <c r="F98" i="30"/>
  <c r="F94" i="30"/>
  <c r="F171" i="30"/>
  <c r="F166" i="30"/>
  <c r="F153" i="30"/>
  <c r="F149" i="30"/>
  <c r="F109" i="30"/>
  <c r="F108" i="30"/>
  <c r="F85" i="30"/>
  <c r="F81" i="30"/>
  <c r="F77" i="30"/>
  <c r="F73" i="30"/>
  <c r="F69" i="30"/>
  <c r="F65" i="30"/>
  <c r="F61" i="30"/>
  <c r="F165" i="30"/>
  <c r="F136" i="30"/>
  <c r="F128" i="30"/>
  <c r="F120" i="30"/>
  <c r="F119" i="30"/>
  <c r="F104" i="30"/>
  <c r="F155" i="30"/>
  <c r="F154" i="30"/>
  <c r="F143" i="30"/>
  <c r="F111" i="30"/>
  <c r="F110" i="30"/>
  <c r="F99" i="30"/>
  <c r="F95" i="30"/>
  <c r="F150" i="30"/>
  <c r="F138" i="30"/>
  <c r="F137" i="30"/>
  <c r="F130" i="30"/>
  <c r="F129" i="30"/>
  <c r="F86" i="30"/>
  <c r="F82" i="30"/>
  <c r="F78" i="30"/>
  <c r="F74" i="30"/>
  <c r="F70" i="30"/>
  <c r="F66" i="30"/>
  <c r="F62" i="30"/>
  <c r="F58" i="30"/>
  <c r="F57" i="30"/>
  <c r="F157" i="30"/>
  <c r="F156" i="30"/>
  <c r="F145" i="30"/>
  <c r="F144" i="30"/>
  <c r="F121" i="30"/>
  <c r="F113" i="30"/>
  <c r="F112" i="30"/>
  <c r="F105" i="30"/>
  <c r="F132" i="30"/>
  <c r="F131" i="30"/>
  <c r="F100" i="30"/>
  <c r="F96" i="30"/>
  <c r="F146" i="30"/>
  <c r="F134" i="30"/>
  <c r="F133" i="30"/>
  <c r="F106" i="30"/>
  <c r="F102" i="30"/>
  <c r="F101" i="30"/>
  <c r="F160" i="30"/>
  <c r="F125" i="30"/>
  <c r="F91" i="30"/>
  <c r="F123" i="30"/>
  <c r="F59" i="30"/>
  <c r="F158" i="30"/>
  <c r="F97" i="30"/>
  <c r="F72" i="30"/>
  <c r="F140" i="30"/>
  <c r="F115" i="30"/>
  <c r="F84" i="30"/>
  <c r="F80" i="30"/>
  <c r="F76" i="30"/>
  <c r="F68" i="30"/>
  <c r="F64" i="30"/>
  <c r="F152" i="30"/>
  <c r="F148" i="30"/>
  <c r="F92" i="30"/>
  <c r="D89" i="30"/>
  <c r="F159" i="30"/>
  <c r="F60" i="30"/>
  <c r="F151" i="30"/>
  <c r="F147" i="30"/>
  <c r="F139" i="30"/>
  <c r="F114" i="30"/>
  <c r="F63" i="30"/>
  <c r="F116" i="30"/>
  <c r="F122" i="30"/>
  <c r="F71" i="30"/>
  <c r="F124" i="30"/>
  <c r="F83" i="30"/>
  <c r="F141" i="30"/>
  <c r="F67" i="30"/>
  <c r="F87" i="30"/>
  <c r="Z20" i="30"/>
  <c r="X26" i="30"/>
  <c r="Z26" i="30" s="1"/>
  <c r="F75" i="30"/>
  <c r="F93" i="30"/>
  <c r="J199" i="18"/>
  <c r="J203" i="18"/>
  <c r="J221" i="18"/>
  <c r="J227" i="18"/>
  <c r="J237" i="18"/>
  <c r="J245" i="18"/>
  <c r="J259" i="18"/>
  <c r="J295" i="18"/>
  <c r="D12" i="21"/>
  <c r="N29" i="27"/>
  <c r="J208" i="18"/>
  <c r="J212" i="18"/>
  <c r="J220" i="18"/>
  <c r="J236" i="18"/>
  <c r="J244" i="18"/>
  <c r="J252" i="18"/>
  <c r="J258" i="18"/>
  <c r="J264" i="18"/>
  <c r="J296" i="18"/>
  <c r="Z17" i="24"/>
  <c r="Z33" i="24"/>
  <c r="Z49" i="24"/>
  <c r="Z109" i="24"/>
  <c r="D12" i="27"/>
  <c r="L13" i="27"/>
  <c r="P12" i="30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185" i="18"/>
  <c r="J189" i="18"/>
  <c r="J219" i="18"/>
  <c r="J257" i="18"/>
  <c r="J263" i="18"/>
  <c r="J269" i="18"/>
  <c r="J273" i="18"/>
  <c r="J281" i="18"/>
  <c r="J297" i="18"/>
  <c r="J303" i="18"/>
  <c r="N13" i="24"/>
  <c r="X20" i="24"/>
  <c r="Z20" i="24" s="1"/>
  <c r="X36" i="24"/>
  <c r="Z36" i="24" s="1"/>
  <c r="X52" i="24"/>
  <c r="Z52" i="24" s="1"/>
  <c r="H12" i="27"/>
  <c r="N13" i="27"/>
  <c r="J198" i="18"/>
  <c r="J202" i="18"/>
  <c r="J218" i="18"/>
  <c r="J226" i="18"/>
  <c r="J262" i="18"/>
  <c r="J280" i="18"/>
  <c r="H287" i="18"/>
  <c r="L287" i="18" s="1"/>
  <c r="J298" i="18"/>
  <c r="X13" i="21"/>
  <c r="Z13" i="21" s="1"/>
  <c r="X83" i="21"/>
  <c r="Z83" i="21" s="1"/>
  <c r="P12" i="24"/>
  <c r="Z107" i="24"/>
  <c r="X111" i="24"/>
  <c r="Z111" i="24" s="1"/>
  <c r="X25" i="27"/>
  <c r="Z25" i="27" s="1"/>
  <c r="N126" i="30"/>
  <c r="X18" i="33"/>
  <c r="Z18" i="33"/>
  <c r="X84" i="18"/>
  <c r="Z84" i="18" s="1"/>
  <c r="X88" i="18"/>
  <c r="Z88" i="18" s="1"/>
  <c r="X92" i="18"/>
  <c r="Z92" i="18" s="1"/>
  <c r="X96" i="18"/>
  <c r="Z96" i="18" s="1"/>
  <c r="X100" i="18"/>
  <c r="Z100" i="18" s="1"/>
  <c r="X104" i="18"/>
  <c r="X108" i="18"/>
  <c r="Z108" i="18" s="1"/>
  <c r="X112" i="18"/>
  <c r="Z112" i="18" s="1"/>
  <c r="X116" i="18"/>
  <c r="Z116" i="18" s="1"/>
  <c r="X120" i="18"/>
  <c r="Z120" i="18" s="1"/>
  <c r="X124" i="18"/>
  <c r="X128" i="18"/>
  <c r="Z128" i="18" s="1"/>
  <c r="J207" i="18"/>
  <c r="J211" i="18"/>
  <c r="J225" i="18"/>
  <c r="J235" i="18"/>
  <c r="J243" i="18"/>
  <c r="J251" i="18"/>
  <c r="J279" i="18"/>
  <c r="J287" i="18"/>
  <c r="J299" i="18"/>
  <c r="Z29" i="24"/>
  <c r="Z45" i="24"/>
  <c r="X108" i="27"/>
  <c r="Z108" i="27" s="1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J180" i="18"/>
  <c r="J184" i="18"/>
  <c r="J188" i="18"/>
  <c r="J206" i="18"/>
  <c r="J224" i="18"/>
  <c r="J234" i="18"/>
  <c r="J256" i="18"/>
  <c r="J268" i="18"/>
  <c r="J272" i="18"/>
  <c r="J278" i="18"/>
  <c r="J288" i="18"/>
  <c r="X13" i="24"/>
  <c r="N18" i="24"/>
  <c r="N34" i="24"/>
  <c r="X84" i="24"/>
  <c r="Z121" i="24"/>
  <c r="X121" i="24"/>
  <c r="L22" i="27"/>
  <c r="N22" i="27" s="1"/>
  <c r="N38" i="27"/>
  <c r="L60" i="36"/>
  <c r="L62" i="36"/>
  <c r="N62" i="36" s="1"/>
  <c r="Z100" i="24"/>
  <c r="L121" i="27"/>
  <c r="N121" i="27" s="1"/>
  <c r="D120" i="27"/>
  <c r="L120" i="27" s="1"/>
  <c r="H12" i="30"/>
  <c r="N14" i="30"/>
  <c r="N60" i="36"/>
  <c r="J60" i="36"/>
  <c r="J210" i="18"/>
  <c r="J216" i="18"/>
  <c r="J232" i="18"/>
  <c r="J242" i="18"/>
  <c r="J250" i="18"/>
  <c r="J284" i="18"/>
  <c r="J290" i="18"/>
  <c r="T12" i="24"/>
  <c r="L21" i="24"/>
  <c r="L24" i="24"/>
  <c r="Z25" i="24"/>
  <c r="L37" i="24"/>
  <c r="L40" i="24"/>
  <c r="Z41" i="24"/>
  <c r="L53" i="24"/>
  <c r="Z55" i="24"/>
  <c r="N120" i="27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183" i="18"/>
  <c r="J187" i="18"/>
  <c r="H192" i="18"/>
  <c r="J215" i="18"/>
  <c r="J223" i="18"/>
  <c r="J231" i="18"/>
  <c r="J241" i="18"/>
  <c r="J249" i="18"/>
  <c r="J255" i="18"/>
  <c r="J267" i="18"/>
  <c r="J271" i="18"/>
  <c r="J283" i="18"/>
  <c r="J291" i="18"/>
  <c r="N46" i="24"/>
  <c r="Z83" i="24"/>
  <c r="X100" i="24"/>
  <c r="Z34" i="27"/>
  <c r="J194" i="18"/>
  <c r="J196" i="18"/>
  <c r="J200" i="18"/>
  <c r="J204" i="18"/>
  <c r="J214" i="18"/>
  <c r="J230" i="18"/>
  <c r="J240" i="18"/>
  <c r="J248" i="18"/>
  <c r="J254" i="18"/>
  <c r="J260" i="18"/>
  <c r="J266" i="18"/>
  <c r="J276" i="18"/>
  <c r="N104" i="24"/>
  <c r="X16" i="27"/>
  <c r="X18" i="27"/>
  <c r="Z117" i="27"/>
  <c r="P12" i="27"/>
  <c r="X14" i="27"/>
  <c r="Z14" i="30"/>
  <c r="N22" i="30"/>
  <c r="Z44" i="30"/>
  <c r="Z46" i="30"/>
  <c r="X48" i="30"/>
  <c r="Z48" i="30" s="1"/>
  <c r="X165" i="30"/>
  <c r="P164" i="30"/>
  <c r="X164" i="30" s="1"/>
  <c r="Z91" i="33"/>
  <c r="X134" i="24"/>
  <c r="Z134" i="24" s="1"/>
  <c r="Z14" i="27"/>
  <c r="Z21" i="27"/>
  <c r="N27" i="27"/>
  <c r="Z30" i="27"/>
  <c r="Z37" i="27"/>
  <c r="N41" i="27"/>
  <c r="Z115" i="27"/>
  <c r="X57" i="30"/>
  <c r="Z57" i="30" s="1"/>
  <c r="X20" i="27"/>
  <c r="Z20" i="27" s="1"/>
  <c r="L67" i="27"/>
  <c r="N77" i="27"/>
  <c r="N87" i="27"/>
  <c r="Z90" i="27"/>
  <c r="N23" i="30"/>
  <c r="L91" i="30"/>
  <c r="N91" i="30" s="1"/>
  <c r="Z112" i="30"/>
  <c r="Z92" i="27"/>
  <c r="X92" i="27"/>
  <c r="N27" i="30"/>
  <c r="L27" i="30"/>
  <c r="Z144" i="30"/>
  <c r="Z22" i="27"/>
  <c r="Z29" i="27"/>
  <c r="Z38" i="27"/>
  <c r="N67" i="27"/>
  <c r="X85" i="27"/>
  <c r="Z85" i="27" s="1"/>
  <c r="Z91" i="30"/>
  <c r="X24" i="27"/>
  <c r="Z24" i="27" s="1"/>
  <c r="T120" i="27"/>
  <c r="L14" i="30"/>
  <c r="L50" i="30"/>
  <c r="N50" i="30" s="1"/>
  <c r="L147" i="30"/>
  <c r="N147" i="30" s="1"/>
  <c r="Z17" i="27"/>
  <c r="N21" i="27"/>
  <c r="N23" i="27"/>
  <c r="Z26" i="27"/>
  <c r="Z33" i="27"/>
  <c r="Z42" i="27"/>
  <c r="Z36" i="30"/>
  <c r="Z129" i="30"/>
  <c r="L66" i="27"/>
  <c r="N66" i="27" s="1"/>
  <c r="Z121" i="27"/>
  <c r="T12" i="30"/>
  <c r="L20" i="30"/>
  <c r="N20" i="30" s="1"/>
  <c r="N36" i="30"/>
  <c r="L38" i="30"/>
  <c r="N38" i="30" s="1"/>
  <c r="L48" i="30"/>
  <c r="Z119" i="30"/>
  <c r="Z165" i="30"/>
  <c r="T164" i="30"/>
  <c r="H12" i="33"/>
  <c r="N40" i="30"/>
  <c r="N101" i="30"/>
  <c r="Z99" i="33"/>
  <c r="L16" i="30"/>
  <c r="L19" i="30"/>
  <c r="L24" i="30"/>
  <c r="N24" i="30" s="1"/>
  <c r="L32" i="30"/>
  <c r="Z38" i="30"/>
  <c r="L54" i="30"/>
  <c r="N54" i="30" s="1"/>
  <c r="X137" i="30"/>
  <c r="Z137" i="30" s="1"/>
  <c r="D12" i="36"/>
  <c r="L13" i="36"/>
  <c r="L13" i="30"/>
  <c r="N161" i="30"/>
  <c r="N31" i="33"/>
  <c r="L31" i="33"/>
  <c r="L54" i="36"/>
  <c r="N54" i="36" s="1"/>
  <c r="Z22" i="30"/>
  <c r="L26" i="30"/>
  <c r="X40" i="30"/>
  <c r="Z40" i="30" s="1"/>
  <c r="L57" i="30"/>
  <c r="Z126" i="30"/>
  <c r="X144" i="30"/>
  <c r="X13" i="33"/>
  <c r="P12" i="33"/>
  <c r="L15" i="33"/>
  <c r="N15" i="33"/>
  <c r="X29" i="33"/>
  <c r="N52" i="36"/>
  <c r="J52" i="36"/>
  <c r="N18" i="39"/>
  <c r="L18" i="39"/>
  <c r="L18" i="30"/>
  <c r="L34" i="30"/>
  <c r="L44" i="30"/>
  <c r="N57" i="30"/>
  <c r="Z34" i="33"/>
  <c r="Z59" i="33"/>
  <c r="V130" i="39"/>
  <c r="V124" i="39"/>
  <c r="V129" i="39"/>
  <c r="V123" i="39"/>
  <c r="V115" i="39"/>
  <c r="V111" i="39"/>
  <c r="V107" i="39"/>
  <c r="V95" i="39"/>
  <c r="V79" i="39"/>
  <c r="V71" i="39"/>
  <c r="V63" i="39"/>
  <c r="V31" i="39"/>
  <c r="V128" i="39"/>
  <c r="V118" i="39"/>
  <c r="V102" i="39"/>
  <c r="V90" i="39"/>
  <c r="V82" i="39"/>
  <c r="V74" i="39"/>
  <c r="V54" i="39"/>
  <c r="V50" i="39"/>
  <c r="V125" i="39"/>
  <c r="V117" i="39"/>
  <c r="V101" i="39"/>
  <c r="V97" i="39"/>
  <c r="V81" i="39"/>
  <c r="V73" i="39"/>
  <c r="V45" i="39"/>
  <c r="V41" i="39"/>
  <c r="V134" i="39"/>
  <c r="V120" i="39"/>
  <c r="V112" i="39"/>
  <c r="V108" i="39"/>
  <c r="V84" i="39"/>
  <c r="V64" i="39"/>
  <c r="V56" i="39"/>
  <c r="V32" i="39"/>
  <c r="V119" i="39"/>
  <c r="V103" i="39"/>
  <c r="V91" i="39"/>
  <c r="V83" i="39"/>
  <c r="V75" i="39"/>
  <c r="V55" i="39"/>
  <c r="V51" i="39"/>
  <c r="V98" i="39"/>
  <c r="V86" i="39"/>
  <c r="V66" i="39"/>
  <c r="V58" i="39"/>
  <c r="V46" i="39"/>
  <c r="V42" i="39"/>
  <c r="V38" i="39"/>
  <c r="V121" i="39"/>
  <c r="V113" i="39"/>
  <c r="V109" i="39"/>
  <c r="V105" i="39"/>
  <c r="V93" i="39"/>
  <c r="V85" i="39"/>
  <c r="V77" i="39"/>
  <c r="V65" i="39"/>
  <c r="V57" i="39"/>
  <c r="V37" i="39"/>
  <c r="V33" i="39"/>
  <c r="V122" i="39"/>
  <c r="V114" i="39"/>
  <c r="V110" i="39"/>
  <c r="V106" i="39"/>
  <c r="V94" i="39"/>
  <c r="V78" i="39"/>
  <c r="V70" i="39"/>
  <c r="V62" i="39"/>
  <c r="V100" i="39"/>
  <c r="V60" i="39"/>
  <c r="V53" i="39"/>
  <c r="V47" i="39"/>
  <c r="V80" i="39"/>
  <c r="V69" i="39"/>
  <c r="V44" i="39"/>
  <c r="V39" i="39"/>
  <c r="V99" i="39"/>
  <c r="V89" i="39"/>
  <c r="V67" i="39"/>
  <c r="V48" i="39"/>
  <c r="V87" i="39"/>
  <c r="V76" i="39"/>
  <c r="V72" i="39"/>
  <c r="V52" i="39"/>
  <c r="V61" i="39"/>
  <c r="V96" i="39"/>
  <c r="V68" i="39"/>
  <c r="V59" i="39"/>
  <c r="V43" i="39"/>
  <c r="T35" i="39"/>
  <c r="V35" i="39" s="1"/>
  <c r="V116" i="39"/>
  <c r="V92" i="39"/>
  <c r="V104" i="39"/>
  <c r="V88" i="39"/>
  <c r="V49" i="39"/>
  <c r="L24" i="33"/>
  <c r="N24" i="33" s="1"/>
  <c r="Z122" i="36"/>
  <c r="L28" i="30"/>
  <c r="Z54" i="30"/>
  <c r="Z161" i="30"/>
  <c r="L22" i="33"/>
  <c r="N28" i="33"/>
  <c r="Z31" i="33"/>
  <c r="X34" i="33"/>
  <c r="F47" i="33"/>
  <c r="F56" i="33"/>
  <c r="F58" i="33"/>
  <c r="F63" i="33"/>
  <c r="F83" i="33"/>
  <c r="H96" i="33"/>
  <c r="Z100" i="33"/>
  <c r="F102" i="33"/>
  <c r="Z18" i="36"/>
  <c r="Z125" i="36"/>
  <c r="X125" i="36"/>
  <c r="R129" i="36"/>
  <c r="R122" i="36"/>
  <c r="R107" i="36"/>
  <c r="R103" i="36"/>
  <c r="R68" i="36"/>
  <c r="R67" i="36"/>
  <c r="R39" i="36"/>
  <c r="R35" i="36"/>
  <c r="R115" i="36"/>
  <c r="R114" i="36"/>
  <c r="R98" i="36"/>
  <c r="R86" i="36"/>
  <c r="R79" i="36"/>
  <c r="R78" i="36"/>
  <c r="R58" i="36"/>
  <c r="R26" i="36"/>
  <c r="R93" i="36"/>
  <c r="R70" i="36"/>
  <c r="R69" i="36"/>
  <c r="R50" i="36"/>
  <c r="R49" i="36"/>
  <c r="R45" i="36"/>
  <c r="R116" i="36"/>
  <c r="R108" i="36"/>
  <c r="R104" i="36"/>
  <c r="R81" i="36"/>
  <c r="R80" i="36"/>
  <c r="R40" i="36"/>
  <c r="R36" i="36"/>
  <c r="R100" i="36"/>
  <c r="R99" i="36"/>
  <c r="R88" i="36"/>
  <c r="R87" i="36"/>
  <c r="R71" i="36"/>
  <c r="R60" i="36"/>
  <c r="R59" i="36"/>
  <c r="R52" i="36"/>
  <c r="R51" i="36"/>
  <c r="R32" i="36"/>
  <c r="R27" i="36"/>
  <c r="R94" i="36"/>
  <c r="R83" i="36"/>
  <c r="R82" i="36"/>
  <c r="R46" i="36"/>
  <c r="R31" i="36"/>
  <c r="R117" i="36"/>
  <c r="R109" i="36"/>
  <c r="R105" i="36"/>
  <c r="R101" i="36"/>
  <c r="R89" i="36"/>
  <c r="R62" i="36"/>
  <c r="R61" i="36"/>
  <c r="R54" i="36"/>
  <c r="R53" i="36"/>
  <c r="R42" i="36"/>
  <c r="R41" i="36"/>
  <c r="R37" i="36"/>
  <c r="R33" i="36"/>
  <c r="P29" i="36"/>
  <c r="R84" i="36"/>
  <c r="R73" i="36"/>
  <c r="R72" i="36"/>
  <c r="R124" i="36"/>
  <c r="R85" i="36"/>
  <c r="R66" i="36"/>
  <c r="R65" i="36"/>
  <c r="R57" i="36"/>
  <c r="R44" i="36"/>
  <c r="Z15" i="33"/>
  <c r="Z22" i="33"/>
  <c r="F44" i="33"/>
  <c r="F54" i="33"/>
  <c r="X61" i="33"/>
  <c r="Z61" i="33" s="1"/>
  <c r="F75" i="33"/>
  <c r="V114" i="36"/>
  <c r="V98" i="36"/>
  <c r="V86" i="36"/>
  <c r="V78" i="36"/>
  <c r="V70" i="36"/>
  <c r="V58" i="36"/>
  <c r="V50" i="36"/>
  <c r="V26" i="36"/>
  <c r="V93" i="36"/>
  <c r="V81" i="36"/>
  <c r="V69" i="36"/>
  <c r="V49" i="36"/>
  <c r="V45" i="36"/>
  <c r="V116" i="36"/>
  <c r="V108" i="36"/>
  <c r="V104" i="36"/>
  <c r="V100" i="36"/>
  <c r="V88" i="36"/>
  <c r="V80" i="36"/>
  <c r="V60" i="36"/>
  <c r="V52" i="36"/>
  <c r="V40" i="36"/>
  <c r="V36" i="36"/>
  <c r="V32" i="36"/>
  <c r="V99" i="36"/>
  <c r="V87" i="36"/>
  <c r="V83" i="36"/>
  <c r="V71" i="36"/>
  <c r="V59" i="36"/>
  <c r="V51" i="36"/>
  <c r="V31" i="36"/>
  <c r="V27" i="36"/>
  <c r="V94" i="36"/>
  <c r="V82" i="36"/>
  <c r="V62" i="36"/>
  <c r="V54" i="36"/>
  <c r="V46" i="36"/>
  <c r="V42" i="36"/>
  <c r="T29" i="36"/>
  <c r="V29" i="36" s="1"/>
  <c r="V117" i="36"/>
  <c r="V109" i="36"/>
  <c r="V105" i="36"/>
  <c r="V101" i="36"/>
  <c r="V89" i="36"/>
  <c r="V73" i="36"/>
  <c r="V61" i="36"/>
  <c r="V53" i="36"/>
  <c r="V41" i="36"/>
  <c r="V37" i="36"/>
  <c r="V33" i="36"/>
  <c r="V84" i="36"/>
  <c r="V72" i="36"/>
  <c r="V64" i="36"/>
  <c r="V56" i="36"/>
  <c r="V125" i="36"/>
  <c r="V119" i="36"/>
  <c r="V111" i="36"/>
  <c r="V95" i="36"/>
  <c r="V91" i="36"/>
  <c r="V75" i="36"/>
  <c r="V63" i="36"/>
  <c r="V55" i="36"/>
  <c r="V47" i="36"/>
  <c r="V43" i="36"/>
  <c r="V122" i="36"/>
  <c r="V120" i="36"/>
  <c r="V112" i="36"/>
  <c r="V96" i="36"/>
  <c r="V92" i="36"/>
  <c r="V76" i="36"/>
  <c r="V68" i="36"/>
  <c r="V48" i="36"/>
  <c r="V44" i="36"/>
  <c r="Z22" i="36"/>
  <c r="R48" i="36"/>
  <c r="R111" i="36"/>
  <c r="N15" i="39"/>
  <c r="L15" i="39"/>
  <c r="Z68" i="39"/>
  <c r="T12" i="33"/>
  <c r="F88" i="33"/>
  <c r="F84" i="33"/>
  <c r="F76" i="33"/>
  <c r="F68" i="33"/>
  <c r="F67" i="33"/>
  <c r="F52" i="33"/>
  <c r="F48" i="33"/>
  <c r="F39" i="33"/>
  <c r="F35" i="33"/>
  <c r="F34" i="33"/>
  <c r="F106" i="33"/>
  <c r="F101" i="33"/>
  <c r="F92" i="33"/>
  <c r="F91" i="33"/>
  <c r="F60" i="33"/>
  <c r="F59" i="33"/>
  <c r="F43" i="33"/>
  <c r="F36" i="33"/>
  <c r="F100" i="33"/>
  <c r="F79" i="33"/>
  <c r="F78" i="33"/>
  <c r="F71" i="33"/>
  <c r="F70" i="33"/>
  <c r="F55" i="33"/>
  <c r="D41" i="33"/>
  <c r="F41" i="33" s="1"/>
  <c r="F99" i="33"/>
  <c r="F94" i="33"/>
  <c r="F93" i="33"/>
  <c r="F86" i="33"/>
  <c r="F62" i="33"/>
  <c r="F61" i="33"/>
  <c r="F98" i="33"/>
  <c r="F81" i="33"/>
  <c r="F80" i="33"/>
  <c r="F73" i="33"/>
  <c r="F72" i="33"/>
  <c r="F37" i="33"/>
  <c r="F66" i="33"/>
  <c r="F65" i="33"/>
  <c r="F38" i="33"/>
  <c r="X17" i="33"/>
  <c r="Z17" i="33" s="1"/>
  <c r="L19" i="33"/>
  <c r="N19" i="33" s="1"/>
  <c r="N65" i="33"/>
  <c r="F77" i="33"/>
  <c r="X93" i="33"/>
  <c r="X99" i="33"/>
  <c r="Z15" i="36"/>
  <c r="R25" i="36"/>
  <c r="L32" i="36"/>
  <c r="N32" i="36" s="1"/>
  <c r="R34" i="36"/>
  <c r="Z50" i="36"/>
  <c r="R75" i="36"/>
  <c r="L81" i="36"/>
  <c r="N81" i="36" s="1"/>
  <c r="V103" i="36"/>
  <c r="Z111" i="36"/>
  <c r="X111" i="36"/>
  <c r="R113" i="36"/>
  <c r="P122" i="36"/>
  <c r="X122" i="36" s="1"/>
  <c r="X124" i="36"/>
  <c r="D164" i="30"/>
  <c r="L164" i="30" s="1"/>
  <c r="N14" i="33"/>
  <c r="X19" i="33"/>
  <c r="F51" i="33"/>
  <c r="F87" i="33"/>
  <c r="L101" i="33"/>
  <c r="V34" i="36"/>
  <c r="X66" i="36"/>
  <c r="Z75" i="36"/>
  <c r="X75" i="36"/>
  <c r="R119" i="36"/>
  <c r="Z124" i="36"/>
  <c r="Z19" i="33"/>
  <c r="N23" i="33"/>
  <c r="L23" i="33"/>
  <c r="F46" i="33"/>
  <c r="F69" i="33"/>
  <c r="F82" i="33"/>
  <c r="L97" i="33"/>
  <c r="N97" i="33" s="1"/>
  <c r="D96" i="33"/>
  <c r="X102" i="33"/>
  <c r="Z102" i="33" s="1"/>
  <c r="R56" i="36"/>
  <c r="R64" i="36"/>
  <c r="Z66" i="36"/>
  <c r="R77" i="36"/>
  <c r="R95" i="36"/>
  <c r="R106" i="36"/>
  <c r="R110" i="36"/>
  <c r="V113" i="36"/>
  <c r="V115" i="36"/>
  <c r="X119" i="36"/>
  <c r="Z119" i="36" s="1"/>
  <c r="V124" i="36"/>
  <c r="V129" i="36"/>
  <c r="L16" i="33"/>
  <c r="X23" i="33"/>
  <c r="Z23" i="33" s="1"/>
  <c r="N43" i="33"/>
  <c r="F53" i="33"/>
  <c r="F57" i="33"/>
  <c r="Z65" i="33"/>
  <c r="X65" i="33"/>
  <c r="N82" i="33"/>
  <c r="L82" i="33"/>
  <c r="F89" i="33"/>
  <c r="F97" i="33"/>
  <c r="Z19" i="36"/>
  <c r="V66" i="36"/>
  <c r="R74" i="36"/>
  <c r="V79" i="36"/>
  <c r="R91" i="36"/>
  <c r="R97" i="36"/>
  <c r="V106" i="36"/>
  <c r="V110" i="36"/>
  <c r="X25" i="33"/>
  <c r="Z25" i="33" s="1"/>
  <c r="N27" i="33"/>
  <c r="L27" i="33"/>
  <c r="Z44" i="33"/>
  <c r="N59" i="33"/>
  <c r="L59" i="33"/>
  <c r="F74" i="33"/>
  <c r="L91" i="33"/>
  <c r="X101" i="33"/>
  <c r="V39" i="36"/>
  <c r="V74" i="36"/>
  <c r="V77" i="36"/>
  <c r="L88" i="36"/>
  <c r="Z91" i="36"/>
  <c r="X91" i="36"/>
  <c r="R112" i="36"/>
  <c r="F64" i="33"/>
  <c r="N74" i="33"/>
  <c r="L74" i="33"/>
  <c r="Z101" i="33"/>
  <c r="N31" i="36"/>
  <c r="R43" i="36"/>
  <c r="R47" i="36"/>
  <c r="V85" i="36"/>
  <c r="V97" i="36"/>
  <c r="R118" i="36"/>
  <c r="R120" i="36"/>
  <c r="R123" i="36"/>
  <c r="D127" i="39"/>
  <c r="L128" i="39"/>
  <c r="N51" i="42"/>
  <c r="L51" i="42"/>
  <c r="L18" i="33"/>
  <c r="L20" i="33"/>
  <c r="Z27" i="33"/>
  <c r="F50" i="33"/>
  <c r="X59" i="33"/>
  <c r="X74" i="33"/>
  <c r="Z74" i="33" s="1"/>
  <c r="X12" i="36"/>
  <c r="Z12" i="36" s="1"/>
  <c r="Z14" i="36"/>
  <c r="X23" i="36"/>
  <c r="Z23" i="36" s="1"/>
  <c r="R76" i="36"/>
  <c r="J88" i="36"/>
  <c r="R90" i="36"/>
  <c r="N100" i="36"/>
  <c r="R102" i="36"/>
  <c r="V118" i="36"/>
  <c r="X16" i="39"/>
  <c r="Z16" i="39" s="1"/>
  <c r="H29" i="36"/>
  <c r="J42" i="36"/>
  <c r="J54" i="36"/>
  <c r="J62" i="36"/>
  <c r="J72" i="36"/>
  <c r="J84" i="36"/>
  <c r="X68" i="39"/>
  <c r="F85" i="39"/>
  <c r="Z88" i="39"/>
  <c r="Z116" i="39"/>
  <c r="F134" i="39"/>
  <c r="F81" i="42"/>
  <c r="F92" i="42"/>
  <c r="F115" i="42"/>
  <c r="F107" i="42"/>
  <c r="F103" i="42"/>
  <c r="F99" i="42"/>
  <c r="F87" i="42"/>
  <c r="F71" i="42"/>
  <c r="F126" i="42"/>
  <c r="F121" i="42"/>
  <c r="F120" i="42"/>
  <c r="F111" i="42"/>
  <c r="F110" i="42"/>
  <c r="F95" i="42"/>
  <c r="F94" i="42"/>
  <c r="F83" i="42"/>
  <c r="F119" i="42"/>
  <c r="F90" i="42"/>
  <c r="F113" i="42"/>
  <c r="F112" i="42"/>
  <c r="F105" i="42"/>
  <c r="F101" i="42"/>
  <c r="F77" i="42"/>
  <c r="F76" i="42"/>
  <c r="F98" i="42"/>
  <c r="F88" i="42"/>
  <c r="F60" i="42"/>
  <c r="F59" i="42"/>
  <c r="F52" i="42"/>
  <c r="F51" i="42"/>
  <c r="F40" i="42"/>
  <c r="F36" i="42"/>
  <c r="F32" i="42"/>
  <c r="F31" i="42"/>
  <c r="F122" i="42"/>
  <c r="F30" i="42"/>
  <c r="F116" i="42"/>
  <c r="F108" i="42"/>
  <c r="F72" i="42"/>
  <c r="F68" i="42"/>
  <c r="F67" i="42"/>
  <c r="F54" i="42"/>
  <c r="F53" i="42"/>
  <c r="F46" i="42"/>
  <c r="F42" i="42"/>
  <c r="F41" i="42"/>
  <c r="D28" i="42"/>
  <c r="F93" i="42"/>
  <c r="F86" i="42"/>
  <c r="F62" i="42"/>
  <c r="F61" i="42"/>
  <c r="F37" i="42"/>
  <c r="F33" i="42"/>
  <c r="F96" i="42"/>
  <c r="F91" i="42"/>
  <c r="F78" i="42"/>
  <c r="F73" i="42"/>
  <c r="F56" i="42"/>
  <c r="F55" i="42"/>
  <c r="F114" i="42"/>
  <c r="F106" i="42"/>
  <c r="F47" i="42"/>
  <c r="F43" i="42"/>
  <c r="F89" i="42"/>
  <c r="F74" i="42"/>
  <c r="F69" i="42"/>
  <c r="F38" i="42"/>
  <c r="F34" i="42"/>
  <c r="F104" i="42"/>
  <c r="F84" i="42"/>
  <c r="F63" i="42"/>
  <c r="F57" i="42"/>
  <c r="F25" i="42"/>
  <c r="F24" i="42"/>
  <c r="F117" i="42"/>
  <c r="F109" i="42"/>
  <c r="F97" i="42"/>
  <c r="F82" i="42"/>
  <c r="F79" i="42"/>
  <c r="F75" i="42"/>
  <c r="F70" i="42"/>
  <c r="F48" i="42"/>
  <c r="F44" i="42"/>
  <c r="F102" i="42"/>
  <c r="F64" i="42"/>
  <c r="F39" i="42"/>
  <c r="F35" i="42"/>
  <c r="F100" i="42"/>
  <c r="F58" i="42"/>
  <c r="F50" i="42"/>
  <c r="F49" i="42"/>
  <c r="F26" i="42"/>
  <c r="Z21" i="42"/>
  <c r="F80" i="42"/>
  <c r="Z45" i="45"/>
  <c r="X45" i="45"/>
  <c r="Z23" i="39"/>
  <c r="N74" i="39"/>
  <c r="X77" i="39"/>
  <c r="Z77" i="39" s="1"/>
  <c r="N128" i="39"/>
  <c r="H127" i="39"/>
  <c r="Z17" i="42"/>
  <c r="Z30" i="42"/>
  <c r="Z53" i="42"/>
  <c r="J27" i="36"/>
  <c r="J51" i="36"/>
  <c r="J59" i="36"/>
  <c r="J71" i="36"/>
  <c r="J81" i="36"/>
  <c r="J87" i="36"/>
  <c r="J99" i="36"/>
  <c r="F31" i="39"/>
  <c r="F33" i="39"/>
  <c r="Z38" i="39"/>
  <c r="F46" i="39"/>
  <c r="R120" i="42"/>
  <c r="R117" i="42"/>
  <c r="R110" i="42"/>
  <c r="R109" i="42"/>
  <c r="R94" i="42"/>
  <c r="R93" i="42"/>
  <c r="R89" i="42"/>
  <c r="R126" i="42"/>
  <c r="R104" i="42"/>
  <c r="R100" i="42"/>
  <c r="R112" i="42"/>
  <c r="R111" i="42"/>
  <c r="R95" i="42"/>
  <c r="R83" i="42"/>
  <c r="R76" i="42"/>
  <c r="R75" i="42"/>
  <c r="R91" i="42"/>
  <c r="R80" i="42"/>
  <c r="R79" i="42"/>
  <c r="R114" i="42"/>
  <c r="R106" i="42"/>
  <c r="R102" i="42"/>
  <c r="R98" i="42"/>
  <c r="R86" i="42"/>
  <c r="R81" i="42"/>
  <c r="R103" i="42"/>
  <c r="R78" i="42"/>
  <c r="R73" i="42"/>
  <c r="R62" i="42"/>
  <c r="R56" i="42"/>
  <c r="R96" i="42"/>
  <c r="R74" i="42"/>
  <c r="R69" i="42"/>
  <c r="R47" i="42"/>
  <c r="R43" i="42"/>
  <c r="R24" i="42"/>
  <c r="R101" i="42"/>
  <c r="R63" i="42"/>
  <c r="R38" i="42"/>
  <c r="R34" i="42"/>
  <c r="R99" i="42"/>
  <c r="R57" i="42"/>
  <c r="R25" i="42"/>
  <c r="R97" i="42"/>
  <c r="R84" i="42"/>
  <c r="R70" i="42"/>
  <c r="R49" i="42"/>
  <c r="R48" i="42"/>
  <c r="R44" i="42"/>
  <c r="R82" i="42"/>
  <c r="R65" i="42"/>
  <c r="R64" i="42"/>
  <c r="R39" i="42"/>
  <c r="R35" i="42"/>
  <c r="R121" i="42"/>
  <c r="R92" i="42"/>
  <c r="R87" i="42"/>
  <c r="R59" i="42"/>
  <c r="R58" i="42"/>
  <c r="R51" i="42"/>
  <c r="R50" i="42"/>
  <c r="R31" i="42"/>
  <c r="R26" i="42"/>
  <c r="R85" i="42"/>
  <c r="R66" i="42"/>
  <c r="R45" i="42"/>
  <c r="R30" i="42"/>
  <c r="R115" i="42"/>
  <c r="R107" i="42"/>
  <c r="R90" i="42"/>
  <c r="R71" i="42"/>
  <c r="R67" i="42"/>
  <c r="R60" i="42"/>
  <c r="R53" i="42"/>
  <c r="R52" i="42"/>
  <c r="R41" i="42"/>
  <c r="R40" i="42"/>
  <c r="R36" i="42"/>
  <c r="R32" i="42"/>
  <c r="R88" i="42"/>
  <c r="R72" i="42"/>
  <c r="R61" i="42"/>
  <c r="R122" i="42"/>
  <c r="R113" i="42"/>
  <c r="R105" i="42"/>
  <c r="R77" i="42"/>
  <c r="R55" i="42"/>
  <c r="R54" i="42"/>
  <c r="R46" i="42"/>
  <c r="R42" i="42"/>
  <c r="Z51" i="42"/>
  <c r="N110" i="42"/>
  <c r="L110" i="42"/>
  <c r="J36" i="36"/>
  <c r="J40" i="36"/>
  <c r="J50" i="36"/>
  <c r="J70" i="36"/>
  <c r="J80" i="36"/>
  <c r="J104" i="36"/>
  <c r="J108" i="36"/>
  <c r="J116" i="36"/>
  <c r="P12" i="39"/>
  <c r="N31" i="39"/>
  <c r="L56" i="39"/>
  <c r="N56" i="39" s="1"/>
  <c r="Z72" i="39"/>
  <c r="F80" i="39"/>
  <c r="F117" i="39"/>
  <c r="F125" i="39"/>
  <c r="F130" i="39"/>
  <c r="T12" i="42"/>
  <c r="R33" i="42"/>
  <c r="N56" i="56"/>
  <c r="J45" i="36"/>
  <c r="J49" i="36"/>
  <c r="J69" i="36"/>
  <c r="J79" i="36"/>
  <c r="J93" i="36"/>
  <c r="J115" i="36"/>
  <c r="H122" i="36"/>
  <c r="J122" i="36" s="1"/>
  <c r="Z15" i="39"/>
  <c r="L22" i="39"/>
  <c r="X37" i="39"/>
  <c r="Z37" i="39" s="1"/>
  <c r="Z48" i="39"/>
  <c r="N80" i="39"/>
  <c r="N82" i="39"/>
  <c r="F84" i="39"/>
  <c r="N130" i="39"/>
  <c r="Z22" i="42"/>
  <c r="N31" i="42"/>
  <c r="L31" i="42"/>
  <c r="N41" i="42"/>
  <c r="N76" i="42"/>
  <c r="L76" i="42"/>
  <c r="Z78" i="42"/>
  <c r="J26" i="36"/>
  <c r="J58" i="36"/>
  <c r="J68" i="36"/>
  <c r="J78" i="36"/>
  <c r="J86" i="36"/>
  <c r="J98" i="36"/>
  <c r="J114" i="36"/>
  <c r="F121" i="39"/>
  <c r="F120" i="39"/>
  <c r="F104" i="39"/>
  <c r="F92" i="39"/>
  <c r="F76" i="39"/>
  <c r="F52" i="39"/>
  <c r="F99" i="39"/>
  <c r="F87" i="39"/>
  <c r="F86" i="39"/>
  <c r="F67" i="39"/>
  <c r="F66" i="39"/>
  <c r="F59" i="39"/>
  <c r="F58" i="39"/>
  <c r="F47" i="39"/>
  <c r="F43" i="39"/>
  <c r="F39" i="39"/>
  <c r="F38" i="39"/>
  <c r="F122" i="39"/>
  <c r="F114" i="39"/>
  <c r="F110" i="39"/>
  <c r="F106" i="39"/>
  <c r="F105" i="39"/>
  <c r="F94" i="39"/>
  <c r="F93" i="39"/>
  <c r="F78" i="39"/>
  <c r="F77" i="39"/>
  <c r="F37" i="39"/>
  <c r="F89" i="39"/>
  <c r="F88" i="39"/>
  <c r="F69" i="39"/>
  <c r="F68" i="39"/>
  <c r="F61" i="39"/>
  <c r="F60" i="39"/>
  <c r="F53" i="39"/>
  <c r="F49" i="39"/>
  <c r="F48" i="39"/>
  <c r="D35" i="39"/>
  <c r="F35" i="39" s="1"/>
  <c r="F100" i="39"/>
  <c r="F44" i="39"/>
  <c r="F40" i="39"/>
  <c r="F123" i="39"/>
  <c r="F115" i="39"/>
  <c r="F111" i="39"/>
  <c r="F107" i="39"/>
  <c r="F95" i="39"/>
  <c r="F79" i="39"/>
  <c r="F71" i="39"/>
  <c r="F70" i="39"/>
  <c r="F63" i="39"/>
  <c r="F62" i="39"/>
  <c r="F90" i="39"/>
  <c r="F54" i="39"/>
  <c r="F50" i="39"/>
  <c r="F128" i="39"/>
  <c r="F119" i="39"/>
  <c r="F118" i="39"/>
  <c r="F103" i="39"/>
  <c r="F102" i="39"/>
  <c r="F91" i="39"/>
  <c r="F83" i="39"/>
  <c r="F82" i="39"/>
  <c r="F75" i="39"/>
  <c r="F74" i="39"/>
  <c r="F55" i="39"/>
  <c r="F51" i="39"/>
  <c r="L19" i="39"/>
  <c r="L102" i="39"/>
  <c r="X18" i="42"/>
  <c r="N59" i="42"/>
  <c r="L59" i="42"/>
  <c r="J77" i="36"/>
  <c r="J97" i="36"/>
  <c r="J103" i="36"/>
  <c r="J107" i="36"/>
  <c r="J113" i="36"/>
  <c r="J123" i="36"/>
  <c r="J129" i="36"/>
  <c r="H12" i="39"/>
  <c r="N14" i="39"/>
  <c r="Z130" i="39"/>
  <c r="Z18" i="42"/>
  <c r="R108" i="42"/>
  <c r="X13" i="36"/>
  <c r="Z13" i="36" s="1"/>
  <c r="X17" i="36"/>
  <c r="Z17" i="36" s="1"/>
  <c r="X21" i="36"/>
  <c r="Z21" i="36" s="1"/>
  <c r="J92" i="36"/>
  <c r="J96" i="36"/>
  <c r="J112" i="36"/>
  <c r="J120" i="36"/>
  <c r="J124" i="36"/>
  <c r="Z93" i="39"/>
  <c r="X93" i="39"/>
  <c r="X105" i="39"/>
  <c r="Z105" i="39" s="1"/>
  <c r="X32" i="36"/>
  <c r="Z32" i="36" s="1"/>
  <c r="X52" i="36"/>
  <c r="Z52" i="36" s="1"/>
  <c r="J57" i="36"/>
  <c r="X60" i="36"/>
  <c r="Z60" i="36" s="1"/>
  <c r="J65" i="36"/>
  <c r="L66" i="36"/>
  <c r="N66" i="36" s="1"/>
  <c r="J75" i="36"/>
  <c r="J85" i="36"/>
  <c r="X88" i="36"/>
  <c r="Z88" i="36" s="1"/>
  <c r="J91" i="36"/>
  <c r="X100" i="36"/>
  <c r="Z100" i="36" s="1"/>
  <c r="J111" i="36"/>
  <c r="J119" i="36"/>
  <c r="L124" i="36"/>
  <c r="J125" i="36"/>
  <c r="F57" i="39"/>
  <c r="Z60" i="39"/>
  <c r="F108" i="39"/>
  <c r="F116" i="39"/>
  <c r="N129" i="39"/>
  <c r="L129" i="39"/>
  <c r="Z14" i="42"/>
  <c r="P28" i="42"/>
  <c r="R28" i="42" s="1"/>
  <c r="J34" i="36"/>
  <c r="J38" i="36"/>
  <c r="J56" i="36"/>
  <c r="J64" i="36"/>
  <c r="J74" i="36"/>
  <c r="J90" i="36"/>
  <c r="J102" i="36"/>
  <c r="J106" i="36"/>
  <c r="J110" i="36"/>
  <c r="Z14" i="39"/>
  <c r="X14" i="39"/>
  <c r="Z19" i="39"/>
  <c r="L23" i="39"/>
  <c r="N23" i="39" s="1"/>
  <c r="F32" i="39"/>
  <c r="F45" i="39"/>
  <c r="Z58" i="39"/>
  <c r="F96" i="39"/>
  <c r="F98" i="39"/>
  <c r="N116" i="39"/>
  <c r="F124" i="39"/>
  <c r="R68" i="42"/>
  <c r="J31" i="42"/>
  <c r="J45" i="42"/>
  <c r="J51" i="42"/>
  <c r="J59" i="42"/>
  <c r="J66" i="42"/>
  <c r="J76" i="42"/>
  <c r="N80" i="42"/>
  <c r="X88" i="42"/>
  <c r="Z88" i="42" s="1"/>
  <c r="J95" i="42"/>
  <c r="Z108" i="42"/>
  <c r="Z116" i="42"/>
  <c r="L121" i="42"/>
  <c r="D12" i="45"/>
  <c r="L13" i="45"/>
  <c r="N13" i="45" s="1"/>
  <c r="R26" i="45"/>
  <c r="R87" i="45"/>
  <c r="R17" i="48"/>
  <c r="Z20" i="48"/>
  <c r="N45" i="48"/>
  <c r="J45" i="48"/>
  <c r="X39" i="51"/>
  <c r="Z39" i="51" s="1"/>
  <c r="J92" i="42"/>
  <c r="J115" i="42"/>
  <c r="J107" i="42"/>
  <c r="J103" i="42"/>
  <c r="J99" i="42"/>
  <c r="J87" i="42"/>
  <c r="J124" i="42"/>
  <c r="J122" i="42"/>
  <c r="J116" i="42"/>
  <c r="J108" i="42"/>
  <c r="J88" i="42"/>
  <c r="J82" i="42"/>
  <c r="J72" i="42"/>
  <c r="J62" i="42"/>
  <c r="J119" i="42"/>
  <c r="J131" i="42"/>
  <c r="J128" i="42"/>
  <c r="J112" i="42"/>
  <c r="J90" i="42"/>
  <c r="J113" i="42"/>
  <c r="J105" i="42"/>
  <c r="J101" i="42"/>
  <c r="J96" i="42"/>
  <c r="J84" i="42"/>
  <c r="J78" i="42"/>
  <c r="J68" i="42"/>
  <c r="J26" i="42"/>
  <c r="J50" i="42"/>
  <c r="J58" i="42"/>
  <c r="J65" i="42"/>
  <c r="J80" i="42"/>
  <c r="J85" i="42"/>
  <c r="J100" i="42"/>
  <c r="Z122" i="42"/>
  <c r="L51" i="48"/>
  <c r="N51" i="48"/>
  <c r="J35" i="42"/>
  <c r="J39" i="42"/>
  <c r="J49" i="42"/>
  <c r="J64" i="42"/>
  <c r="J102" i="42"/>
  <c r="J121" i="42"/>
  <c r="R72" i="45"/>
  <c r="R57" i="45"/>
  <c r="R56" i="45"/>
  <c r="R45" i="45"/>
  <c r="R44" i="45"/>
  <c r="R40" i="45"/>
  <c r="X12" i="45"/>
  <c r="Z12" i="45" s="1"/>
  <c r="R91" i="45"/>
  <c r="R83" i="45"/>
  <c r="R79" i="45"/>
  <c r="R67" i="45"/>
  <c r="R35" i="45"/>
  <c r="R31" i="45"/>
  <c r="R59" i="45"/>
  <c r="R58" i="45"/>
  <c r="R47" i="45"/>
  <c r="R46" i="45"/>
  <c r="R27" i="45"/>
  <c r="R22" i="45"/>
  <c r="R74" i="45"/>
  <c r="R73" i="45"/>
  <c r="R92" i="45"/>
  <c r="R84" i="45"/>
  <c r="R80" i="45"/>
  <c r="R69" i="45"/>
  <c r="R68" i="45"/>
  <c r="R61" i="45"/>
  <c r="R60" i="45"/>
  <c r="R49" i="45"/>
  <c r="R48" i="45"/>
  <c r="R37" i="45"/>
  <c r="R36" i="45"/>
  <c r="R32" i="45"/>
  <c r="R28" i="45"/>
  <c r="P24" i="45"/>
  <c r="R94" i="45"/>
  <c r="R76" i="45"/>
  <c r="R75" i="45"/>
  <c r="R70" i="45"/>
  <c r="R63" i="45"/>
  <c r="R62" i="45"/>
  <c r="R51" i="45"/>
  <c r="R50" i="45"/>
  <c r="R42" i="45"/>
  <c r="R38" i="45"/>
  <c r="R86" i="45"/>
  <c r="R85" i="45"/>
  <c r="R81" i="45"/>
  <c r="R77" i="45"/>
  <c r="R33" i="45"/>
  <c r="R29" i="45"/>
  <c r="R98" i="45"/>
  <c r="R65" i="45"/>
  <c r="R64" i="45"/>
  <c r="R53" i="45"/>
  <c r="R52" i="45"/>
  <c r="R82" i="45"/>
  <c r="R78" i="45"/>
  <c r="R66" i="45"/>
  <c r="R55" i="45"/>
  <c r="R54" i="45"/>
  <c r="R34" i="45"/>
  <c r="R30" i="45"/>
  <c r="R20" i="45"/>
  <c r="D66" i="72"/>
  <c r="N12" i="42"/>
  <c r="X13" i="42"/>
  <c r="Z13" i="42" s="1"/>
  <c r="J44" i="42"/>
  <c r="J48" i="42"/>
  <c r="J70" i="42"/>
  <c r="X72" i="42"/>
  <c r="Z72" i="42" s="1"/>
  <c r="J75" i="42"/>
  <c r="J79" i="42"/>
  <c r="N97" i="42"/>
  <c r="J109" i="42"/>
  <c r="J117" i="42"/>
  <c r="V91" i="45"/>
  <c r="V83" i="45"/>
  <c r="V79" i="45"/>
  <c r="V67" i="45"/>
  <c r="V59" i="45"/>
  <c r="V47" i="45"/>
  <c r="V35" i="45"/>
  <c r="V31" i="45"/>
  <c r="V27" i="45"/>
  <c r="V74" i="45"/>
  <c r="V58" i="45"/>
  <c r="V46" i="45"/>
  <c r="V26" i="45"/>
  <c r="V24" i="45"/>
  <c r="V22" i="45"/>
  <c r="V73" i="45"/>
  <c r="V69" i="45"/>
  <c r="V61" i="45"/>
  <c r="V49" i="45"/>
  <c r="V41" i="45"/>
  <c r="V37" i="45"/>
  <c r="T24" i="45"/>
  <c r="V94" i="45"/>
  <c r="V92" i="45"/>
  <c r="V84" i="45"/>
  <c r="V80" i="45"/>
  <c r="V76" i="45"/>
  <c r="V68" i="45"/>
  <c r="V60" i="45"/>
  <c r="V48" i="45"/>
  <c r="V75" i="45"/>
  <c r="V63" i="45"/>
  <c r="V51" i="45"/>
  <c r="V86" i="45"/>
  <c r="V70" i="45"/>
  <c r="V62" i="45"/>
  <c r="V50" i="45"/>
  <c r="V42" i="45"/>
  <c r="V38" i="45"/>
  <c r="V85" i="45"/>
  <c r="V81" i="45"/>
  <c r="V77" i="45"/>
  <c r="V65" i="45"/>
  <c r="V53" i="45"/>
  <c r="V33" i="45"/>
  <c r="V29" i="45"/>
  <c r="V98" i="45"/>
  <c r="V88" i="45"/>
  <c r="V64" i="45"/>
  <c r="V52" i="45"/>
  <c r="V20" i="45"/>
  <c r="V87" i="45"/>
  <c r="V71" i="45"/>
  <c r="V55" i="45"/>
  <c r="V43" i="45"/>
  <c r="V39" i="45"/>
  <c r="V89" i="45"/>
  <c r="V57" i="45"/>
  <c r="V45" i="45"/>
  <c r="L18" i="45"/>
  <c r="N18" i="45" s="1"/>
  <c r="V40" i="45"/>
  <c r="V44" i="45"/>
  <c r="V54" i="45"/>
  <c r="N69" i="45"/>
  <c r="R71" i="45"/>
  <c r="L111" i="51"/>
  <c r="N111" i="51" s="1"/>
  <c r="D108" i="51"/>
  <c r="J25" i="42"/>
  <c r="J57" i="42"/>
  <c r="Z85" i="42"/>
  <c r="J97" i="42"/>
  <c r="J104" i="42"/>
  <c r="V36" i="45"/>
  <c r="V55" i="48"/>
  <c r="N109" i="51"/>
  <c r="H108" i="51"/>
  <c r="J24" i="42"/>
  <c r="J34" i="42"/>
  <c r="J38" i="42"/>
  <c r="J63" i="42"/>
  <c r="N74" i="42"/>
  <c r="J89" i="42"/>
  <c r="J94" i="42"/>
  <c r="X97" i="42"/>
  <c r="Z97" i="42" s="1"/>
  <c r="X110" i="42"/>
  <c r="Z110" i="42" s="1"/>
  <c r="J120" i="42"/>
  <c r="Z121" i="42"/>
  <c r="Z69" i="45"/>
  <c r="V21" i="48"/>
  <c r="T57" i="51"/>
  <c r="X21" i="55"/>
  <c r="Z21" i="55" s="1"/>
  <c r="T127" i="39"/>
  <c r="V127" i="39" s="1"/>
  <c r="J43" i="42"/>
  <c r="J47" i="42"/>
  <c r="J69" i="42"/>
  <c r="J74" i="42"/>
  <c r="X80" i="42"/>
  <c r="Z80" i="42" s="1"/>
  <c r="L94" i="42"/>
  <c r="J106" i="42"/>
  <c r="J114" i="42"/>
  <c r="Z15" i="45"/>
  <c r="V82" i="45"/>
  <c r="R90" i="45"/>
  <c r="V34" i="48"/>
  <c r="V30" i="48"/>
  <c r="T17" i="48"/>
  <c r="V61" i="48"/>
  <c r="V62" i="48"/>
  <c r="V54" i="48"/>
  <c r="V46" i="48"/>
  <c r="V38" i="48"/>
  <c r="V26" i="48"/>
  <c r="V22" i="48"/>
  <c r="V67" i="48"/>
  <c r="V57" i="48"/>
  <c r="V49" i="48"/>
  <c r="V37" i="48"/>
  <c r="V66" i="48"/>
  <c r="V64" i="48"/>
  <c r="V56" i="48"/>
  <c r="V48" i="48"/>
  <c r="V40" i="48"/>
  <c r="V32" i="48"/>
  <c r="V71" i="48"/>
  <c r="V41" i="48"/>
  <c r="V33" i="48"/>
  <c r="V60" i="48"/>
  <c r="V58" i="48"/>
  <c r="V43" i="48"/>
  <c r="V19" i="48"/>
  <c r="V63" i="48"/>
  <c r="V53" i="48"/>
  <c r="V50" i="48"/>
  <c r="V47" i="48"/>
  <c r="V24" i="48"/>
  <c r="V20" i="48"/>
  <c r="V51" i="48"/>
  <c r="V44" i="48"/>
  <c r="V29" i="48"/>
  <c r="V15" i="48"/>
  <c r="V45" i="48"/>
  <c r="V35" i="48"/>
  <c r="V27" i="48"/>
  <c r="V59" i="48"/>
  <c r="V42" i="48"/>
  <c r="V36" i="48"/>
  <c r="V25" i="48"/>
  <c r="V39" i="48"/>
  <c r="X12" i="48"/>
  <c r="Z12" i="48" s="1"/>
  <c r="L16" i="51"/>
  <c r="D12" i="51"/>
  <c r="N80" i="51"/>
  <c r="L80" i="51"/>
  <c r="X18" i="39"/>
  <c r="Z18" i="39" s="1"/>
  <c r="X22" i="39"/>
  <c r="Z22" i="39" s="1"/>
  <c r="J56" i="42"/>
  <c r="J73" i="42"/>
  <c r="N78" i="42"/>
  <c r="J91" i="42"/>
  <c r="L108" i="42"/>
  <c r="J111" i="42"/>
  <c r="L116" i="42"/>
  <c r="P119" i="42"/>
  <c r="R119" i="42" s="1"/>
  <c r="J126" i="42"/>
  <c r="H12" i="45"/>
  <c r="V34" i="45"/>
  <c r="N51" i="45"/>
  <c r="N61" i="45"/>
  <c r="L63" i="45"/>
  <c r="N63" i="45" s="1"/>
  <c r="R88" i="45"/>
  <c r="V52" i="48"/>
  <c r="R112" i="51"/>
  <c r="R97" i="51"/>
  <c r="R82" i="51"/>
  <c r="R81" i="51"/>
  <c r="R73" i="51"/>
  <c r="R111" i="51"/>
  <c r="R105" i="51"/>
  <c r="R104" i="51"/>
  <c r="R68" i="51"/>
  <c r="R64" i="51"/>
  <c r="R110" i="51"/>
  <c r="R116" i="51"/>
  <c r="R109" i="51"/>
  <c r="R106" i="51"/>
  <c r="R98" i="51"/>
  <c r="R108" i="51"/>
  <c r="R93" i="51"/>
  <c r="R70" i="51"/>
  <c r="R69" i="51"/>
  <c r="R65" i="51"/>
  <c r="R61" i="51"/>
  <c r="P57" i="51"/>
  <c r="R85" i="51"/>
  <c r="R84" i="51"/>
  <c r="R52" i="51"/>
  <c r="R48" i="51"/>
  <c r="R44" i="51"/>
  <c r="R40" i="51"/>
  <c r="R99" i="51"/>
  <c r="R76" i="51"/>
  <c r="R75" i="51"/>
  <c r="R71" i="51"/>
  <c r="R95" i="51"/>
  <c r="R94" i="51"/>
  <c r="R87" i="51"/>
  <c r="R86" i="51"/>
  <c r="R66" i="51"/>
  <c r="R62" i="51"/>
  <c r="R101" i="51"/>
  <c r="R100" i="51"/>
  <c r="R96" i="51"/>
  <c r="R89" i="51"/>
  <c r="R88" i="51"/>
  <c r="R72" i="51"/>
  <c r="X12" i="51"/>
  <c r="Z12" i="51" s="1"/>
  <c r="R103" i="51"/>
  <c r="R54" i="51"/>
  <c r="R79" i="51"/>
  <c r="R74" i="51"/>
  <c r="R50" i="51"/>
  <c r="R63" i="51"/>
  <c r="R46" i="51"/>
  <c r="R91" i="51"/>
  <c r="R77" i="51"/>
  <c r="R42" i="51"/>
  <c r="R67" i="51"/>
  <c r="R55" i="51"/>
  <c r="R80" i="51"/>
  <c r="R59" i="51"/>
  <c r="R53" i="51"/>
  <c r="R78" i="51"/>
  <c r="R51" i="51"/>
  <c r="R92" i="51"/>
  <c r="R47" i="51"/>
  <c r="R102" i="51"/>
  <c r="R83" i="51"/>
  <c r="R60" i="51"/>
  <c r="R41" i="51"/>
  <c r="R39" i="51"/>
  <c r="N14" i="51"/>
  <c r="L14" i="51"/>
  <c r="H12" i="51"/>
  <c r="N18" i="51"/>
  <c r="L18" i="51"/>
  <c r="L14" i="42"/>
  <c r="L18" i="42"/>
  <c r="L22" i="42"/>
  <c r="J33" i="42"/>
  <c r="J37" i="42"/>
  <c r="J55" i="42"/>
  <c r="X69" i="42"/>
  <c r="Z69" i="42" s="1"/>
  <c r="J81" i="42"/>
  <c r="J86" i="42"/>
  <c r="J93" i="42"/>
  <c r="Z94" i="42"/>
  <c r="T119" i="42"/>
  <c r="Z120" i="42"/>
  <c r="L122" i="42"/>
  <c r="N122" i="42" s="1"/>
  <c r="L14" i="45"/>
  <c r="R21" i="45"/>
  <c r="V32" i="45"/>
  <c r="L37" i="45"/>
  <c r="N37" i="45" s="1"/>
  <c r="R39" i="45"/>
  <c r="N49" i="45"/>
  <c r="L51" i="45"/>
  <c r="V90" i="45"/>
  <c r="Z105" i="51"/>
  <c r="N14" i="56"/>
  <c r="H16" i="56"/>
  <c r="L14" i="56"/>
  <c r="P70" i="57"/>
  <c r="J42" i="42"/>
  <c r="J46" i="42"/>
  <c r="J54" i="42"/>
  <c r="J61" i="42"/>
  <c r="J77" i="42"/>
  <c r="X78" i="42"/>
  <c r="J83" i="42"/>
  <c r="L88" i="42"/>
  <c r="N88" i="42" s="1"/>
  <c r="N108" i="42"/>
  <c r="N116" i="42"/>
  <c r="V21" i="45"/>
  <c r="R41" i="45"/>
  <c r="R43" i="45"/>
  <c r="X55" i="45"/>
  <c r="V72" i="45"/>
  <c r="Z70" i="51"/>
  <c r="X70" i="51"/>
  <c r="X103" i="51"/>
  <c r="Z103" i="51" s="1"/>
  <c r="P70" i="56"/>
  <c r="X16" i="56"/>
  <c r="H28" i="42"/>
  <c r="J41" i="42"/>
  <c r="J53" i="42"/>
  <c r="J67" i="42"/>
  <c r="Z74" i="42"/>
  <c r="Z17" i="45"/>
  <c r="X37" i="45"/>
  <c r="Z37" i="45" s="1"/>
  <c r="Z55" i="45"/>
  <c r="Z57" i="45"/>
  <c r="Z24" i="51"/>
  <c r="N30" i="48"/>
  <c r="L30" i="48"/>
  <c r="L38" i="48"/>
  <c r="N38" i="48" s="1"/>
  <c r="R52" i="48"/>
  <c r="N57" i="48"/>
  <c r="V111" i="51"/>
  <c r="V110" i="51"/>
  <c r="V104" i="51"/>
  <c r="V92" i="51"/>
  <c r="V68" i="51"/>
  <c r="V64" i="51"/>
  <c r="V60" i="51"/>
  <c r="V109" i="51"/>
  <c r="V91" i="51"/>
  <c r="V83" i="51"/>
  <c r="V59" i="51"/>
  <c r="V57" i="51"/>
  <c r="V55" i="51"/>
  <c r="V51" i="51"/>
  <c r="V47" i="51"/>
  <c r="V43" i="51"/>
  <c r="V39" i="51"/>
  <c r="V116" i="51"/>
  <c r="V106" i="51"/>
  <c r="V93" i="51"/>
  <c r="V85" i="51"/>
  <c r="V84" i="51"/>
  <c r="V76" i="51"/>
  <c r="V52" i="51"/>
  <c r="V48" i="51"/>
  <c r="V44" i="51"/>
  <c r="V40" i="51"/>
  <c r="V99" i="51"/>
  <c r="V95" i="51"/>
  <c r="V87" i="51"/>
  <c r="V75" i="51"/>
  <c r="V71" i="51"/>
  <c r="V94" i="51"/>
  <c r="V86" i="51"/>
  <c r="V78" i="51"/>
  <c r="V66" i="51"/>
  <c r="V62" i="51"/>
  <c r="V101" i="51"/>
  <c r="V89" i="51"/>
  <c r="V77" i="51"/>
  <c r="V53" i="51"/>
  <c r="V49" i="51"/>
  <c r="V45" i="51"/>
  <c r="V41" i="51"/>
  <c r="V103" i="51"/>
  <c r="V79" i="51"/>
  <c r="V67" i="51"/>
  <c r="V63" i="51"/>
  <c r="N16" i="51"/>
  <c r="N27" i="51"/>
  <c r="V70" i="51"/>
  <c r="N85" i="51"/>
  <c r="V90" i="51"/>
  <c r="V105" i="51"/>
  <c r="P33" i="55"/>
  <c r="L28" i="56"/>
  <c r="N28" i="56" s="1"/>
  <c r="R25" i="48"/>
  <c r="R30" i="48"/>
  <c r="R33" i="48"/>
  <c r="Z36" i="48"/>
  <c r="J38" i="48"/>
  <c r="F44" i="48"/>
  <c r="R45" i="48"/>
  <c r="J51" i="48"/>
  <c r="N61" i="48"/>
  <c r="N20" i="51"/>
  <c r="N59" i="51"/>
  <c r="V100" i="51"/>
  <c r="Z111" i="51"/>
  <c r="L46" i="56"/>
  <c r="F51" i="56"/>
  <c r="R15" i="48"/>
  <c r="R27" i="48"/>
  <c r="N67" i="48"/>
  <c r="L22" i="51"/>
  <c r="N22" i="51" s="1"/>
  <c r="V69" i="51"/>
  <c r="V73" i="51"/>
  <c r="V98" i="51"/>
  <c r="Z44" i="61"/>
  <c r="X44" i="61"/>
  <c r="H119" i="42"/>
  <c r="J66" i="48"/>
  <c r="J58" i="48"/>
  <c r="J50" i="48"/>
  <c r="J40" i="48"/>
  <c r="J71" i="48"/>
  <c r="J34" i="48"/>
  <c r="J20" i="48"/>
  <c r="J53" i="48"/>
  <c r="J29" i="48"/>
  <c r="J25" i="48"/>
  <c r="J21" i="48"/>
  <c r="J19" i="48"/>
  <c r="J17" i="48"/>
  <c r="J15" i="48"/>
  <c r="J60" i="48"/>
  <c r="J44" i="48"/>
  <c r="J30" i="48"/>
  <c r="J63" i="48"/>
  <c r="J55" i="48"/>
  <c r="J47" i="48"/>
  <c r="J37" i="48"/>
  <c r="F19" i="48"/>
  <c r="J32" i="48"/>
  <c r="R41" i="48"/>
  <c r="R48" i="48"/>
  <c r="X51" i="48"/>
  <c r="R57" i="48"/>
  <c r="R64" i="48"/>
  <c r="J67" i="48"/>
  <c r="N89" i="51"/>
  <c r="V96" i="51"/>
  <c r="L27" i="55"/>
  <c r="Z42" i="56"/>
  <c r="X42" i="56"/>
  <c r="N61" i="56"/>
  <c r="T51" i="61"/>
  <c r="X18" i="61"/>
  <c r="Z18" i="61" s="1"/>
  <c r="X20" i="48"/>
  <c r="R29" i="48"/>
  <c r="R44" i="48"/>
  <c r="Z51" i="48"/>
  <c r="R61" i="48"/>
  <c r="X24" i="51"/>
  <c r="N26" i="51"/>
  <c r="L26" i="51"/>
  <c r="L28" i="51"/>
  <c r="V65" i="51"/>
  <c r="X82" i="51"/>
  <c r="Z82" i="51" s="1"/>
  <c r="X89" i="51"/>
  <c r="F64" i="56"/>
  <c r="F63" i="56"/>
  <c r="F60" i="56"/>
  <c r="F48" i="56"/>
  <c r="F39" i="56"/>
  <c r="F38" i="56"/>
  <c r="F18" i="56"/>
  <c r="F16" i="56"/>
  <c r="F14" i="56"/>
  <c r="F72" i="56"/>
  <c r="F56" i="56"/>
  <c r="F30" i="56"/>
  <c r="D16" i="56"/>
  <c r="F65" i="56"/>
  <c r="F57" i="56"/>
  <c r="F52" i="56"/>
  <c r="F41" i="56"/>
  <c r="F40" i="56"/>
  <c r="F25" i="56"/>
  <c r="F21" i="56"/>
  <c r="F61" i="56"/>
  <c r="F43" i="56"/>
  <c r="F42" i="56"/>
  <c r="F31" i="56"/>
  <c r="F74" i="56"/>
  <c r="F66" i="56"/>
  <c r="F26" i="56"/>
  <c r="F22" i="56"/>
  <c r="F62" i="56"/>
  <c r="F58" i="56"/>
  <c r="F53" i="56"/>
  <c r="F33" i="56"/>
  <c r="F32" i="56"/>
  <c r="F49" i="56"/>
  <c r="F45" i="56"/>
  <c r="F44" i="56"/>
  <c r="L12" i="56"/>
  <c r="F68" i="56"/>
  <c r="F35" i="56"/>
  <c r="F34" i="56"/>
  <c r="F27" i="56"/>
  <c r="F23" i="56"/>
  <c r="F77" i="56"/>
  <c r="F55" i="56"/>
  <c r="F46" i="56"/>
  <c r="F37" i="56"/>
  <c r="F36" i="56"/>
  <c r="F29" i="56"/>
  <c r="F28" i="56"/>
  <c r="F50" i="56"/>
  <c r="L44" i="63"/>
  <c r="N44" i="63"/>
  <c r="X67" i="48"/>
  <c r="Z67" i="48" s="1"/>
  <c r="P66" i="48"/>
  <c r="N15" i="51"/>
  <c r="N28" i="51"/>
  <c r="V80" i="51"/>
  <c r="Z89" i="51"/>
  <c r="P61" i="59"/>
  <c r="X16" i="59"/>
  <c r="T65" i="59"/>
  <c r="R59" i="48"/>
  <c r="R43" i="48"/>
  <c r="R20" i="48"/>
  <c r="R36" i="48"/>
  <c r="R35" i="48"/>
  <c r="R31" i="48"/>
  <c r="R63" i="48"/>
  <c r="R62" i="48"/>
  <c r="R55" i="48"/>
  <c r="R54" i="48"/>
  <c r="R47" i="48"/>
  <c r="R46" i="48"/>
  <c r="R26" i="48"/>
  <c r="R22" i="48"/>
  <c r="R38" i="48"/>
  <c r="R37" i="48"/>
  <c r="R58" i="48"/>
  <c r="R51" i="48"/>
  <c r="R50" i="48"/>
  <c r="R24" i="48"/>
  <c r="R32" i="48"/>
  <c r="R53" i="48"/>
  <c r="Z61" i="48"/>
  <c r="F66" i="48"/>
  <c r="R67" i="48"/>
  <c r="R71" i="48"/>
  <c r="L15" i="51"/>
  <c r="N30" i="51"/>
  <c r="L30" i="51"/>
  <c r="Z35" i="51"/>
  <c r="V42" i="51"/>
  <c r="V61" i="51"/>
  <c r="V82" i="51"/>
  <c r="N101" i="51"/>
  <c r="X31" i="55"/>
  <c r="F54" i="56"/>
  <c r="Z65" i="56"/>
  <c r="X65" i="56"/>
  <c r="Z13" i="45"/>
  <c r="F39" i="48"/>
  <c r="F38" i="48"/>
  <c r="F27" i="48"/>
  <c r="F23" i="48"/>
  <c r="F67" i="48"/>
  <c r="F58" i="48"/>
  <c r="F57" i="48"/>
  <c r="F59" i="48"/>
  <c r="F43" i="48"/>
  <c r="F42" i="48"/>
  <c r="F34" i="48"/>
  <c r="F53" i="48"/>
  <c r="F29" i="48"/>
  <c r="F25" i="48"/>
  <c r="F21" i="48"/>
  <c r="F20" i="48"/>
  <c r="F62" i="48"/>
  <c r="F61" i="48"/>
  <c r="F54" i="48"/>
  <c r="F46" i="48"/>
  <c r="F45" i="48"/>
  <c r="F26" i="48"/>
  <c r="F22" i="48"/>
  <c r="Z13" i="48"/>
  <c r="F17" i="48"/>
  <c r="R19" i="48"/>
  <c r="J28" i="48"/>
  <c r="J31" i="48"/>
  <c r="R34" i="48"/>
  <c r="F49" i="48"/>
  <c r="F52" i="48"/>
  <c r="R56" i="48"/>
  <c r="N19" i="51"/>
  <c r="V46" i="51"/>
  <c r="N95" i="51"/>
  <c r="X101" i="51"/>
  <c r="D22" i="54"/>
  <c r="V23" i="55"/>
  <c r="V22" i="55"/>
  <c r="V40" i="55"/>
  <c r="V37" i="55"/>
  <c r="V35" i="55"/>
  <c r="V25" i="55"/>
  <c r="V24" i="55"/>
  <c r="V27" i="55"/>
  <c r="V26" i="55"/>
  <c r="V28" i="55"/>
  <c r="Z12" i="55"/>
  <c r="V19" i="55"/>
  <c r="X12" i="55"/>
  <c r="V33" i="55"/>
  <c r="V31" i="55"/>
  <c r="V29" i="55"/>
  <c r="V21" i="55"/>
  <c r="T16" i="55"/>
  <c r="X19" i="55"/>
  <c r="Z19" i="55" s="1"/>
  <c r="F47" i="56"/>
  <c r="T73" i="58"/>
  <c r="Z16" i="58"/>
  <c r="X42" i="58"/>
  <c r="Z42" i="58"/>
  <c r="X57" i="58"/>
  <c r="Z57" i="58" s="1"/>
  <c r="N89" i="62"/>
  <c r="L89" i="62"/>
  <c r="N97" i="62"/>
  <c r="L97" i="62"/>
  <c r="H17" i="48"/>
  <c r="Z19" i="48"/>
  <c r="J39" i="48"/>
  <c r="R40" i="48"/>
  <c r="N49" i="48"/>
  <c r="J52" i="48"/>
  <c r="R60" i="48"/>
  <c r="J62" i="48"/>
  <c r="N34" i="51"/>
  <c r="L34" i="51"/>
  <c r="V50" i="51"/>
  <c r="V72" i="51"/>
  <c r="V74" i="51"/>
  <c r="Z101" i="51"/>
  <c r="H55" i="60"/>
  <c r="N12" i="48"/>
  <c r="L15" i="48"/>
  <c r="J23" i="48"/>
  <c r="R28" i="48"/>
  <c r="Z40" i="48"/>
  <c r="X40" i="48"/>
  <c r="J42" i="48"/>
  <c r="L45" i="48"/>
  <c r="J49" i="48"/>
  <c r="D69" i="48"/>
  <c r="F69" i="48" s="1"/>
  <c r="N23" i="51"/>
  <c r="N39" i="51"/>
  <c r="N60" i="51"/>
  <c r="V81" i="51"/>
  <c r="V88" i="51"/>
  <c r="V97" i="51"/>
  <c r="L109" i="51"/>
  <c r="N18" i="56"/>
  <c r="X32" i="56"/>
  <c r="Z32" i="56" s="1"/>
  <c r="Z34" i="56"/>
  <c r="L38" i="56"/>
  <c r="N38" i="56" s="1"/>
  <c r="F70" i="56"/>
  <c r="L14" i="58"/>
  <c r="D16" i="58"/>
  <c r="H16" i="54"/>
  <c r="F25" i="55"/>
  <c r="F26" i="55"/>
  <c r="J27" i="55"/>
  <c r="F37" i="55"/>
  <c r="F40" i="55"/>
  <c r="J14" i="56"/>
  <c r="J16" i="56"/>
  <c r="J18" i="56"/>
  <c r="J20" i="56"/>
  <c r="R21" i="56"/>
  <c r="J24" i="56"/>
  <c r="R25" i="56"/>
  <c r="V32" i="56"/>
  <c r="J38" i="56"/>
  <c r="R41" i="56"/>
  <c r="R42" i="56"/>
  <c r="J47" i="56"/>
  <c r="V52" i="56"/>
  <c r="V57" i="56"/>
  <c r="R60" i="56"/>
  <c r="Z61" i="56"/>
  <c r="V39" i="57"/>
  <c r="V31" i="57"/>
  <c r="V70" i="57"/>
  <c r="V68" i="57"/>
  <c r="V66" i="57"/>
  <c r="V58" i="57"/>
  <c r="V50" i="57"/>
  <c r="V42" i="57"/>
  <c r="V26" i="57"/>
  <c r="V22" i="57"/>
  <c r="V41" i="57"/>
  <c r="V61" i="57"/>
  <c r="V53" i="57"/>
  <c r="V45" i="57"/>
  <c r="V33" i="57"/>
  <c r="V29" i="57"/>
  <c r="T16" i="57"/>
  <c r="X16" i="57" s="1"/>
  <c r="V60" i="57"/>
  <c r="V52" i="57"/>
  <c r="V44" i="57"/>
  <c r="V36" i="57"/>
  <c r="V24" i="57"/>
  <c r="V20" i="57"/>
  <c r="V65" i="57"/>
  <c r="V57" i="57"/>
  <c r="V49" i="57"/>
  <c r="V37" i="57"/>
  <c r="V25" i="57"/>
  <c r="V21" i="57"/>
  <c r="X14" i="57"/>
  <c r="V28" i="57"/>
  <c r="J34" i="57"/>
  <c r="V35" i="57"/>
  <c r="J56" i="57"/>
  <c r="V72" i="57"/>
  <c r="V77" i="57"/>
  <c r="J32" i="58"/>
  <c r="J44" i="58"/>
  <c r="R47" i="58"/>
  <c r="J64" i="58"/>
  <c r="R67" i="58"/>
  <c r="D16" i="59"/>
  <c r="F32" i="59"/>
  <c r="Z48" i="59"/>
  <c r="N50" i="59"/>
  <c r="Z28" i="61"/>
  <c r="V20" i="62"/>
  <c r="N57" i="62"/>
  <c r="V119" i="66"/>
  <c r="V117" i="66"/>
  <c r="V126" i="66"/>
  <c r="V104" i="66"/>
  <c r="V96" i="66"/>
  <c r="V80" i="66"/>
  <c r="V76" i="66"/>
  <c r="T63" i="66"/>
  <c r="Z12" i="66"/>
  <c r="V111" i="66"/>
  <c r="V103" i="66"/>
  <c r="V95" i="66"/>
  <c r="V87" i="66"/>
  <c r="V75" i="66"/>
  <c r="V71" i="66"/>
  <c r="V67" i="66"/>
  <c r="V110" i="66"/>
  <c r="V98" i="66"/>
  <c r="V58" i="66"/>
  <c r="V54" i="66"/>
  <c r="V50" i="66"/>
  <c r="V46" i="66"/>
  <c r="V105" i="66"/>
  <c r="V97" i="66"/>
  <c r="V89" i="66"/>
  <c r="V81" i="66"/>
  <c r="V77" i="66"/>
  <c r="V112" i="66"/>
  <c r="V88" i="66"/>
  <c r="V72" i="66"/>
  <c r="V68" i="66"/>
  <c r="V107" i="66"/>
  <c r="V99" i="66"/>
  <c r="V91" i="66"/>
  <c r="V59" i="66"/>
  <c r="V55" i="66"/>
  <c r="V51" i="66"/>
  <c r="V47" i="66"/>
  <c r="V114" i="66"/>
  <c r="V106" i="66"/>
  <c r="V90" i="66"/>
  <c r="V82" i="66"/>
  <c r="V78" i="66"/>
  <c r="V121" i="66"/>
  <c r="V115" i="66"/>
  <c r="V83" i="66"/>
  <c r="V79" i="66"/>
  <c r="V101" i="66"/>
  <c r="V94" i="66"/>
  <c r="V69" i="66"/>
  <c r="V49" i="66"/>
  <c r="V92" i="66"/>
  <c r="V73" i="66"/>
  <c r="V60" i="66"/>
  <c r="V53" i="66"/>
  <c r="V44" i="66"/>
  <c r="V120" i="66"/>
  <c r="V113" i="66"/>
  <c r="V66" i="66"/>
  <c r="V108" i="66"/>
  <c r="V86" i="66"/>
  <c r="V84" i="66"/>
  <c r="V48" i="66"/>
  <c r="V93" i="66"/>
  <c r="V116" i="66"/>
  <c r="V70" i="66"/>
  <c r="V57" i="66"/>
  <c r="V102" i="66"/>
  <c r="V52" i="66"/>
  <c r="V74" i="66"/>
  <c r="V65" i="66"/>
  <c r="V56" i="66"/>
  <c r="V61" i="66"/>
  <c r="V122" i="66"/>
  <c r="V45" i="66"/>
  <c r="V100" i="66"/>
  <c r="V109" i="66"/>
  <c r="L14" i="54"/>
  <c r="R24" i="54"/>
  <c r="X14" i="55"/>
  <c r="F23" i="55"/>
  <c r="F24" i="55"/>
  <c r="J65" i="56"/>
  <c r="J51" i="56"/>
  <c r="J72" i="56"/>
  <c r="J61" i="56"/>
  <c r="J55" i="56"/>
  <c r="J28" i="56"/>
  <c r="V30" i="56"/>
  <c r="J36" i="56"/>
  <c r="V42" i="56"/>
  <c r="J46" i="56"/>
  <c r="J59" i="56"/>
  <c r="V65" i="56"/>
  <c r="J70" i="56"/>
  <c r="J29" i="58"/>
  <c r="J34" i="58"/>
  <c r="J46" i="58"/>
  <c r="R50" i="58"/>
  <c r="J56" i="58"/>
  <c r="F34" i="59"/>
  <c r="F52" i="59"/>
  <c r="X49" i="61"/>
  <c r="Z65" i="62"/>
  <c r="V24" i="54"/>
  <c r="V26" i="54"/>
  <c r="V28" i="54"/>
  <c r="V29" i="54"/>
  <c r="V31" i="54"/>
  <c r="J23" i="56"/>
  <c r="J27" i="56"/>
  <c r="J35" i="56"/>
  <c r="V39" i="56"/>
  <c r="J50" i="56"/>
  <c r="J54" i="56"/>
  <c r="J63" i="56"/>
  <c r="V64" i="56"/>
  <c r="D70" i="57"/>
  <c r="X49" i="57"/>
  <c r="Z49" i="57" s="1"/>
  <c r="N53" i="57"/>
  <c r="J40" i="58"/>
  <c r="R49" i="58"/>
  <c r="Z50" i="58"/>
  <c r="J69" i="58"/>
  <c r="Z38" i="59"/>
  <c r="X65" i="62"/>
  <c r="Z78" i="62"/>
  <c r="L60" i="51"/>
  <c r="X78" i="51"/>
  <c r="Z78" i="51" s="1"/>
  <c r="L92" i="51"/>
  <c r="L110" i="51"/>
  <c r="P16" i="54"/>
  <c r="X28" i="54"/>
  <c r="Z28" i="54" s="1"/>
  <c r="X29" i="54"/>
  <c r="Z29" i="54" s="1"/>
  <c r="D16" i="55"/>
  <c r="F21" i="55"/>
  <c r="F22" i="55"/>
  <c r="F31" i="55"/>
  <c r="F33" i="55"/>
  <c r="N12" i="56"/>
  <c r="V20" i="56"/>
  <c r="V24" i="56"/>
  <c r="J34" i="56"/>
  <c r="V40" i="56"/>
  <c r="J45" i="56"/>
  <c r="J49" i="56"/>
  <c r="V55" i="56"/>
  <c r="V56" i="56"/>
  <c r="J68" i="56"/>
  <c r="Z19" i="57"/>
  <c r="L55" i="57"/>
  <c r="R37" i="58"/>
  <c r="Z38" i="58"/>
  <c r="R59" i="58"/>
  <c r="J61" i="58"/>
  <c r="L68" i="58"/>
  <c r="H61" i="59"/>
  <c r="N16" i="59"/>
  <c r="N42" i="59"/>
  <c r="N14" i="60"/>
  <c r="R53" i="61"/>
  <c r="R31" i="61"/>
  <c r="R44" i="61"/>
  <c r="R43" i="61"/>
  <c r="R51" i="61"/>
  <c r="R38" i="61"/>
  <c r="R32" i="61"/>
  <c r="R29" i="61"/>
  <c r="R18" i="61"/>
  <c r="R16" i="61"/>
  <c r="R14" i="61"/>
  <c r="R39" i="61"/>
  <c r="R33" i="61"/>
  <c r="R24" i="61"/>
  <c r="R20" i="61"/>
  <c r="P16" i="61"/>
  <c r="R45" i="61"/>
  <c r="R41" i="61"/>
  <c r="R40" i="61"/>
  <c r="R30" i="61"/>
  <c r="R46" i="61"/>
  <c r="R34" i="61"/>
  <c r="R25" i="61"/>
  <c r="R21" i="61"/>
  <c r="R35" i="61"/>
  <c r="R42" i="61"/>
  <c r="R55" i="61"/>
  <c r="R36" i="61"/>
  <c r="R26" i="61"/>
  <c r="R22" i="61"/>
  <c r="R49" i="61"/>
  <c r="R28" i="61"/>
  <c r="R27" i="61"/>
  <c r="R23" i="61"/>
  <c r="N46" i="62"/>
  <c r="X59" i="62"/>
  <c r="Z59" i="62" s="1"/>
  <c r="N12" i="54"/>
  <c r="R14" i="54"/>
  <c r="R16" i="54"/>
  <c r="R18" i="54"/>
  <c r="R20" i="54"/>
  <c r="R22" i="54"/>
  <c r="F14" i="55"/>
  <c r="F16" i="55"/>
  <c r="R52" i="56"/>
  <c r="R65" i="56"/>
  <c r="R64" i="56"/>
  <c r="T16" i="56"/>
  <c r="R19" i="56"/>
  <c r="V29" i="56"/>
  <c r="J33" i="56"/>
  <c r="V37" i="56"/>
  <c r="J44" i="56"/>
  <c r="X46" i="56"/>
  <c r="Z46" i="56" s="1"/>
  <c r="J53" i="56"/>
  <c r="J58" i="56"/>
  <c r="R59" i="56"/>
  <c r="J62" i="56"/>
  <c r="R70" i="56"/>
  <c r="V19" i="57"/>
  <c r="J39" i="57"/>
  <c r="V43" i="57"/>
  <c r="N45" i="57"/>
  <c r="V48" i="57"/>
  <c r="X63" i="57"/>
  <c r="N18" i="60"/>
  <c r="J31" i="60"/>
  <c r="N19" i="61"/>
  <c r="V76" i="62"/>
  <c r="V60" i="62"/>
  <c r="V44" i="62"/>
  <c r="V36" i="62"/>
  <c r="V32" i="62"/>
  <c r="V95" i="62"/>
  <c r="V87" i="62"/>
  <c r="V83" i="62"/>
  <c r="V71" i="62"/>
  <c r="V63" i="62"/>
  <c r="V51" i="62"/>
  <c r="V43" i="62"/>
  <c r="V27" i="62"/>
  <c r="V23" i="62"/>
  <c r="V101" i="62"/>
  <c r="V91" i="62"/>
  <c r="V79" i="62"/>
  <c r="V67" i="62"/>
  <c r="V55" i="62"/>
  <c r="V47" i="62"/>
  <c r="V39" i="62"/>
  <c r="V19" i="62"/>
  <c r="V17" i="62"/>
  <c r="V15" i="62"/>
  <c r="V100" i="62"/>
  <c r="V98" i="62"/>
  <c r="V90" i="62"/>
  <c r="V74" i="62"/>
  <c r="V66" i="62"/>
  <c r="V54" i="62"/>
  <c r="V38" i="62"/>
  <c r="V34" i="62"/>
  <c r="V112" i="62"/>
  <c r="V109" i="62"/>
  <c r="V107" i="62"/>
  <c r="V93" i="62"/>
  <c r="V85" i="62"/>
  <c r="V81" i="62"/>
  <c r="V73" i="62"/>
  <c r="V69" i="62"/>
  <c r="V57" i="62"/>
  <c r="V41" i="62"/>
  <c r="V62" i="62"/>
  <c r="V53" i="62"/>
  <c r="V49" i="62"/>
  <c r="V14" i="62"/>
  <c r="V56" i="62"/>
  <c r="V50" i="62"/>
  <c r="V24" i="62"/>
  <c r="V96" i="62"/>
  <c r="V88" i="62"/>
  <c r="V33" i="62"/>
  <c r="V94" i="62"/>
  <c r="V86" i="62"/>
  <c r="V42" i="62"/>
  <c r="V30" i="62"/>
  <c r="V22" i="62"/>
  <c r="V105" i="62"/>
  <c r="V97" i="62"/>
  <c r="V89" i="62"/>
  <c r="V84" i="62"/>
  <c r="V45" i="62"/>
  <c r="V31" i="62"/>
  <c r="V25" i="62"/>
  <c r="V82" i="62"/>
  <c r="V92" i="62"/>
  <c r="V77" i="62"/>
  <c r="V75" i="62"/>
  <c r="V72" i="62"/>
  <c r="V46" i="62"/>
  <c r="V70" i="62"/>
  <c r="V61" i="62"/>
  <c r="V48" i="62"/>
  <c r="V40" i="62"/>
  <c r="V28" i="62"/>
  <c r="T17" i="62"/>
  <c r="V103" i="62"/>
  <c r="V65" i="62"/>
  <c r="V59" i="62"/>
  <c r="Z12" i="62"/>
  <c r="Z19" i="62"/>
  <c r="V21" i="62"/>
  <c r="V52" i="62"/>
  <c r="X93" i="62"/>
  <c r="Z93" i="62" s="1"/>
  <c r="P100" i="62"/>
  <c r="X101" i="62"/>
  <c r="Z101" i="62" s="1"/>
  <c r="Z108" i="64"/>
  <c r="T108" i="51"/>
  <c r="T16" i="54"/>
  <c r="H16" i="55"/>
  <c r="V59" i="56"/>
  <c r="V47" i="56"/>
  <c r="V51" i="56"/>
  <c r="V43" i="56"/>
  <c r="V14" i="56"/>
  <c r="V16" i="56"/>
  <c r="V18" i="56"/>
  <c r="V38" i="56"/>
  <c r="J66" i="56"/>
  <c r="J74" i="56"/>
  <c r="Z63" i="57"/>
  <c r="J65" i="58"/>
  <c r="J59" i="58"/>
  <c r="J41" i="58"/>
  <c r="J33" i="58"/>
  <c r="J19" i="58"/>
  <c r="J66" i="58"/>
  <c r="J60" i="58"/>
  <c r="J52" i="58"/>
  <c r="J42" i="58"/>
  <c r="J28" i="58"/>
  <c r="J24" i="58"/>
  <c r="J20" i="58"/>
  <c r="J18" i="58"/>
  <c r="J16" i="58"/>
  <c r="J14" i="58"/>
  <c r="J67" i="58"/>
  <c r="J43" i="58"/>
  <c r="H16" i="58"/>
  <c r="J73" i="58"/>
  <c r="J71" i="58"/>
  <c r="J55" i="58"/>
  <c r="J47" i="58"/>
  <c r="J35" i="58"/>
  <c r="J31" i="58"/>
  <c r="J62" i="58"/>
  <c r="J48" i="58"/>
  <c r="J36" i="58"/>
  <c r="J26" i="58"/>
  <c r="J22" i="58"/>
  <c r="J80" i="58"/>
  <c r="J77" i="58"/>
  <c r="J63" i="58"/>
  <c r="J57" i="58"/>
  <c r="J51" i="58"/>
  <c r="J39" i="58"/>
  <c r="J27" i="58"/>
  <c r="J23" i="58"/>
  <c r="J53" i="58"/>
  <c r="V14" i="54"/>
  <c r="V16" i="54"/>
  <c r="V18" i="54"/>
  <c r="V20" i="54"/>
  <c r="V22" i="54"/>
  <c r="V70" i="56"/>
  <c r="J68" i="58"/>
  <c r="F57" i="59"/>
  <c r="F49" i="59"/>
  <c r="F48" i="59"/>
  <c r="F41" i="59"/>
  <c r="F40" i="59"/>
  <c r="F33" i="59"/>
  <c r="F28" i="59"/>
  <c r="F24" i="59"/>
  <c r="F20" i="59"/>
  <c r="F19" i="59"/>
  <c r="F51" i="59"/>
  <c r="F50" i="59"/>
  <c r="F43" i="59"/>
  <c r="F42" i="59"/>
  <c r="F18" i="59"/>
  <c r="F16" i="59"/>
  <c r="F14" i="59"/>
  <c r="F63" i="59"/>
  <c r="F45" i="59"/>
  <c r="F44" i="59"/>
  <c r="F35" i="59"/>
  <c r="F31" i="59"/>
  <c r="F30" i="59"/>
  <c r="F68" i="59"/>
  <c r="F65" i="59"/>
  <c r="F54" i="59"/>
  <c r="F53" i="59"/>
  <c r="F46" i="59"/>
  <c r="F26" i="59"/>
  <c r="F22" i="59"/>
  <c r="F47" i="59"/>
  <c r="F39" i="59"/>
  <c r="F38" i="59"/>
  <c r="F27" i="59"/>
  <c r="F23" i="59"/>
  <c r="N44" i="59"/>
  <c r="F61" i="59"/>
  <c r="N46" i="60"/>
  <c r="L46" i="60"/>
  <c r="X14" i="54"/>
  <c r="X18" i="54"/>
  <c r="X20" i="54"/>
  <c r="L14" i="55"/>
  <c r="L18" i="55"/>
  <c r="N18" i="55" s="1"/>
  <c r="Z12" i="56"/>
  <c r="X19" i="56"/>
  <c r="Z19" i="56" s="1"/>
  <c r="V28" i="56"/>
  <c r="V36" i="56"/>
  <c r="J42" i="56"/>
  <c r="V45" i="56"/>
  <c r="V46" i="56"/>
  <c r="V49" i="56"/>
  <c r="L56" i="56"/>
  <c r="L61" i="56"/>
  <c r="V63" i="56"/>
  <c r="Z55" i="57"/>
  <c r="N57" i="57"/>
  <c r="L65" i="57"/>
  <c r="R34" i="58"/>
  <c r="R69" i="58"/>
  <c r="R61" i="58"/>
  <c r="R54" i="58"/>
  <c r="R53" i="58"/>
  <c r="R46" i="58"/>
  <c r="R45" i="58"/>
  <c r="R30" i="58"/>
  <c r="R29" i="58"/>
  <c r="R25" i="58"/>
  <c r="R21" i="58"/>
  <c r="R73" i="58"/>
  <c r="R71" i="58"/>
  <c r="R80" i="58"/>
  <c r="R77" i="58"/>
  <c r="R57" i="58"/>
  <c r="R56" i="58"/>
  <c r="R32" i="58"/>
  <c r="X12" i="58"/>
  <c r="R64" i="58"/>
  <c r="R63" i="58"/>
  <c r="R51" i="58"/>
  <c r="R40" i="58"/>
  <c r="R39" i="58"/>
  <c r="R27" i="58"/>
  <c r="R23" i="58"/>
  <c r="R60" i="58"/>
  <c r="R52" i="58"/>
  <c r="R28" i="58"/>
  <c r="R24" i="58"/>
  <c r="R20" i="58"/>
  <c r="P16" i="58"/>
  <c r="Z18" i="58"/>
  <c r="R22" i="58"/>
  <c r="R36" i="58"/>
  <c r="J45" i="58"/>
  <c r="R48" i="58"/>
  <c r="R58" i="58"/>
  <c r="Z66" i="58"/>
  <c r="N18" i="59"/>
  <c r="F56" i="59"/>
  <c r="J53" i="60"/>
  <c r="J35" i="60"/>
  <c r="J42" i="60"/>
  <c r="J26" i="60"/>
  <c r="J22" i="60"/>
  <c r="J58" i="60"/>
  <c r="J55" i="60"/>
  <c r="J36" i="60"/>
  <c r="J43" i="60"/>
  <c r="J27" i="60"/>
  <c r="J23" i="60"/>
  <c r="L12" i="60"/>
  <c r="J44" i="60"/>
  <c r="J28" i="60"/>
  <c r="J45" i="60"/>
  <c r="J37" i="60"/>
  <c r="J29" i="60"/>
  <c r="J19" i="60"/>
  <c r="J46" i="60"/>
  <c r="J38" i="60"/>
  <c r="J30" i="60"/>
  <c r="J24" i="60"/>
  <c r="J20" i="60"/>
  <c r="J18" i="60"/>
  <c r="J16" i="60"/>
  <c r="J14" i="60"/>
  <c r="J51" i="60"/>
  <c r="J49" i="60"/>
  <c r="J41" i="60"/>
  <c r="J33" i="60"/>
  <c r="J25" i="60"/>
  <c r="J21" i="60"/>
  <c r="Z40" i="60"/>
  <c r="Z103" i="62"/>
  <c r="X103" i="62"/>
  <c r="T100" i="62"/>
  <c r="J26" i="54"/>
  <c r="J28" i="54"/>
  <c r="J29" i="54"/>
  <c r="J21" i="56"/>
  <c r="J25" i="56"/>
  <c r="V33" i="56"/>
  <c r="J41" i="56"/>
  <c r="R44" i="56"/>
  <c r="V50" i="56"/>
  <c r="J52" i="56"/>
  <c r="V53" i="56"/>
  <c r="V54" i="56"/>
  <c r="J57" i="56"/>
  <c r="V58" i="56"/>
  <c r="J60" i="56"/>
  <c r="V62" i="56"/>
  <c r="R66" i="56"/>
  <c r="J61" i="57"/>
  <c r="J53" i="57"/>
  <c r="J45" i="57"/>
  <c r="J35" i="57"/>
  <c r="H16" i="57"/>
  <c r="J62" i="57"/>
  <c r="J54" i="57"/>
  <c r="J46" i="57"/>
  <c r="J36" i="57"/>
  <c r="J30" i="57"/>
  <c r="J63" i="57"/>
  <c r="J55" i="57"/>
  <c r="J47" i="57"/>
  <c r="J37" i="57"/>
  <c r="J25" i="57"/>
  <c r="J21" i="57"/>
  <c r="J41" i="57"/>
  <c r="J70" i="57"/>
  <c r="J68" i="57"/>
  <c r="J42" i="57"/>
  <c r="J32" i="57"/>
  <c r="N12" i="57"/>
  <c r="J33" i="57"/>
  <c r="J29" i="57"/>
  <c r="J19" i="57"/>
  <c r="J20" i="57"/>
  <c r="X28" i="57"/>
  <c r="Z28" i="57" s="1"/>
  <c r="J38" i="57"/>
  <c r="J44" i="57"/>
  <c r="X47" i="57"/>
  <c r="J57" i="57"/>
  <c r="J72" i="57"/>
  <c r="J77" i="57"/>
  <c r="R26" i="58"/>
  <c r="R31" i="58"/>
  <c r="R33" i="58"/>
  <c r="L44" i="58"/>
  <c r="N44" i="58" s="1"/>
  <c r="R65" i="58"/>
  <c r="R68" i="58"/>
  <c r="L12" i="59"/>
  <c r="F21" i="59"/>
  <c r="Z44" i="59"/>
  <c r="N12" i="60"/>
  <c r="R58" i="61"/>
  <c r="V68" i="62"/>
  <c r="Z14" i="63"/>
  <c r="X14" i="63"/>
  <c r="Z47" i="57"/>
  <c r="N49" i="57"/>
  <c r="N30" i="59"/>
  <c r="Z36" i="59"/>
  <c r="L38" i="59"/>
  <c r="N38" i="59" s="1"/>
  <c r="N30" i="60"/>
  <c r="L30" i="60"/>
  <c r="N38" i="60"/>
  <c r="L38" i="60"/>
  <c r="N46" i="61"/>
  <c r="L46" i="61"/>
  <c r="Z31" i="62"/>
  <c r="Z36" i="63"/>
  <c r="L14" i="57"/>
  <c r="R30" i="57"/>
  <c r="R46" i="57"/>
  <c r="R47" i="57"/>
  <c r="R54" i="57"/>
  <c r="R55" i="57"/>
  <c r="R62" i="57"/>
  <c r="R63" i="57"/>
  <c r="F72" i="57"/>
  <c r="L12" i="58"/>
  <c r="F32" i="58"/>
  <c r="V43" i="58"/>
  <c r="F56" i="58"/>
  <c r="V67" i="58"/>
  <c r="N14" i="59"/>
  <c r="V30" i="59"/>
  <c r="V34" i="59"/>
  <c r="J40" i="59"/>
  <c r="R43" i="59"/>
  <c r="R44" i="59"/>
  <c r="J48" i="59"/>
  <c r="R51" i="59"/>
  <c r="D16" i="60"/>
  <c r="R22" i="60"/>
  <c r="R26" i="60"/>
  <c r="R42" i="60"/>
  <c r="R55" i="60"/>
  <c r="R58" i="60"/>
  <c r="V42" i="61"/>
  <c r="V46" i="61"/>
  <c r="V34" i="61"/>
  <c r="V14" i="61"/>
  <c r="V16" i="61"/>
  <c r="V18" i="61"/>
  <c r="J31" i="61"/>
  <c r="Z33" i="61"/>
  <c r="J36" i="61"/>
  <c r="V43" i="61"/>
  <c r="V44" i="61"/>
  <c r="V51" i="61"/>
  <c r="R19" i="62"/>
  <c r="R20" i="62"/>
  <c r="F28" i="62"/>
  <c r="N31" i="62"/>
  <c r="J34" i="62"/>
  <c r="Z41" i="62"/>
  <c r="J46" i="62"/>
  <c r="L57" i="62"/>
  <c r="R58" i="62"/>
  <c r="F75" i="62"/>
  <c r="R78" i="62"/>
  <c r="R85" i="62"/>
  <c r="F89" i="62"/>
  <c r="R93" i="62"/>
  <c r="F97" i="62"/>
  <c r="L18" i="63"/>
  <c r="N18" i="63" s="1"/>
  <c r="X19" i="63"/>
  <c r="Z19" i="63" s="1"/>
  <c r="V36" i="63"/>
  <c r="V42" i="63"/>
  <c r="V52" i="63"/>
  <c r="X24" i="64"/>
  <c r="Z24" i="64" s="1"/>
  <c r="N77" i="64"/>
  <c r="L77" i="64"/>
  <c r="J18" i="65"/>
  <c r="J29" i="65"/>
  <c r="X38" i="65"/>
  <c r="Z38" i="65" s="1"/>
  <c r="N15" i="64"/>
  <c r="L15" i="64"/>
  <c r="Z43" i="64"/>
  <c r="X26" i="66"/>
  <c r="Z26" i="66" s="1"/>
  <c r="L76" i="66"/>
  <c r="N76" i="66" s="1"/>
  <c r="R29" i="57"/>
  <c r="R33" i="57"/>
  <c r="R34" i="57"/>
  <c r="R74" i="57"/>
  <c r="R77" i="57"/>
  <c r="V14" i="58"/>
  <c r="V16" i="58"/>
  <c r="V18" i="58"/>
  <c r="F35" i="58"/>
  <c r="V42" i="58"/>
  <c r="F46" i="58"/>
  <c r="F47" i="58"/>
  <c r="F54" i="58"/>
  <c r="F55" i="58"/>
  <c r="V58" i="58"/>
  <c r="V66" i="58"/>
  <c r="R19" i="59"/>
  <c r="V33" i="59"/>
  <c r="V41" i="59"/>
  <c r="V49" i="59"/>
  <c r="V57" i="59"/>
  <c r="V59" i="59"/>
  <c r="V61" i="59"/>
  <c r="F28" i="60"/>
  <c r="F29" i="60"/>
  <c r="F37" i="60"/>
  <c r="F44" i="60"/>
  <c r="F45" i="60"/>
  <c r="D16" i="61"/>
  <c r="F30" i="61"/>
  <c r="F33" i="61"/>
  <c r="L39" i="61"/>
  <c r="F40" i="61"/>
  <c r="F45" i="61"/>
  <c r="F45" i="62"/>
  <c r="Z46" i="62"/>
  <c r="R51" i="62"/>
  <c r="F63" i="62"/>
  <c r="F66" i="62"/>
  <c r="F69" i="62"/>
  <c r="F74" i="62"/>
  <c r="R75" i="62"/>
  <c r="R77" i="62"/>
  <c r="F86" i="62"/>
  <c r="R92" i="62"/>
  <c r="F94" i="62"/>
  <c r="V14" i="63"/>
  <c r="R18" i="63"/>
  <c r="V19" i="63"/>
  <c r="R21" i="63"/>
  <c r="V28" i="63"/>
  <c r="R54" i="63"/>
  <c r="R65" i="63"/>
  <c r="T12" i="64"/>
  <c r="N23" i="64"/>
  <c r="L23" i="64"/>
  <c r="X47" i="64"/>
  <c r="Z47" i="64" s="1"/>
  <c r="R16" i="65"/>
  <c r="J23" i="65"/>
  <c r="R37" i="65"/>
  <c r="R54" i="65"/>
  <c r="N22" i="70"/>
  <c r="H12" i="70"/>
  <c r="R19" i="57"/>
  <c r="F49" i="57"/>
  <c r="F50" i="57"/>
  <c r="F57" i="57"/>
  <c r="F58" i="57"/>
  <c r="F65" i="57"/>
  <c r="F66" i="57"/>
  <c r="R72" i="57"/>
  <c r="V19" i="58"/>
  <c r="V23" i="58"/>
  <c r="V27" i="58"/>
  <c r="V39" i="58"/>
  <c r="V51" i="58"/>
  <c r="V59" i="58"/>
  <c r="V63" i="58"/>
  <c r="V14" i="59"/>
  <c r="V16" i="59"/>
  <c r="V18" i="59"/>
  <c r="R23" i="59"/>
  <c r="R27" i="59"/>
  <c r="R39" i="59"/>
  <c r="R40" i="59"/>
  <c r="V42" i="59"/>
  <c r="R47" i="59"/>
  <c r="R48" i="59"/>
  <c r="V50" i="59"/>
  <c r="V21" i="60"/>
  <c r="V25" i="60"/>
  <c r="V33" i="60"/>
  <c r="V41" i="60"/>
  <c r="F14" i="61"/>
  <c r="F16" i="61"/>
  <c r="F18" i="61"/>
  <c r="F39" i="61"/>
  <c r="R31" i="62"/>
  <c r="F33" i="62"/>
  <c r="F53" i="62"/>
  <c r="X57" i="62"/>
  <c r="N63" i="62"/>
  <c r="F79" i="62"/>
  <c r="R82" i="62"/>
  <c r="F88" i="62"/>
  <c r="F96" i="62"/>
  <c r="Z18" i="63"/>
  <c r="X21" i="64"/>
  <c r="Z21" i="64" s="1"/>
  <c r="Z32" i="64"/>
  <c r="R35" i="65"/>
  <c r="Z46" i="65"/>
  <c r="X14" i="68"/>
  <c r="Z14" i="68"/>
  <c r="N22" i="69"/>
  <c r="L22" i="69"/>
  <c r="X49" i="69"/>
  <c r="Z49" i="69" s="1"/>
  <c r="Z51" i="69"/>
  <c r="N33" i="71"/>
  <c r="L33" i="71"/>
  <c r="H16" i="61"/>
  <c r="F44" i="61"/>
  <c r="F51" i="61"/>
  <c r="N53" i="62"/>
  <c r="Z89" i="62"/>
  <c r="X89" i="62"/>
  <c r="X97" i="62"/>
  <c r="Z97" i="62" s="1"/>
  <c r="N16" i="63"/>
  <c r="H58" i="63"/>
  <c r="J64" i="65"/>
  <c r="J50" i="65"/>
  <c r="J38" i="65"/>
  <c r="J28" i="65"/>
  <c r="J24" i="65"/>
  <c r="J22" i="65"/>
  <c r="J20" i="65"/>
  <c r="J51" i="65"/>
  <c r="J39" i="65"/>
  <c r="H20" i="65"/>
  <c r="J70" i="65"/>
  <c r="J60" i="65"/>
  <c r="J42" i="65"/>
  <c r="J43" i="65"/>
  <c r="J35" i="65"/>
  <c r="J75" i="65"/>
  <c r="J72" i="65"/>
  <c r="J54" i="65"/>
  <c r="J44" i="65"/>
  <c r="J30" i="65"/>
  <c r="J26" i="65"/>
  <c r="J16" i="65"/>
  <c r="J47" i="65"/>
  <c r="J31" i="65"/>
  <c r="J27" i="65"/>
  <c r="J59" i="65"/>
  <c r="J40" i="65"/>
  <c r="J32" i="65"/>
  <c r="J37" i="65"/>
  <c r="J46" i="65"/>
  <c r="J62" i="65"/>
  <c r="J52" i="65"/>
  <c r="J55" i="65"/>
  <c r="J49" i="65"/>
  <c r="J17" i="65"/>
  <c r="J57" i="65"/>
  <c r="J41" i="65"/>
  <c r="J33" i="65"/>
  <c r="J66" i="65"/>
  <c r="J63" i="65"/>
  <c r="J36" i="65"/>
  <c r="J53" i="65"/>
  <c r="J45" i="65"/>
  <c r="Z42" i="66"/>
  <c r="X42" i="66"/>
  <c r="P16" i="60"/>
  <c r="F28" i="61"/>
  <c r="F20" i="62"/>
  <c r="F21" i="62"/>
  <c r="F24" i="62"/>
  <c r="F44" i="62"/>
  <c r="F47" i="62"/>
  <c r="F49" i="62"/>
  <c r="Z57" i="62"/>
  <c r="F65" i="62"/>
  <c r="F81" i="62"/>
  <c r="R100" i="62"/>
  <c r="R44" i="63"/>
  <c r="R43" i="63"/>
  <c r="R46" i="63"/>
  <c r="R29" i="63"/>
  <c r="R28" i="63"/>
  <c r="R24" i="63"/>
  <c r="R20" i="63"/>
  <c r="P16" i="63"/>
  <c r="R58" i="63"/>
  <c r="R51" i="63"/>
  <c r="R47" i="63"/>
  <c r="R42" i="63"/>
  <c r="R34" i="63"/>
  <c r="R30" i="63"/>
  <c r="R52" i="63"/>
  <c r="R53" i="63"/>
  <c r="R36" i="63"/>
  <c r="R35" i="63"/>
  <c r="R31" i="63"/>
  <c r="R60" i="63"/>
  <c r="R26" i="63"/>
  <c r="R22" i="63"/>
  <c r="R49" i="63"/>
  <c r="R38" i="63"/>
  <c r="R37" i="63"/>
  <c r="R25" i="63"/>
  <c r="R32" i="63"/>
  <c r="R40" i="63"/>
  <c r="Z19" i="64"/>
  <c r="L33" i="64"/>
  <c r="Z40" i="64"/>
  <c r="N76" i="64"/>
  <c r="Z105" i="64"/>
  <c r="N12" i="65"/>
  <c r="T68" i="65"/>
  <c r="J61" i="65"/>
  <c r="Z15" i="66"/>
  <c r="Z19" i="67"/>
  <c r="X49" i="60"/>
  <c r="F47" i="61"/>
  <c r="F46" i="61"/>
  <c r="F53" i="61"/>
  <c r="F31" i="61"/>
  <c r="L14" i="61"/>
  <c r="L18" i="61"/>
  <c r="N18" i="61" s="1"/>
  <c r="F32" i="61"/>
  <c r="F38" i="61"/>
  <c r="F49" i="61"/>
  <c r="F107" i="62"/>
  <c r="F102" i="62"/>
  <c r="F85" i="62"/>
  <c r="F73" i="62"/>
  <c r="F29" i="62"/>
  <c r="F101" i="62"/>
  <c r="F92" i="62"/>
  <c r="F91" i="62"/>
  <c r="F80" i="62"/>
  <c r="F68" i="62"/>
  <c r="F67" i="62"/>
  <c r="F56" i="62"/>
  <c r="F55" i="62"/>
  <c r="F48" i="62"/>
  <c r="F40" i="62"/>
  <c r="F39" i="62"/>
  <c r="F19" i="62"/>
  <c r="F17" i="62"/>
  <c r="F100" i="62"/>
  <c r="F76" i="62"/>
  <c r="F60" i="62"/>
  <c r="F59" i="62"/>
  <c r="F36" i="62"/>
  <c r="F32" i="62"/>
  <c r="F31" i="62"/>
  <c r="L12" i="62"/>
  <c r="F95" i="62"/>
  <c r="F87" i="62"/>
  <c r="F83" i="62"/>
  <c r="F71" i="62"/>
  <c r="F51" i="62"/>
  <c r="F50" i="62"/>
  <c r="F43" i="62"/>
  <c r="F27" i="62"/>
  <c r="F62" i="62"/>
  <c r="F61" i="62"/>
  <c r="X31" i="62"/>
  <c r="F35" i="62"/>
  <c r="F41" i="62"/>
  <c r="F52" i="62"/>
  <c r="L53" i="62"/>
  <c r="V58" i="63"/>
  <c r="V56" i="63"/>
  <c r="V54" i="63"/>
  <c r="V46" i="63"/>
  <c r="V50" i="63"/>
  <c r="V34" i="63"/>
  <c r="V30" i="63"/>
  <c r="V48" i="63"/>
  <c r="V25" i="63"/>
  <c r="V21" i="63"/>
  <c r="V43" i="63"/>
  <c r="V35" i="63"/>
  <c r="V31" i="63"/>
  <c r="V60" i="63"/>
  <c r="V44" i="63"/>
  <c r="V38" i="63"/>
  <c r="V26" i="63"/>
  <c r="V22" i="63"/>
  <c r="V49" i="63"/>
  <c r="V37" i="63"/>
  <c r="V62" i="63"/>
  <c r="V40" i="63"/>
  <c r="V32" i="63"/>
  <c r="Z12" i="63"/>
  <c r="R27" i="63"/>
  <c r="Z40" i="63"/>
  <c r="V51" i="63"/>
  <c r="L53" i="63"/>
  <c r="R53" i="65"/>
  <c r="R42" i="65"/>
  <c r="R41" i="65"/>
  <c r="R29" i="65"/>
  <c r="R25" i="65"/>
  <c r="R70" i="65"/>
  <c r="R60" i="65"/>
  <c r="R61" i="65"/>
  <c r="R46" i="65"/>
  <c r="R45" i="65"/>
  <c r="R17" i="65"/>
  <c r="R56" i="65"/>
  <c r="R36" i="65"/>
  <c r="X12" i="65"/>
  <c r="R48" i="65"/>
  <c r="R47" i="65"/>
  <c r="R32" i="65"/>
  <c r="R31" i="65"/>
  <c r="R27" i="65"/>
  <c r="R64" i="65"/>
  <c r="R28" i="65"/>
  <c r="R24" i="65"/>
  <c r="P20" i="65"/>
  <c r="R62" i="65"/>
  <c r="R43" i="65"/>
  <c r="R38" i="65"/>
  <c r="R20" i="65"/>
  <c r="R52" i="65"/>
  <c r="R49" i="65"/>
  <c r="R30" i="65"/>
  <c r="R55" i="65"/>
  <c r="R33" i="65"/>
  <c r="R26" i="65"/>
  <c r="R57" i="65"/>
  <c r="R50" i="65"/>
  <c r="R75" i="65"/>
  <c r="R66" i="65"/>
  <c r="R63" i="65"/>
  <c r="R44" i="65"/>
  <c r="R22" i="65"/>
  <c r="R39" i="65"/>
  <c r="R34" i="65"/>
  <c r="R18" i="65"/>
  <c r="R58" i="65"/>
  <c r="R68" i="65"/>
  <c r="R23" i="65"/>
  <c r="J34" i="65"/>
  <c r="R22" i="57"/>
  <c r="R26" i="57"/>
  <c r="F30" i="57"/>
  <c r="F45" i="57"/>
  <c r="F46" i="57"/>
  <c r="R50" i="57"/>
  <c r="F53" i="57"/>
  <c r="F54" i="57"/>
  <c r="R58" i="57"/>
  <c r="F61" i="57"/>
  <c r="F62" i="57"/>
  <c r="R66" i="57"/>
  <c r="F19" i="58"/>
  <c r="F20" i="58"/>
  <c r="F24" i="58"/>
  <c r="F28" i="58"/>
  <c r="V31" i="58"/>
  <c r="V35" i="58"/>
  <c r="V47" i="58"/>
  <c r="F52" i="58"/>
  <c r="V55" i="58"/>
  <c r="F59" i="58"/>
  <c r="F60" i="58"/>
  <c r="V22" i="59"/>
  <c r="V26" i="59"/>
  <c r="R31" i="59"/>
  <c r="J34" i="59"/>
  <c r="R35" i="59"/>
  <c r="R36" i="59"/>
  <c r="V38" i="59"/>
  <c r="V46" i="59"/>
  <c r="V54" i="59"/>
  <c r="T16" i="60"/>
  <c r="F22" i="60"/>
  <c r="F26" i="60"/>
  <c r="V29" i="60"/>
  <c r="V37" i="60"/>
  <c r="F42" i="60"/>
  <c r="V45" i="60"/>
  <c r="J38" i="61"/>
  <c r="J42" i="61"/>
  <c r="F23" i="61"/>
  <c r="F27" i="61"/>
  <c r="J28" i="61"/>
  <c r="V30" i="61"/>
  <c r="J32" i="61"/>
  <c r="F37" i="61"/>
  <c r="V40" i="61"/>
  <c r="F43" i="61"/>
  <c r="V45" i="61"/>
  <c r="F58" i="61"/>
  <c r="J100" i="62"/>
  <c r="J92" i="62"/>
  <c r="J80" i="62"/>
  <c r="J74" i="62"/>
  <c r="J68" i="62"/>
  <c r="J56" i="62"/>
  <c r="J48" i="62"/>
  <c r="J40" i="62"/>
  <c r="J112" i="62"/>
  <c r="J109" i="62"/>
  <c r="J93" i="62"/>
  <c r="J81" i="62"/>
  <c r="J75" i="62"/>
  <c r="J69" i="62"/>
  <c r="J57" i="62"/>
  <c r="J41" i="62"/>
  <c r="J35" i="62"/>
  <c r="J94" i="62"/>
  <c r="J86" i="62"/>
  <c r="J82" i="62"/>
  <c r="J95" i="62"/>
  <c r="J87" i="62"/>
  <c r="J83" i="62"/>
  <c r="J71" i="62"/>
  <c r="J61" i="62"/>
  <c r="J51" i="62"/>
  <c r="J43" i="62"/>
  <c r="J27" i="62"/>
  <c r="J23" i="62"/>
  <c r="J62" i="62"/>
  <c r="J44" i="62"/>
  <c r="J77" i="62"/>
  <c r="J63" i="62"/>
  <c r="J45" i="62"/>
  <c r="R14" i="62"/>
  <c r="D17" i="62"/>
  <c r="J19" i="62"/>
  <c r="J20" i="62"/>
  <c r="R27" i="62"/>
  <c r="J52" i="62"/>
  <c r="R56" i="62"/>
  <c r="F58" i="62"/>
  <c r="L59" i="62"/>
  <c r="J65" i="62"/>
  <c r="Z69" i="62"/>
  <c r="J73" i="62"/>
  <c r="R74" i="62"/>
  <c r="F78" i="62"/>
  <c r="F90" i="62"/>
  <c r="F93" i="62"/>
  <c r="F98" i="62"/>
  <c r="J103" i="62"/>
  <c r="F112" i="62"/>
  <c r="X12" i="63"/>
  <c r="T16" i="63"/>
  <c r="L19" i="63"/>
  <c r="V20" i="63"/>
  <c r="V27" i="63"/>
  <c r="H12" i="64"/>
  <c r="L20" i="64"/>
  <c r="N39" i="64"/>
  <c r="L39" i="64"/>
  <c r="Z51" i="64"/>
  <c r="Z31" i="66"/>
  <c r="R31" i="57"/>
  <c r="R39" i="57"/>
  <c r="R40" i="57"/>
  <c r="F74" i="57"/>
  <c r="F77" i="57"/>
  <c r="V36" i="58"/>
  <c r="F40" i="58"/>
  <c r="F41" i="58"/>
  <c r="V48" i="58"/>
  <c r="F64" i="58"/>
  <c r="F65" i="58"/>
  <c r="V31" i="59"/>
  <c r="V35" i="59"/>
  <c r="R52" i="59"/>
  <c r="R53" i="59"/>
  <c r="V55" i="59"/>
  <c r="R65" i="59"/>
  <c r="R68" i="59"/>
  <c r="V14" i="60"/>
  <c r="V16" i="60"/>
  <c r="V18" i="60"/>
  <c r="V30" i="60"/>
  <c r="F34" i="60"/>
  <c r="F35" i="60"/>
  <c r="V38" i="60"/>
  <c r="V46" i="60"/>
  <c r="F53" i="60"/>
  <c r="L12" i="61"/>
  <c r="L20" i="62"/>
  <c r="N20" i="62" s="1"/>
  <c r="F26" i="62"/>
  <c r="F37" i="62"/>
  <c r="R38" i="62"/>
  <c r="L46" i="62"/>
  <c r="Z53" i="62"/>
  <c r="R62" i="62"/>
  <c r="L65" i="62"/>
  <c r="X81" i="62"/>
  <c r="Z81" i="62" s="1"/>
  <c r="J98" i="62"/>
  <c r="J102" i="62"/>
  <c r="L103" i="62"/>
  <c r="V16" i="63"/>
  <c r="L36" i="63"/>
  <c r="R39" i="63"/>
  <c r="R48" i="63"/>
  <c r="R50" i="63"/>
  <c r="R56" i="63"/>
  <c r="L26" i="64"/>
  <c r="X37" i="64"/>
  <c r="Z37" i="64" s="1"/>
  <c r="X86" i="64"/>
  <c r="Z86" i="64" s="1"/>
  <c r="D12" i="66"/>
  <c r="Z65" i="66"/>
  <c r="F44" i="57"/>
  <c r="R48" i="57"/>
  <c r="R49" i="57"/>
  <c r="F52" i="57"/>
  <c r="R56" i="57"/>
  <c r="R57" i="57"/>
  <c r="R64" i="57"/>
  <c r="V21" i="58"/>
  <c r="V25" i="58"/>
  <c r="V29" i="58"/>
  <c r="V45" i="58"/>
  <c r="V53" i="58"/>
  <c r="F57" i="58"/>
  <c r="F58" i="58"/>
  <c r="V61" i="58"/>
  <c r="V69" i="58"/>
  <c r="V71" i="58"/>
  <c r="F77" i="58"/>
  <c r="R21" i="59"/>
  <c r="R25" i="59"/>
  <c r="R29" i="59"/>
  <c r="R30" i="59"/>
  <c r="V36" i="59"/>
  <c r="R45" i="59"/>
  <c r="X12" i="60"/>
  <c r="V19" i="60"/>
  <c r="V23" i="60"/>
  <c r="V27" i="60"/>
  <c r="F49" i="60"/>
  <c r="F55" i="61"/>
  <c r="R50" i="62"/>
  <c r="R49" i="62"/>
  <c r="R76" i="62"/>
  <c r="R61" i="62"/>
  <c r="R60" i="62"/>
  <c r="R36" i="62"/>
  <c r="R32" i="62"/>
  <c r="X12" i="62"/>
  <c r="R95" i="62"/>
  <c r="R87" i="62"/>
  <c r="R83" i="62"/>
  <c r="R105" i="62"/>
  <c r="R103" i="62"/>
  <c r="R97" i="62"/>
  <c r="R96" i="62"/>
  <c r="R89" i="62"/>
  <c r="R88" i="62"/>
  <c r="R84" i="62"/>
  <c r="R72" i="62"/>
  <c r="R65" i="62"/>
  <c r="R64" i="62"/>
  <c r="R53" i="62"/>
  <c r="R52" i="62"/>
  <c r="R28" i="62"/>
  <c r="R24" i="62"/>
  <c r="R102" i="62"/>
  <c r="R79" i="62"/>
  <c r="R47" i="62"/>
  <c r="R101" i="62"/>
  <c r="R98" i="62"/>
  <c r="R91" i="62"/>
  <c r="R90" i="62"/>
  <c r="R67" i="62"/>
  <c r="R66" i="62"/>
  <c r="R55" i="62"/>
  <c r="R54" i="62"/>
  <c r="R21" i="62"/>
  <c r="R29" i="62"/>
  <c r="R35" i="62"/>
  <c r="R44" i="62"/>
  <c r="F46" i="62"/>
  <c r="R59" i="62"/>
  <c r="F64" i="62"/>
  <c r="R68" i="62"/>
  <c r="F70" i="62"/>
  <c r="R81" i="62"/>
  <c r="H100" i="62"/>
  <c r="L100" i="62" s="1"/>
  <c r="R107" i="62"/>
  <c r="N14" i="63"/>
  <c r="L14" i="63"/>
  <c r="N19" i="63"/>
  <c r="V39" i="63"/>
  <c r="R45" i="63"/>
  <c r="V53" i="63"/>
  <c r="X16" i="64"/>
  <c r="Z16" i="64" s="1"/>
  <c r="R51" i="65"/>
  <c r="R59" i="65"/>
  <c r="J68" i="65"/>
  <c r="N37" i="67"/>
  <c r="X119" i="69"/>
  <c r="Z119" i="69" s="1"/>
  <c r="N63" i="65"/>
  <c r="Z28" i="66"/>
  <c r="N104" i="66"/>
  <c r="L104" i="66"/>
  <c r="Z119" i="66"/>
  <c r="Z13" i="70"/>
  <c r="T12" i="70"/>
  <c r="V77" i="79"/>
  <c r="V65" i="79"/>
  <c r="V49" i="79"/>
  <c r="V41" i="79"/>
  <c r="V33" i="79"/>
  <c r="T20" i="79"/>
  <c r="V60" i="79"/>
  <c r="V52" i="79"/>
  <c r="V40" i="79"/>
  <c r="V28" i="79"/>
  <c r="V24" i="79"/>
  <c r="V81" i="79"/>
  <c r="V79" i="79"/>
  <c r="V71" i="79"/>
  <c r="V67" i="79"/>
  <c r="V51" i="79"/>
  <c r="V43" i="79"/>
  <c r="V54" i="79"/>
  <c r="V42" i="79"/>
  <c r="V34" i="79"/>
  <c r="V61" i="79"/>
  <c r="V53" i="79"/>
  <c r="V72" i="79"/>
  <c r="V68" i="79"/>
  <c r="V44" i="79"/>
  <c r="V16" i="79"/>
  <c r="V85" i="79"/>
  <c r="V63" i="79"/>
  <c r="V55" i="79"/>
  <c r="V35" i="79"/>
  <c r="V74" i="79"/>
  <c r="V62" i="79"/>
  <c r="V46" i="79"/>
  <c r="V30" i="79"/>
  <c r="V26" i="79"/>
  <c r="V73" i="79"/>
  <c r="V69" i="79"/>
  <c r="V57" i="79"/>
  <c r="V45" i="79"/>
  <c r="V37" i="79"/>
  <c r="V17" i="79"/>
  <c r="V75" i="79"/>
  <c r="V59" i="79"/>
  <c r="V47" i="79"/>
  <c r="V39" i="79"/>
  <c r="V31" i="79"/>
  <c r="V27" i="79"/>
  <c r="V23" i="79"/>
  <c r="V78" i="79"/>
  <c r="V64" i="79"/>
  <c r="V70" i="79"/>
  <c r="V18" i="79"/>
  <c r="V32" i="79"/>
  <c r="V22" i="79"/>
  <c r="V36" i="79"/>
  <c r="V48" i="79"/>
  <c r="V25" i="79"/>
  <c r="V29" i="79"/>
  <c r="V20" i="79"/>
  <c r="V38" i="79"/>
  <c r="V66" i="79"/>
  <c r="V50" i="79"/>
  <c r="V76" i="79"/>
  <c r="V56" i="79"/>
  <c r="V58" i="79"/>
  <c r="F21" i="63"/>
  <c r="F25" i="63"/>
  <c r="F47" i="63"/>
  <c r="F48" i="63"/>
  <c r="F52" i="63"/>
  <c r="X59" i="65"/>
  <c r="Z59" i="65" s="1"/>
  <c r="N16" i="66"/>
  <c r="X19" i="66"/>
  <c r="Z19" i="66" s="1"/>
  <c r="X35" i="66"/>
  <c r="Z35" i="66" s="1"/>
  <c r="Z98" i="66"/>
  <c r="X114" i="66"/>
  <c r="Z114" i="66" s="1"/>
  <c r="X121" i="66"/>
  <c r="D12" i="67"/>
  <c r="Z50" i="67"/>
  <c r="D16" i="63"/>
  <c r="F29" i="63"/>
  <c r="F30" i="63"/>
  <c r="F34" i="63"/>
  <c r="J48" i="63"/>
  <c r="F51" i="63"/>
  <c r="J52" i="63"/>
  <c r="X53" i="63"/>
  <c r="Z53" i="63" s="1"/>
  <c r="L102" i="64"/>
  <c r="N113" i="64"/>
  <c r="N119" i="64"/>
  <c r="L119" i="64"/>
  <c r="N44" i="65"/>
  <c r="L44" i="65"/>
  <c r="Z14" i="66"/>
  <c r="Z30" i="66"/>
  <c r="N44" i="66"/>
  <c r="R84" i="66"/>
  <c r="R91" i="66"/>
  <c r="Z93" i="66"/>
  <c r="Z121" i="66"/>
  <c r="L37" i="67"/>
  <c r="N46" i="69"/>
  <c r="F14" i="63"/>
  <c r="F16" i="63"/>
  <c r="F18" i="63"/>
  <c r="J30" i="63"/>
  <c r="J34" i="63"/>
  <c r="J47" i="63"/>
  <c r="X13" i="64"/>
  <c r="L25" i="64"/>
  <c r="X29" i="64"/>
  <c r="Z29" i="64" s="1"/>
  <c r="L41" i="64"/>
  <c r="X45" i="64"/>
  <c r="Z45" i="64" s="1"/>
  <c r="X118" i="64"/>
  <c r="Z118" i="64" s="1"/>
  <c r="F17" i="65"/>
  <c r="F26" i="65"/>
  <c r="F38" i="65"/>
  <c r="L52" i="65"/>
  <c r="N55" i="65"/>
  <c r="X14" i="66"/>
  <c r="Z16" i="66"/>
  <c r="Z23" i="66"/>
  <c r="X30" i="66"/>
  <c r="Z32" i="66"/>
  <c r="Z39" i="66"/>
  <c r="X66" i="66"/>
  <c r="Z66" i="66" s="1"/>
  <c r="T12" i="67"/>
  <c r="Z14" i="67"/>
  <c r="N62" i="67"/>
  <c r="X17" i="68"/>
  <c r="N30" i="69"/>
  <c r="L30" i="69"/>
  <c r="D12" i="64"/>
  <c r="X95" i="64"/>
  <c r="Z95" i="64" s="1"/>
  <c r="D68" i="65"/>
  <c r="Z18" i="67"/>
  <c r="Z21" i="67"/>
  <c r="P12" i="68"/>
  <c r="X13" i="68"/>
  <c r="Z13" i="68" s="1"/>
  <c r="Z17" i="68"/>
  <c r="Z22" i="65"/>
  <c r="X22" i="65"/>
  <c r="F65" i="63"/>
  <c r="F62" i="63"/>
  <c r="F43" i="63"/>
  <c r="F42" i="63"/>
  <c r="F58" i="63"/>
  <c r="F56" i="63"/>
  <c r="X36" i="63"/>
  <c r="F50" i="63"/>
  <c r="L56" i="63"/>
  <c r="L31" i="64"/>
  <c r="L47" i="64"/>
  <c r="X76" i="64"/>
  <c r="Z76" i="64" s="1"/>
  <c r="L86" i="64"/>
  <c r="X108" i="64"/>
  <c r="L20" i="65"/>
  <c r="Z50" i="65"/>
  <c r="X50" i="65"/>
  <c r="F54" i="65"/>
  <c r="X18" i="66"/>
  <c r="Z18" i="66" s="1"/>
  <c r="Z20" i="66"/>
  <c r="X34" i="66"/>
  <c r="Z34" i="66" s="1"/>
  <c r="Z36" i="66"/>
  <c r="N111" i="66"/>
  <c r="P76" i="67"/>
  <c r="N69" i="67"/>
  <c r="L69" i="67"/>
  <c r="J50" i="63"/>
  <c r="J44" i="63"/>
  <c r="J60" i="63"/>
  <c r="F23" i="63"/>
  <c r="F27" i="63"/>
  <c r="F38" i="63"/>
  <c r="F39" i="63"/>
  <c r="J40" i="63"/>
  <c r="F45" i="63"/>
  <c r="P12" i="64"/>
  <c r="L93" i="64"/>
  <c r="X115" i="64"/>
  <c r="Z115" i="64" s="1"/>
  <c r="F16" i="65"/>
  <c r="L48" i="65"/>
  <c r="X27" i="66"/>
  <c r="Z27" i="66" s="1"/>
  <c r="N40" i="66"/>
  <c r="N96" i="66"/>
  <c r="L96" i="66"/>
  <c r="Z101" i="66"/>
  <c r="N107" i="66"/>
  <c r="L16" i="68"/>
  <c r="N16" i="68" s="1"/>
  <c r="X29" i="68"/>
  <c r="Z29" i="68" s="1"/>
  <c r="P114" i="71"/>
  <c r="T12" i="73"/>
  <c r="Z13" i="73"/>
  <c r="Z16" i="73"/>
  <c r="L12" i="63"/>
  <c r="F32" i="63"/>
  <c r="F54" i="63"/>
  <c r="J62" i="63"/>
  <c r="Z102" i="64"/>
  <c r="F57" i="65"/>
  <c r="F49" i="65"/>
  <c r="F48" i="65"/>
  <c r="F37" i="65"/>
  <c r="F33" i="65"/>
  <c r="F32" i="65"/>
  <c r="F64" i="65"/>
  <c r="F63" i="65"/>
  <c r="F28" i="65"/>
  <c r="F24" i="65"/>
  <c r="F23" i="65"/>
  <c r="F68" i="65"/>
  <c r="F66" i="65"/>
  <c r="F53" i="65"/>
  <c r="F52" i="65"/>
  <c r="F41" i="65"/>
  <c r="F40" i="65"/>
  <c r="F29" i="65"/>
  <c r="F25" i="65"/>
  <c r="F70" i="65"/>
  <c r="F60" i="65"/>
  <c r="F59" i="65"/>
  <c r="F43" i="65"/>
  <c r="F42" i="65"/>
  <c r="F35" i="65"/>
  <c r="F56" i="65"/>
  <c r="F55" i="65"/>
  <c r="F36" i="65"/>
  <c r="L12" i="65"/>
  <c r="N16" i="65"/>
  <c r="L16" i="65"/>
  <c r="F51" i="65"/>
  <c r="Z22" i="66"/>
  <c r="X24" i="66"/>
  <c r="Z24" i="66" s="1"/>
  <c r="Z38" i="66"/>
  <c r="D119" i="66"/>
  <c r="L119" i="66" s="1"/>
  <c r="N48" i="67"/>
  <c r="L48" i="67"/>
  <c r="P12" i="69"/>
  <c r="Z41" i="69"/>
  <c r="X41" i="69"/>
  <c r="V39" i="65"/>
  <c r="V51" i="65"/>
  <c r="V59" i="65"/>
  <c r="R48" i="66"/>
  <c r="R52" i="66"/>
  <c r="R56" i="66"/>
  <c r="R60" i="66"/>
  <c r="R92" i="66"/>
  <c r="R93" i="66"/>
  <c r="R100" i="66"/>
  <c r="R101" i="66"/>
  <c r="R108" i="66"/>
  <c r="R80" i="67"/>
  <c r="Z23" i="68"/>
  <c r="N35" i="68"/>
  <c r="Z69" i="68"/>
  <c r="Z78" i="68"/>
  <c r="Z83" i="68"/>
  <c r="T12" i="69"/>
  <c r="Z13" i="69"/>
  <c r="Z23" i="69"/>
  <c r="N128" i="69"/>
  <c r="X139" i="69"/>
  <c r="Z20" i="70"/>
  <c r="X27" i="71"/>
  <c r="Z27" i="71" s="1"/>
  <c r="V18" i="65"/>
  <c r="V20" i="65"/>
  <c r="V22" i="65"/>
  <c r="V38" i="65"/>
  <c r="V50" i="65"/>
  <c r="V62" i="65"/>
  <c r="H12" i="66"/>
  <c r="R47" i="66"/>
  <c r="R51" i="66"/>
  <c r="R55" i="66"/>
  <c r="R59" i="66"/>
  <c r="R99" i="66"/>
  <c r="H119" i="66"/>
  <c r="H12" i="67"/>
  <c r="R23" i="67"/>
  <c r="R28" i="67"/>
  <c r="R51" i="67"/>
  <c r="R52" i="67"/>
  <c r="R66" i="67"/>
  <c r="R70" i="67"/>
  <c r="Z71" i="67"/>
  <c r="D12" i="68"/>
  <c r="Z128" i="69"/>
  <c r="D12" i="70"/>
  <c r="L52" i="70"/>
  <c r="N52" i="70" s="1"/>
  <c r="N60" i="71"/>
  <c r="L60" i="71"/>
  <c r="V64" i="72"/>
  <c r="V54" i="72"/>
  <c r="V46" i="72"/>
  <c r="V38" i="72"/>
  <c r="T25" i="72"/>
  <c r="V63" i="72"/>
  <c r="V45" i="72"/>
  <c r="V33" i="72"/>
  <c r="V29" i="72"/>
  <c r="V62" i="72"/>
  <c r="V56" i="72"/>
  <c r="V20" i="72"/>
  <c r="V61" i="72"/>
  <c r="V55" i="72"/>
  <c r="V47" i="72"/>
  <c r="V39" i="72"/>
  <c r="V68" i="72"/>
  <c r="V60" i="72"/>
  <c r="V34" i="72"/>
  <c r="V30" i="72"/>
  <c r="V57" i="72"/>
  <c r="V49" i="72"/>
  <c r="V21" i="72"/>
  <c r="V48" i="72"/>
  <c r="V40" i="72"/>
  <c r="V36" i="72"/>
  <c r="V51" i="72"/>
  <c r="V35" i="72"/>
  <c r="V31" i="72"/>
  <c r="V52" i="72"/>
  <c r="V44" i="72"/>
  <c r="V32" i="72"/>
  <c r="V28" i="72"/>
  <c r="V41" i="72"/>
  <c r="V43" i="72"/>
  <c r="V22" i="72"/>
  <c r="V25" i="72"/>
  <c r="V19" i="72"/>
  <c r="V50" i="72"/>
  <c r="V42" i="72"/>
  <c r="Z18" i="72"/>
  <c r="N32" i="76"/>
  <c r="L32" i="76"/>
  <c r="V23" i="65"/>
  <c r="V27" i="65"/>
  <c r="V31" i="65"/>
  <c r="V47" i="65"/>
  <c r="V63" i="65"/>
  <c r="R68" i="66"/>
  <c r="R72" i="66"/>
  <c r="R88" i="66"/>
  <c r="R89" i="66"/>
  <c r="R112" i="66"/>
  <c r="R32" i="67"/>
  <c r="R36" i="67"/>
  <c r="R37" i="67"/>
  <c r="X62" i="67"/>
  <c r="Z62" i="67" s="1"/>
  <c r="H12" i="68"/>
  <c r="Z16" i="68"/>
  <c r="L18" i="68"/>
  <c r="N18" i="68" s="1"/>
  <c r="Z25" i="68"/>
  <c r="Z65" i="68"/>
  <c r="H12" i="69"/>
  <c r="X25" i="69"/>
  <c r="Z33" i="69"/>
  <c r="Z43" i="69"/>
  <c r="L50" i="69"/>
  <c r="N50" i="69" s="1"/>
  <c r="Z116" i="69"/>
  <c r="T136" i="69"/>
  <c r="X136" i="69" s="1"/>
  <c r="Z17" i="70"/>
  <c r="Z29" i="70"/>
  <c r="X109" i="71"/>
  <c r="Z109" i="71" s="1"/>
  <c r="P108" i="71"/>
  <c r="Z13" i="72"/>
  <c r="V18" i="72"/>
  <c r="V53" i="72"/>
  <c r="L56" i="72"/>
  <c r="N56" i="72" s="1"/>
  <c r="Z12" i="65"/>
  <c r="V32" i="65"/>
  <c r="V36" i="65"/>
  <c r="V48" i="65"/>
  <c r="V56" i="65"/>
  <c r="R77" i="66"/>
  <c r="R81" i="66"/>
  <c r="R97" i="66"/>
  <c r="R98" i="66"/>
  <c r="R105" i="66"/>
  <c r="R41" i="67"/>
  <c r="R49" i="67"/>
  <c r="R50" i="67"/>
  <c r="L54" i="67"/>
  <c r="Z31" i="68"/>
  <c r="Z35" i="68"/>
  <c r="L81" i="68"/>
  <c r="N53" i="69"/>
  <c r="R46" i="66"/>
  <c r="R50" i="66"/>
  <c r="R54" i="66"/>
  <c r="R58" i="66"/>
  <c r="R110" i="66"/>
  <c r="R111" i="66"/>
  <c r="R78" i="67"/>
  <c r="R72" i="67"/>
  <c r="R22" i="67"/>
  <c r="R57" i="67"/>
  <c r="R69" i="67"/>
  <c r="L78" i="68"/>
  <c r="Z35" i="69"/>
  <c r="Z51" i="72"/>
  <c r="X51" i="72"/>
  <c r="R19" i="75"/>
  <c r="R25" i="75"/>
  <c r="R23" i="75"/>
  <c r="R21" i="75"/>
  <c r="P21" i="75"/>
  <c r="R29" i="75"/>
  <c r="R17" i="75"/>
  <c r="X12" i="75"/>
  <c r="R18" i="75"/>
  <c r="P63" i="66"/>
  <c r="R67" i="66"/>
  <c r="R71" i="66"/>
  <c r="R75" i="66"/>
  <c r="R76" i="66"/>
  <c r="R87" i="66"/>
  <c r="R95" i="66"/>
  <c r="R96" i="66"/>
  <c r="R103" i="66"/>
  <c r="R104" i="66"/>
  <c r="L15" i="67"/>
  <c r="N15" i="67" s="1"/>
  <c r="L19" i="67"/>
  <c r="N19" i="67" s="1"/>
  <c r="R31" i="67"/>
  <c r="R35" i="67"/>
  <c r="R47" i="67"/>
  <c r="R48" i="67"/>
  <c r="R61" i="67"/>
  <c r="R65" i="67"/>
  <c r="R68" i="67"/>
  <c r="T12" i="68"/>
  <c r="Z15" i="68"/>
  <c r="N99" i="69"/>
  <c r="R78" i="71"/>
  <c r="R77" i="71"/>
  <c r="R53" i="71"/>
  <c r="R49" i="71"/>
  <c r="R45" i="71"/>
  <c r="R41" i="71"/>
  <c r="R101" i="71"/>
  <c r="R100" i="71"/>
  <c r="R96" i="71"/>
  <c r="R89" i="71"/>
  <c r="R88" i="71"/>
  <c r="R72" i="71"/>
  <c r="X12" i="71"/>
  <c r="R80" i="71"/>
  <c r="R79" i="71"/>
  <c r="R67" i="71"/>
  <c r="R63" i="71"/>
  <c r="R103" i="71"/>
  <c r="R102" i="71"/>
  <c r="R90" i="71"/>
  <c r="R114" i="71"/>
  <c r="R112" i="71"/>
  <c r="R97" i="71"/>
  <c r="R82" i="71"/>
  <c r="R81" i="71"/>
  <c r="R73" i="71"/>
  <c r="R111" i="71"/>
  <c r="R105" i="71"/>
  <c r="R104" i="71"/>
  <c r="R68" i="71"/>
  <c r="R64" i="71"/>
  <c r="R110" i="71"/>
  <c r="R92" i="71"/>
  <c r="R91" i="71"/>
  <c r="R83" i="71"/>
  <c r="R60" i="71"/>
  <c r="R55" i="71"/>
  <c r="R51" i="71"/>
  <c r="R47" i="71"/>
  <c r="R43" i="71"/>
  <c r="R116" i="71"/>
  <c r="R109" i="71"/>
  <c r="R106" i="71"/>
  <c r="R98" i="71"/>
  <c r="R74" i="71"/>
  <c r="R59" i="71"/>
  <c r="R57" i="71"/>
  <c r="R39" i="71"/>
  <c r="R99" i="71"/>
  <c r="R76" i="71"/>
  <c r="R75" i="71"/>
  <c r="R71" i="71"/>
  <c r="R42" i="71"/>
  <c r="R65" i="71"/>
  <c r="R48" i="71"/>
  <c r="R86" i="71"/>
  <c r="R44" i="71"/>
  <c r="R40" i="71"/>
  <c r="R108" i="71"/>
  <c r="R95" i="71"/>
  <c r="R93" i="71"/>
  <c r="R84" i="71"/>
  <c r="R69" i="71"/>
  <c r="R85" i="71"/>
  <c r="R62" i="71"/>
  <c r="R87" i="71"/>
  <c r="R70" i="71"/>
  <c r="R54" i="71"/>
  <c r="R46" i="71"/>
  <c r="R66" i="71"/>
  <c r="Z31" i="77"/>
  <c r="V35" i="65"/>
  <c r="V43" i="65"/>
  <c r="V55" i="65"/>
  <c r="X12" i="66"/>
  <c r="R65" i="66"/>
  <c r="R80" i="66"/>
  <c r="R119" i="66"/>
  <c r="R126" i="66"/>
  <c r="X12" i="67"/>
  <c r="R21" i="67"/>
  <c r="R40" i="67"/>
  <c r="R55" i="67"/>
  <c r="R56" i="67"/>
  <c r="R76" i="67"/>
  <c r="Z21" i="68"/>
  <c r="D12" i="69"/>
  <c r="L13" i="69"/>
  <c r="Z19" i="69"/>
  <c r="Z37" i="69"/>
  <c r="X45" i="69"/>
  <c r="Z45" i="69" s="1"/>
  <c r="L136" i="69"/>
  <c r="Z23" i="70"/>
  <c r="X26" i="70"/>
  <c r="N86" i="70"/>
  <c r="L86" i="70"/>
  <c r="H85" i="70"/>
  <c r="X34" i="71"/>
  <c r="Z36" i="71"/>
  <c r="Z64" i="72"/>
  <c r="V16" i="65"/>
  <c r="V44" i="65"/>
  <c r="V60" i="65"/>
  <c r="V70" i="65"/>
  <c r="R45" i="66"/>
  <c r="R49" i="66"/>
  <c r="R53" i="66"/>
  <c r="R57" i="66"/>
  <c r="R61" i="66"/>
  <c r="R66" i="66"/>
  <c r="R85" i="66"/>
  <c r="R86" i="66"/>
  <c r="R109" i="66"/>
  <c r="X111" i="66"/>
  <c r="Z111" i="66" s="1"/>
  <c r="R117" i="66"/>
  <c r="R120" i="66"/>
  <c r="R45" i="67"/>
  <c r="R46" i="67"/>
  <c r="R74" i="67"/>
  <c r="R83" i="67"/>
  <c r="Z27" i="68"/>
  <c r="Z33" i="68"/>
  <c r="Z53" i="69"/>
  <c r="P85" i="70"/>
  <c r="X86" i="70"/>
  <c r="Z34" i="71"/>
  <c r="V27" i="72"/>
  <c r="R30" i="67"/>
  <c r="R34" i="67"/>
  <c r="R60" i="67"/>
  <c r="R64" i="67"/>
  <c r="X27" i="68"/>
  <c r="X33" i="68"/>
  <c r="Z81" i="68"/>
  <c r="X81" i="68"/>
  <c r="Z21" i="69"/>
  <c r="X47" i="69"/>
  <c r="Z47" i="69" s="1"/>
  <c r="P12" i="70"/>
  <c r="X13" i="70"/>
  <c r="L22" i="70"/>
  <c r="Z86" i="70"/>
  <c r="T85" i="70"/>
  <c r="N29" i="71"/>
  <c r="Z52" i="70"/>
  <c r="T12" i="71"/>
  <c r="Z14" i="71"/>
  <c r="Z16" i="71"/>
  <c r="X31" i="71"/>
  <c r="Z31" i="71" s="1"/>
  <c r="L35" i="71"/>
  <c r="F34" i="72"/>
  <c r="Z42" i="72"/>
  <c r="J56" i="72"/>
  <c r="H59" i="72"/>
  <c r="L59" i="72" s="1"/>
  <c r="N63" i="72"/>
  <c r="L63" i="72"/>
  <c r="F66" i="72"/>
  <c r="P20" i="73"/>
  <c r="R37" i="73"/>
  <c r="J45" i="73"/>
  <c r="J56" i="73"/>
  <c r="X58" i="73"/>
  <c r="X13" i="74"/>
  <c r="Z13" i="74" s="1"/>
  <c r="P12" i="74"/>
  <c r="Z14" i="81"/>
  <c r="T16" i="81"/>
  <c r="N71" i="70"/>
  <c r="L71" i="70"/>
  <c r="Z78" i="70"/>
  <c r="X78" i="70"/>
  <c r="H12" i="71"/>
  <c r="N13" i="71"/>
  <c r="X18" i="71"/>
  <c r="N22" i="71"/>
  <c r="F30" i="72"/>
  <c r="J34" i="72"/>
  <c r="R20" i="73"/>
  <c r="Z58" i="73"/>
  <c r="R130" i="77"/>
  <c r="R117" i="77"/>
  <c r="R116" i="77"/>
  <c r="R112" i="77"/>
  <c r="R100" i="77"/>
  <c r="R123" i="77"/>
  <c r="R122" i="77"/>
  <c r="R114" i="77"/>
  <c r="R103" i="77"/>
  <c r="R102" i="77"/>
  <c r="R95" i="77"/>
  <c r="R94" i="77"/>
  <c r="R126" i="77"/>
  <c r="R115" i="77"/>
  <c r="R111" i="77"/>
  <c r="R109" i="77"/>
  <c r="R67" i="77"/>
  <c r="R63" i="77"/>
  <c r="P59" i="77"/>
  <c r="R124" i="77"/>
  <c r="R87" i="77"/>
  <c r="R86" i="77"/>
  <c r="R54" i="77"/>
  <c r="R50" i="77"/>
  <c r="R46" i="77"/>
  <c r="R42" i="77"/>
  <c r="R78" i="77"/>
  <c r="R77" i="77"/>
  <c r="R73" i="77"/>
  <c r="R110" i="77"/>
  <c r="R106" i="77"/>
  <c r="R89" i="77"/>
  <c r="R88" i="77"/>
  <c r="R68" i="77"/>
  <c r="R64" i="77"/>
  <c r="R80" i="77"/>
  <c r="R79" i="77"/>
  <c r="R55" i="77"/>
  <c r="R51" i="77"/>
  <c r="R47" i="77"/>
  <c r="R43" i="77"/>
  <c r="R118" i="77"/>
  <c r="R113" i="77"/>
  <c r="R107" i="77"/>
  <c r="R96" i="77"/>
  <c r="R91" i="77"/>
  <c r="R90" i="77"/>
  <c r="R74" i="77"/>
  <c r="R97" i="77"/>
  <c r="R82" i="77"/>
  <c r="R81" i="77"/>
  <c r="R69" i="77"/>
  <c r="R65" i="77"/>
  <c r="R119" i="77"/>
  <c r="R104" i="77"/>
  <c r="R101" i="77"/>
  <c r="R92" i="77"/>
  <c r="R56" i="77"/>
  <c r="R52" i="77"/>
  <c r="R48" i="77"/>
  <c r="R44" i="77"/>
  <c r="R108" i="77"/>
  <c r="R93" i="77"/>
  <c r="R84" i="77"/>
  <c r="R83" i="77"/>
  <c r="R75" i="77"/>
  <c r="R40" i="77"/>
  <c r="R120" i="77"/>
  <c r="R85" i="77"/>
  <c r="R62" i="77"/>
  <c r="R57" i="77"/>
  <c r="R53" i="77"/>
  <c r="R49" i="77"/>
  <c r="R45" i="77"/>
  <c r="R41" i="77"/>
  <c r="R61" i="77"/>
  <c r="R121" i="77"/>
  <c r="R72" i="77"/>
  <c r="R70" i="77"/>
  <c r="R98" i="77"/>
  <c r="R105" i="77"/>
  <c r="R76" i="77"/>
  <c r="R71" i="77"/>
  <c r="Z18" i="71"/>
  <c r="N103" i="71"/>
  <c r="L103" i="71"/>
  <c r="Z46" i="72"/>
  <c r="F68" i="72"/>
  <c r="F71" i="73"/>
  <c r="F69" i="73"/>
  <c r="F73" i="73"/>
  <c r="F78" i="73"/>
  <c r="F75" i="73"/>
  <c r="F65" i="73"/>
  <c r="F64" i="73"/>
  <c r="F53" i="73"/>
  <c r="F52" i="73"/>
  <c r="F67" i="73"/>
  <c r="F66" i="73"/>
  <c r="F55" i="73"/>
  <c r="F54" i="73"/>
  <c r="F47" i="73"/>
  <c r="F46" i="73"/>
  <c r="F62" i="73"/>
  <c r="F37" i="73"/>
  <c r="F33" i="73"/>
  <c r="F32" i="73"/>
  <c r="F60" i="73"/>
  <c r="F28" i="73"/>
  <c r="F24" i="73"/>
  <c r="F23" i="73"/>
  <c r="F39" i="73"/>
  <c r="F38" i="73"/>
  <c r="F22" i="73"/>
  <c r="F20" i="73"/>
  <c r="F57" i="73"/>
  <c r="F34" i="73"/>
  <c r="D20" i="73"/>
  <c r="F51" i="73"/>
  <c r="F41" i="73"/>
  <c r="F40" i="73"/>
  <c r="F29" i="73"/>
  <c r="F25" i="73"/>
  <c r="F58" i="73"/>
  <c r="F48" i="73"/>
  <c r="F63" i="73"/>
  <c r="F61" i="73"/>
  <c r="F49" i="73"/>
  <c r="F43" i="73"/>
  <c r="F42" i="73"/>
  <c r="F35" i="73"/>
  <c r="F30" i="73"/>
  <c r="F26" i="73"/>
  <c r="F56" i="73"/>
  <c r="F31" i="73"/>
  <c r="F27" i="73"/>
  <c r="J75" i="73"/>
  <c r="T12" i="77"/>
  <c r="X19" i="70"/>
  <c r="Z22" i="70"/>
  <c r="X25" i="70"/>
  <c r="Z25" i="70" s="1"/>
  <c r="Z28" i="70"/>
  <c r="L36" i="70"/>
  <c r="L58" i="70"/>
  <c r="N63" i="70"/>
  <c r="L63" i="70"/>
  <c r="Z69" i="70"/>
  <c r="X69" i="70"/>
  <c r="N15" i="71"/>
  <c r="X22" i="71"/>
  <c r="Z22" i="71" s="1"/>
  <c r="N26" i="71"/>
  <c r="X85" i="71"/>
  <c r="Z85" i="71" s="1"/>
  <c r="N95" i="71"/>
  <c r="L12" i="73"/>
  <c r="R64" i="73"/>
  <c r="R63" i="73"/>
  <c r="R59" i="73"/>
  <c r="R52" i="73"/>
  <c r="R60" i="73"/>
  <c r="R69" i="73"/>
  <c r="R61" i="73"/>
  <c r="R49" i="73"/>
  <c r="R73" i="73"/>
  <c r="R58" i="73"/>
  <c r="R48" i="73"/>
  <c r="R42" i="73"/>
  <c r="R41" i="73"/>
  <c r="R29" i="73"/>
  <c r="R25" i="73"/>
  <c r="R65" i="73"/>
  <c r="R51" i="73"/>
  <c r="R55" i="73"/>
  <c r="R44" i="73"/>
  <c r="R43" i="73"/>
  <c r="R35" i="73"/>
  <c r="R16" i="73"/>
  <c r="R30" i="73"/>
  <c r="R26" i="73"/>
  <c r="R66" i="73"/>
  <c r="R17" i="73"/>
  <c r="R36" i="73"/>
  <c r="R45" i="73"/>
  <c r="R32" i="73"/>
  <c r="R31" i="73"/>
  <c r="R27" i="73"/>
  <c r="R56" i="73"/>
  <c r="R50" i="73"/>
  <c r="R46" i="73"/>
  <c r="R23" i="73"/>
  <c r="R18" i="73"/>
  <c r="R54" i="73"/>
  <c r="R47" i="73"/>
  <c r="R40" i="73"/>
  <c r="R39" i="73"/>
  <c r="F36" i="73"/>
  <c r="F59" i="73"/>
  <c r="Z15" i="70"/>
  <c r="X15" i="71"/>
  <c r="Z15" i="71" s="1"/>
  <c r="L19" i="71"/>
  <c r="L82" i="71"/>
  <c r="L110" i="71"/>
  <c r="P12" i="72"/>
  <c r="F39" i="72"/>
  <c r="J57" i="72"/>
  <c r="L62" i="72"/>
  <c r="N62" i="72" s="1"/>
  <c r="N12" i="73"/>
  <c r="L32" i="73"/>
  <c r="J36" i="73"/>
  <c r="F50" i="73"/>
  <c r="D12" i="77"/>
  <c r="L14" i="77"/>
  <c r="N36" i="70"/>
  <c r="X45" i="70"/>
  <c r="Z45" i="70" s="1"/>
  <c r="Z61" i="70"/>
  <c r="X61" i="70"/>
  <c r="N19" i="71"/>
  <c r="N21" i="71"/>
  <c r="R28" i="73"/>
  <c r="F44" i="73"/>
  <c r="J64" i="73"/>
  <c r="J81" i="74"/>
  <c r="J78" i="74"/>
  <c r="J64" i="74"/>
  <c r="J60" i="74"/>
  <c r="J46" i="74"/>
  <c r="J36" i="74"/>
  <c r="N12" i="74"/>
  <c r="J65" i="74"/>
  <c r="J55" i="74"/>
  <c r="J47" i="74"/>
  <c r="J31" i="74"/>
  <c r="J27" i="74"/>
  <c r="J66" i="74"/>
  <c r="J68" i="74"/>
  <c r="J56" i="74"/>
  <c r="J50" i="74"/>
  <c r="J38" i="74"/>
  <c r="J28" i="74"/>
  <c r="J24" i="74"/>
  <c r="J22" i="74"/>
  <c r="J20" i="74"/>
  <c r="J69" i="74"/>
  <c r="J57" i="74"/>
  <c r="J51" i="74"/>
  <c r="J39" i="74"/>
  <c r="H20" i="74"/>
  <c r="J70" i="74"/>
  <c r="J62" i="74"/>
  <c r="J58" i="74"/>
  <c r="J40" i="74"/>
  <c r="J34" i="74"/>
  <c r="J41" i="74"/>
  <c r="J29" i="74"/>
  <c r="J25" i="74"/>
  <c r="J63" i="74"/>
  <c r="J59" i="74"/>
  <c r="J53" i="74"/>
  <c r="J43" i="74"/>
  <c r="J35" i="74"/>
  <c r="J61" i="74"/>
  <c r="J76" i="74"/>
  <c r="J49" i="74"/>
  <c r="J44" i="74"/>
  <c r="J32" i="74"/>
  <c r="J26" i="74"/>
  <c r="J74" i="74"/>
  <c r="J30" i="74"/>
  <c r="J17" i="74"/>
  <c r="J42" i="74"/>
  <c r="J54" i="74"/>
  <c r="J67" i="74"/>
  <c r="J23" i="74"/>
  <c r="J37" i="74"/>
  <c r="P82" i="76"/>
  <c r="X18" i="70"/>
  <c r="Z18" i="70" s="1"/>
  <c r="Z27" i="70"/>
  <c r="N35" i="70"/>
  <c r="Z56" i="70"/>
  <c r="X19" i="71"/>
  <c r="Z19" i="71" s="1"/>
  <c r="L21" i="71"/>
  <c r="L23" i="71"/>
  <c r="Z26" i="71"/>
  <c r="Z28" i="71"/>
  <c r="X76" i="71"/>
  <c r="Z76" i="71" s="1"/>
  <c r="D108" i="71"/>
  <c r="L108" i="71" s="1"/>
  <c r="N108" i="71" s="1"/>
  <c r="L112" i="71"/>
  <c r="N112" i="71" s="1"/>
  <c r="Z16" i="72"/>
  <c r="J35" i="72"/>
  <c r="J49" i="72"/>
  <c r="N53" i="72"/>
  <c r="F18" i="73"/>
  <c r="R22" i="73"/>
  <c r="R34" i="73"/>
  <c r="Z40" i="73"/>
  <c r="X54" i="73"/>
  <c r="Z54" i="73" s="1"/>
  <c r="R57" i="73"/>
  <c r="F76" i="74"/>
  <c r="F54" i="74"/>
  <c r="F53" i="74"/>
  <c r="F45" i="74"/>
  <c r="F44" i="74"/>
  <c r="F17" i="74"/>
  <c r="F16" i="74"/>
  <c r="F64" i="74"/>
  <c r="F60" i="74"/>
  <c r="F36" i="74"/>
  <c r="L12" i="74"/>
  <c r="F81" i="74"/>
  <c r="F78" i="74"/>
  <c r="F61" i="74"/>
  <c r="F49" i="74"/>
  <c r="F48" i="74"/>
  <c r="F37" i="74"/>
  <c r="F33" i="74"/>
  <c r="F32" i="74"/>
  <c r="F68" i="74"/>
  <c r="F67" i="74"/>
  <c r="F56" i="74"/>
  <c r="F28" i="74"/>
  <c r="F24" i="74"/>
  <c r="F23" i="74"/>
  <c r="F51" i="74"/>
  <c r="F50" i="74"/>
  <c r="F39" i="74"/>
  <c r="F38" i="74"/>
  <c r="F22" i="74"/>
  <c r="F20" i="74"/>
  <c r="F70" i="74"/>
  <c r="F69" i="74"/>
  <c r="F62" i="74"/>
  <c r="F58" i="74"/>
  <c r="F57" i="74"/>
  <c r="F34" i="74"/>
  <c r="D20" i="74"/>
  <c r="F52" i="74"/>
  <c r="F65" i="74"/>
  <c r="F59" i="74"/>
  <c r="F63" i="74"/>
  <c r="F55" i="74"/>
  <c r="F46" i="74"/>
  <c r="F41" i="74"/>
  <c r="F26" i="74"/>
  <c r="F74" i="74"/>
  <c r="F47" i="74"/>
  <c r="F30" i="74"/>
  <c r="F66" i="74"/>
  <c r="F42" i="74"/>
  <c r="F27" i="74"/>
  <c r="F25" i="74"/>
  <c r="F18" i="74"/>
  <c r="F35" i="74"/>
  <c r="F43" i="74"/>
  <c r="J45" i="74"/>
  <c r="J72" i="74"/>
  <c r="L80" i="77"/>
  <c r="Z21" i="70"/>
  <c r="N23" i="71"/>
  <c r="N25" i="71"/>
  <c r="F73" i="72"/>
  <c r="F70" i="72"/>
  <c r="F60" i="72"/>
  <c r="F35" i="72"/>
  <c r="F31" i="72"/>
  <c r="F59" i="72"/>
  <c r="F50" i="72"/>
  <c r="F49" i="72"/>
  <c r="F22" i="72"/>
  <c r="F41" i="72"/>
  <c r="F37" i="72"/>
  <c r="F36" i="72"/>
  <c r="F52" i="72"/>
  <c r="F51" i="72"/>
  <c r="F32" i="72"/>
  <c r="F43" i="72"/>
  <c r="F42" i="72"/>
  <c r="F23" i="72"/>
  <c r="F19" i="72"/>
  <c r="F18" i="72"/>
  <c r="F54" i="72"/>
  <c r="F53" i="72"/>
  <c r="F38" i="72"/>
  <c r="F45" i="72"/>
  <c r="F44" i="72"/>
  <c r="F33" i="72"/>
  <c r="F29" i="72"/>
  <c r="F28" i="72"/>
  <c r="F27" i="72"/>
  <c r="F25" i="72"/>
  <c r="F20" i="72"/>
  <c r="F62" i="72"/>
  <c r="F57" i="72"/>
  <c r="F56" i="72"/>
  <c r="F21" i="72"/>
  <c r="J73" i="73"/>
  <c r="J62" i="73"/>
  <c r="J63" i="73"/>
  <c r="J59" i="73"/>
  <c r="J51" i="73"/>
  <c r="J65" i="73"/>
  <c r="J66" i="73"/>
  <c r="J60" i="73"/>
  <c r="J54" i="73"/>
  <c r="J48" i="73"/>
  <c r="J38" i="73"/>
  <c r="J28" i="73"/>
  <c r="J24" i="73"/>
  <c r="J22" i="73"/>
  <c r="J20" i="73"/>
  <c r="J47" i="73"/>
  <c r="J39" i="73"/>
  <c r="H20" i="73"/>
  <c r="J78" i="73"/>
  <c r="J57" i="73"/>
  <c r="J40" i="73"/>
  <c r="J34" i="73"/>
  <c r="J69" i="73"/>
  <c r="J58" i="73"/>
  <c r="J41" i="73"/>
  <c r="J29" i="73"/>
  <c r="J25" i="73"/>
  <c r="J42" i="73"/>
  <c r="J61" i="73"/>
  <c r="J55" i="73"/>
  <c r="J49" i="73"/>
  <c r="J43" i="73"/>
  <c r="J35" i="73"/>
  <c r="J52" i="73"/>
  <c r="J44" i="73"/>
  <c r="J30" i="73"/>
  <c r="J26" i="73"/>
  <c r="J16" i="73"/>
  <c r="J17" i="73"/>
  <c r="J50" i="73"/>
  <c r="J32" i="73"/>
  <c r="J18" i="73"/>
  <c r="R24" i="73"/>
  <c r="R38" i="73"/>
  <c r="J53" i="73"/>
  <c r="R62" i="73"/>
  <c r="N65" i="74"/>
  <c r="F18" i="75"/>
  <c r="F17" i="75"/>
  <c r="F19" i="75"/>
  <c r="F25" i="75"/>
  <c r="F23" i="75"/>
  <c r="F21" i="75"/>
  <c r="D21" i="75"/>
  <c r="F29" i="75"/>
  <c r="X21" i="70"/>
  <c r="Z36" i="70"/>
  <c r="X58" i="70"/>
  <c r="Z58" i="70" s="1"/>
  <c r="L78" i="70"/>
  <c r="N78" i="70" s="1"/>
  <c r="D12" i="71"/>
  <c r="X23" i="71"/>
  <c r="Z23" i="71" s="1"/>
  <c r="L25" i="71"/>
  <c r="L27" i="71"/>
  <c r="N27" i="71" s="1"/>
  <c r="Z30" i="71"/>
  <c r="Z32" i="71"/>
  <c r="Z80" i="71"/>
  <c r="J50" i="72"/>
  <c r="J36" i="72"/>
  <c r="J22" i="72"/>
  <c r="J51" i="72"/>
  <c r="J41" i="72"/>
  <c r="J37" i="72"/>
  <c r="J52" i="72"/>
  <c r="J42" i="72"/>
  <c r="J32" i="72"/>
  <c r="J18" i="72"/>
  <c r="J53" i="72"/>
  <c r="J43" i="72"/>
  <c r="J23" i="72"/>
  <c r="J19" i="72"/>
  <c r="J54" i="72"/>
  <c r="J44" i="72"/>
  <c r="J38" i="72"/>
  <c r="J28" i="72"/>
  <c r="J45" i="72"/>
  <c r="J33" i="72"/>
  <c r="J29" i="72"/>
  <c r="J27" i="72"/>
  <c r="J25" i="72"/>
  <c r="J64" i="72"/>
  <c r="J46" i="72"/>
  <c r="H25" i="72"/>
  <c r="L25" i="72" s="1"/>
  <c r="J20" i="72"/>
  <c r="J63" i="72"/>
  <c r="J55" i="72"/>
  <c r="J47" i="72"/>
  <c r="J39" i="72"/>
  <c r="J60" i="72"/>
  <c r="J48" i="72"/>
  <c r="J40" i="72"/>
  <c r="N12" i="72"/>
  <c r="N15" i="72"/>
  <c r="F61" i="72"/>
  <c r="J31" i="73"/>
  <c r="J67" i="73"/>
  <c r="F62" i="79"/>
  <c r="F30" i="79"/>
  <c r="F26" i="79"/>
  <c r="F73" i="79"/>
  <c r="F69" i="79"/>
  <c r="F45" i="79"/>
  <c r="F17" i="79"/>
  <c r="F16" i="79"/>
  <c r="F90" i="79"/>
  <c r="F87" i="79"/>
  <c r="F64" i="79"/>
  <c r="F63" i="79"/>
  <c r="F56" i="79"/>
  <c r="F36" i="79"/>
  <c r="F75" i="79"/>
  <c r="F74" i="79"/>
  <c r="F47" i="79"/>
  <c r="F46" i="79"/>
  <c r="F31" i="79"/>
  <c r="F27" i="79"/>
  <c r="F70" i="79"/>
  <c r="F58" i="79"/>
  <c r="F57" i="79"/>
  <c r="F38" i="79"/>
  <c r="F37" i="79"/>
  <c r="F77" i="79"/>
  <c r="F76" i="79"/>
  <c r="F65" i="79"/>
  <c r="F49" i="79"/>
  <c r="F48" i="79"/>
  <c r="F33" i="79"/>
  <c r="F32" i="79"/>
  <c r="F60" i="79"/>
  <c r="F59" i="79"/>
  <c r="F40" i="79"/>
  <c r="F39" i="79"/>
  <c r="F28" i="79"/>
  <c r="F24" i="79"/>
  <c r="F23" i="79"/>
  <c r="F79" i="79"/>
  <c r="F78" i="79"/>
  <c r="F71" i="79"/>
  <c r="F67" i="79"/>
  <c r="F66" i="79"/>
  <c r="F51" i="79"/>
  <c r="F50" i="79"/>
  <c r="F22" i="79"/>
  <c r="F20" i="79"/>
  <c r="F42" i="79"/>
  <c r="F41" i="79"/>
  <c r="F34" i="79"/>
  <c r="D20" i="79"/>
  <c r="F83" i="79"/>
  <c r="F81" i="79"/>
  <c r="F72" i="79"/>
  <c r="F68" i="79"/>
  <c r="F44" i="79"/>
  <c r="F43" i="79"/>
  <c r="F52" i="79"/>
  <c r="F29" i="79"/>
  <c r="F35" i="79"/>
  <c r="F55" i="79"/>
  <c r="F53" i="79"/>
  <c r="F18" i="79"/>
  <c r="F61" i="79"/>
  <c r="F54" i="79"/>
  <c r="F25" i="79"/>
  <c r="F85" i="79"/>
  <c r="N48" i="74"/>
  <c r="Z53" i="74"/>
  <c r="Z57" i="74"/>
  <c r="X65" i="74"/>
  <c r="Z65" i="74" s="1"/>
  <c r="H12" i="75"/>
  <c r="L12" i="75" s="1"/>
  <c r="N13" i="75"/>
  <c r="L13" i="75"/>
  <c r="N15" i="75"/>
  <c r="T12" i="76"/>
  <c r="Z13" i="76"/>
  <c r="R34" i="76"/>
  <c r="X15" i="77"/>
  <c r="Z15" i="77" s="1"/>
  <c r="Z33" i="77"/>
  <c r="X35" i="77"/>
  <c r="Z35" i="77" s="1"/>
  <c r="N82" i="77"/>
  <c r="Z95" i="77"/>
  <c r="T108" i="71"/>
  <c r="V25" i="74"/>
  <c r="V33" i="74"/>
  <c r="Z67" i="74"/>
  <c r="Z69" i="74"/>
  <c r="X72" i="74"/>
  <c r="F37" i="76"/>
  <c r="F33" i="76"/>
  <c r="F32" i="76"/>
  <c r="F64" i="76"/>
  <c r="F48" i="76"/>
  <c r="F47" i="76"/>
  <c r="F28" i="76"/>
  <c r="F24" i="76"/>
  <c r="F23" i="76"/>
  <c r="F82" i="76"/>
  <c r="F80" i="76"/>
  <c r="F71" i="76"/>
  <c r="F59" i="76"/>
  <c r="F39" i="76"/>
  <c r="F38" i="76"/>
  <c r="F22" i="76"/>
  <c r="F20" i="76"/>
  <c r="F84" i="76"/>
  <c r="F66" i="76"/>
  <c r="F65" i="76"/>
  <c r="F50" i="76"/>
  <c r="F49" i="76"/>
  <c r="F34" i="76"/>
  <c r="D20" i="76"/>
  <c r="F41" i="76"/>
  <c r="F40" i="76"/>
  <c r="F29" i="76"/>
  <c r="F25" i="76"/>
  <c r="F72" i="76"/>
  <c r="F68" i="76"/>
  <c r="F67" i="76"/>
  <c r="F60" i="76"/>
  <c r="F52" i="76"/>
  <c r="F51" i="76"/>
  <c r="F89" i="76"/>
  <c r="F86" i="76"/>
  <c r="F43" i="76"/>
  <c r="F42" i="76"/>
  <c r="F35" i="76"/>
  <c r="F74" i="76"/>
  <c r="F73" i="76"/>
  <c r="F62" i="76"/>
  <c r="F61" i="76"/>
  <c r="F54" i="76"/>
  <c r="F53" i="76"/>
  <c r="F30" i="76"/>
  <c r="F26" i="76"/>
  <c r="F69" i="76"/>
  <c r="F45" i="76"/>
  <c r="F44" i="76"/>
  <c r="F17" i="76"/>
  <c r="F16" i="76"/>
  <c r="F63" i="76"/>
  <c r="F31" i="76"/>
  <c r="F27" i="76"/>
  <c r="N14" i="76"/>
  <c r="L14" i="76"/>
  <c r="R17" i="76"/>
  <c r="N22" i="76"/>
  <c r="R49" i="76"/>
  <c r="R51" i="76"/>
  <c r="R65" i="76"/>
  <c r="Z19" i="77"/>
  <c r="X62" i="77"/>
  <c r="Z62" i="77" s="1"/>
  <c r="X15" i="78"/>
  <c r="Z15" i="78" s="1"/>
  <c r="T59" i="72"/>
  <c r="V59" i="72" s="1"/>
  <c r="Z64" i="73"/>
  <c r="N14" i="74"/>
  <c r="L14" i="74"/>
  <c r="R89" i="76"/>
  <c r="R86" i="76"/>
  <c r="R42" i="76"/>
  <c r="R41" i="76"/>
  <c r="R29" i="76"/>
  <c r="R25" i="76"/>
  <c r="R73" i="76"/>
  <c r="R72" i="76"/>
  <c r="R68" i="76"/>
  <c r="R61" i="76"/>
  <c r="R60" i="76"/>
  <c r="R53" i="76"/>
  <c r="R52" i="76"/>
  <c r="R44" i="76"/>
  <c r="R43" i="76"/>
  <c r="R35" i="76"/>
  <c r="R16" i="76"/>
  <c r="R75" i="76"/>
  <c r="R74" i="76"/>
  <c r="R62" i="76"/>
  <c r="R55" i="76"/>
  <c r="R54" i="76"/>
  <c r="R30" i="76"/>
  <c r="R26" i="76"/>
  <c r="R69" i="76"/>
  <c r="R45" i="76"/>
  <c r="R77" i="76"/>
  <c r="R76" i="76"/>
  <c r="R57" i="76"/>
  <c r="R56" i="76"/>
  <c r="R36" i="76"/>
  <c r="X12" i="76"/>
  <c r="R63" i="76"/>
  <c r="R32" i="76"/>
  <c r="R31" i="76"/>
  <c r="R27" i="76"/>
  <c r="R78" i="76"/>
  <c r="R70" i="76"/>
  <c r="R58" i="76"/>
  <c r="R47" i="76"/>
  <c r="R46" i="76"/>
  <c r="R23" i="76"/>
  <c r="R18" i="76"/>
  <c r="R82" i="76"/>
  <c r="R80" i="76"/>
  <c r="R38" i="76"/>
  <c r="R37" i="76"/>
  <c r="R33" i="76"/>
  <c r="R22" i="76"/>
  <c r="R20" i="76"/>
  <c r="R71" i="76"/>
  <c r="R59" i="76"/>
  <c r="R40" i="76"/>
  <c r="R39" i="76"/>
  <c r="Z51" i="76"/>
  <c r="Z67" i="76"/>
  <c r="F70" i="76"/>
  <c r="N107" i="77"/>
  <c r="L107" i="77"/>
  <c r="L69" i="73"/>
  <c r="V69" i="74"/>
  <c r="V61" i="74"/>
  <c r="V57" i="74"/>
  <c r="V49" i="74"/>
  <c r="V68" i="74"/>
  <c r="V56" i="74"/>
  <c r="V40" i="74"/>
  <c r="V28" i="74"/>
  <c r="V24" i="74"/>
  <c r="V51" i="74"/>
  <c r="V39" i="74"/>
  <c r="V72" i="74"/>
  <c r="V70" i="74"/>
  <c r="V62" i="74"/>
  <c r="V52" i="74"/>
  <c r="V44" i="74"/>
  <c r="V16" i="74"/>
  <c r="V63" i="74"/>
  <c r="V59" i="74"/>
  <c r="V43" i="74"/>
  <c r="V35" i="74"/>
  <c r="V76" i="74"/>
  <c r="V54" i="74"/>
  <c r="V46" i="74"/>
  <c r="V30" i="74"/>
  <c r="V26" i="74"/>
  <c r="V65" i="74"/>
  <c r="V45" i="74"/>
  <c r="V17" i="74"/>
  <c r="V67" i="74"/>
  <c r="V55" i="74"/>
  <c r="V47" i="74"/>
  <c r="V31" i="74"/>
  <c r="V27" i="74"/>
  <c r="V23" i="74"/>
  <c r="V18" i="74"/>
  <c r="X22" i="74"/>
  <c r="Z22" i="74" s="1"/>
  <c r="X23" i="74"/>
  <c r="Z23" i="74" s="1"/>
  <c r="L32" i="74"/>
  <c r="L44" i="74"/>
  <c r="N44" i="74" s="1"/>
  <c r="V48" i="74"/>
  <c r="V50" i="74"/>
  <c r="V64" i="74"/>
  <c r="Z14" i="76"/>
  <c r="R24" i="76"/>
  <c r="Z23" i="77"/>
  <c r="Z78" i="77"/>
  <c r="N32" i="74"/>
  <c r="Z36" i="77"/>
  <c r="L14" i="73"/>
  <c r="L48" i="73"/>
  <c r="Z52" i="73"/>
  <c r="V22" i="74"/>
  <c r="R48" i="76"/>
  <c r="R64" i="76"/>
  <c r="R63" i="80"/>
  <c r="R65" i="80"/>
  <c r="R78" i="80"/>
  <c r="R83" i="80"/>
  <c r="R80" i="80"/>
  <c r="R56" i="80"/>
  <c r="R74" i="80"/>
  <c r="R71" i="80"/>
  <c r="R57" i="80"/>
  <c r="R51" i="80"/>
  <c r="R50" i="80"/>
  <c r="R39" i="80"/>
  <c r="R38" i="80"/>
  <c r="R34" i="80"/>
  <c r="R60" i="80"/>
  <c r="R29" i="80"/>
  <c r="R25" i="80"/>
  <c r="R68" i="80"/>
  <c r="R53" i="80"/>
  <c r="R52" i="80"/>
  <c r="R41" i="80"/>
  <c r="R40" i="80"/>
  <c r="R35" i="80"/>
  <c r="R16" i="80"/>
  <c r="R58" i="80"/>
  <c r="R54" i="80"/>
  <c r="R43" i="80"/>
  <c r="R42" i="80"/>
  <c r="R30" i="80"/>
  <c r="R26" i="80"/>
  <c r="R72" i="80"/>
  <c r="R69" i="80"/>
  <c r="R17" i="80"/>
  <c r="R76" i="80"/>
  <c r="R61" i="80"/>
  <c r="R45" i="80"/>
  <c r="R44" i="80"/>
  <c r="R36" i="80"/>
  <c r="X12" i="80"/>
  <c r="R66" i="80"/>
  <c r="R55" i="80"/>
  <c r="R32" i="80"/>
  <c r="R31" i="80"/>
  <c r="R27" i="80"/>
  <c r="R70" i="80"/>
  <c r="R67" i="80"/>
  <c r="R37" i="80"/>
  <c r="R33" i="80"/>
  <c r="R22" i="80"/>
  <c r="R20" i="80"/>
  <c r="R24" i="80"/>
  <c r="R49" i="80"/>
  <c r="R47" i="80"/>
  <c r="R59" i="80"/>
  <c r="R28" i="80"/>
  <c r="P20" i="80"/>
  <c r="R23" i="80"/>
  <c r="R48" i="80"/>
  <c r="R64" i="80"/>
  <c r="R46" i="80"/>
  <c r="X105" i="71"/>
  <c r="Z105" i="71" s="1"/>
  <c r="X111" i="71"/>
  <c r="Z111" i="71" s="1"/>
  <c r="L13" i="72"/>
  <c r="N13" i="72" s="1"/>
  <c r="X66" i="73"/>
  <c r="Z66" i="73" s="1"/>
  <c r="Z42" i="74"/>
  <c r="H12" i="76"/>
  <c r="F36" i="76"/>
  <c r="F56" i="76"/>
  <c r="F58" i="76"/>
  <c r="R84" i="76"/>
  <c r="Z20" i="77"/>
  <c r="Z27" i="77"/>
  <c r="N91" i="77"/>
  <c r="L76" i="71"/>
  <c r="X82" i="71"/>
  <c r="Z82" i="71" s="1"/>
  <c r="X112" i="71"/>
  <c r="Z112" i="71" s="1"/>
  <c r="L18" i="72"/>
  <c r="N18" i="72" s="1"/>
  <c r="L42" i="72"/>
  <c r="X56" i="72"/>
  <c r="Z56" i="72" s="1"/>
  <c r="X62" i="72"/>
  <c r="Z62" i="72" s="1"/>
  <c r="L40" i="73"/>
  <c r="Z44" i="73"/>
  <c r="V34" i="74"/>
  <c r="V36" i="74"/>
  <c r="V42" i="74"/>
  <c r="N53" i="74"/>
  <c r="V25" i="75"/>
  <c r="V23" i="75"/>
  <c r="V21" i="75"/>
  <c r="V19" i="75"/>
  <c r="T21" i="75"/>
  <c r="V17" i="75"/>
  <c r="Z12" i="75"/>
  <c r="R50" i="76"/>
  <c r="R66" i="76"/>
  <c r="F83" i="80"/>
  <c r="F80" i="80"/>
  <c r="F72" i="80"/>
  <c r="F71" i="80"/>
  <c r="F64" i="80"/>
  <c r="F59" i="80"/>
  <c r="F76" i="80"/>
  <c r="F74" i="80"/>
  <c r="F65" i="80"/>
  <c r="F61" i="80"/>
  <c r="F60" i="80"/>
  <c r="F55" i="80"/>
  <c r="F31" i="80"/>
  <c r="F27" i="80"/>
  <c r="F46" i="80"/>
  <c r="F45" i="80"/>
  <c r="F18" i="80"/>
  <c r="F70" i="80"/>
  <c r="F62" i="80"/>
  <c r="F37" i="80"/>
  <c r="F33" i="80"/>
  <c r="F32" i="80"/>
  <c r="F67" i="80"/>
  <c r="F48" i="80"/>
  <c r="F47" i="80"/>
  <c r="F28" i="80"/>
  <c r="F24" i="80"/>
  <c r="F23" i="80"/>
  <c r="F78" i="80"/>
  <c r="F56" i="80"/>
  <c r="F22" i="80"/>
  <c r="F20" i="80"/>
  <c r="F68" i="80"/>
  <c r="F50" i="80"/>
  <c r="F49" i="80"/>
  <c r="F38" i="80"/>
  <c r="F34" i="80"/>
  <c r="D20" i="80"/>
  <c r="F29" i="80"/>
  <c r="F25" i="80"/>
  <c r="F63" i="80"/>
  <c r="F57" i="80"/>
  <c r="F52" i="80"/>
  <c r="F51" i="80"/>
  <c r="F40" i="80"/>
  <c r="F39" i="80"/>
  <c r="F35" i="80"/>
  <c r="F17" i="80"/>
  <c r="F16" i="80"/>
  <c r="L12" i="80"/>
  <c r="F44" i="80"/>
  <c r="F66" i="80"/>
  <c r="F42" i="80"/>
  <c r="F36" i="80"/>
  <c r="F53" i="80"/>
  <c r="F26" i="80"/>
  <c r="F69" i="80"/>
  <c r="F54" i="80"/>
  <c r="F43" i="80"/>
  <c r="F58" i="80"/>
  <c r="F41" i="80"/>
  <c r="R18" i="80"/>
  <c r="T20" i="74"/>
  <c r="L53" i="74"/>
  <c r="Z40" i="76"/>
  <c r="Z42" i="76"/>
  <c r="F75" i="76"/>
  <c r="Z24" i="77"/>
  <c r="X31" i="77"/>
  <c r="N97" i="77"/>
  <c r="Z103" i="77"/>
  <c r="N14" i="79"/>
  <c r="L14" i="79"/>
  <c r="R62" i="80"/>
  <c r="J44" i="77"/>
  <c r="J48" i="77"/>
  <c r="J52" i="77"/>
  <c r="J56" i="77"/>
  <c r="J82" i="77"/>
  <c r="J92" i="77"/>
  <c r="Z99" i="77"/>
  <c r="J104" i="77"/>
  <c r="Z121" i="77"/>
  <c r="J123" i="77"/>
  <c r="J22" i="78"/>
  <c r="L24" i="78"/>
  <c r="F24" i="78"/>
  <c r="Z72" i="81"/>
  <c r="X72" i="81"/>
  <c r="J74" i="77"/>
  <c r="J80" i="77"/>
  <c r="J90" i="77"/>
  <c r="J96" i="77"/>
  <c r="L103" i="77"/>
  <c r="N103" i="77" s="1"/>
  <c r="J118" i="77"/>
  <c r="R22" i="78"/>
  <c r="J24" i="78"/>
  <c r="L26" i="78"/>
  <c r="J43" i="77"/>
  <c r="J47" i="77"/>
  <c r="J51" i="77"/>
  <c r="J55" i="77"/>
  <c r="J79" i="77"/>
  <c r="J89" i="77"/>
  <c r="Z93" i="77"/>
  <c r="Z123" i="77"/>
  <c r="J130" i="77"/>
  <c r="J135" i="77"/>
  <c r="R17" i="78"/>
  <c r="J29" i="78"/>
  <c r="N22" i="79"/>
  <c r="Z23" i="79"/>
  <c r="V37" i="80"/>
  <c r="J64" i="77"/>
  <c r="J68" i="77"/>
  <c r="J78" i="77"/>
  <c r="J88" i="77"/>
  <c r="J103" i="77"/>
  <c r="J106" i="77"/>
  <c r="J110" i="77"/>
  <c r="L13" i="78"/>
  <c r="J16" i="78"/>
  <c r="V17" i="78"/>
  <c r="X21" i="78"/>
  <c r="Z21" i="78" s="1"/>
  <c r="X22" i="78"/>
  <c r="Z22" i="78" s="1"/>
  <c r="V70" i="80"/>
  <c r="V74" i="80"/>
  <c r="V72" i="80"/>
  <c r="V64" i="80"/>
  <c r="V60" i="80"/>
  <c r="V78" i="80"/>
  <c r="V67" i="80"/>
  <c r="V55" i="80"/>
  <c r="V66" i="80"/>
  <c r="V62" i="80"/>
  <c r="V68" i="80"/>
  <c r="V56" i="80"/>
  <c r="V50" i="80"/>
  <c r="V38" i="80"/>
  <c r="V34" i="80"/>
  <c r="V53" i="80"/>
  <c r="V41" i="80"/>
  <c r="V29" i="80"/>
  <c r="V25" i="80"/>
  <c r="V52" i="80"/>
  <c r="V40" i="80"/>
  <c r="V16" i="80"/>
  <c r="V65" i="80"/>
  <c r="V63" i="80"/>
  <c r="V43" i="80"/>
  <c r="V35" i="80"/>
  <c r="V69" i="80"/>
  <c r="V58" i="80"/>
  <c r="V54" i="80"/>
  <c r="V42" i="80"/>
  <c r="V30" i="80"/>
  <c r="V26" i="80"/>
  <c r="V45" i="80"/>
  <c r="V17" i="80"/>
  <c r="V61" i="80"/>
  <c r="V44" i="80"/>
  <c r="V36" i="80"/>
  <c r="V32" i="80"/>
  <c r="Z12" i="80"/>
  <c r="V47" i="80"/>
  <c r="V31" i="80"/>
  <c r="V27" i="80"/>
  <c r="V23" i="80"/>
  <c r="V46" i="80"/>
  <c r="V22" i="80"/>
  <c r="V20" i="80"/>
  <c r="V18" i="80"/>
  <c r="V59" i="80"/>
  <c r="V48" i="80"/>
  <c r="V28" i="80"/>
  <c r="V24" i="80"/>
  <c r="J82" i="82"/>
  <c r="J79" i="82"/>
  <c r="J47" i="82"/>
  <c r="J37" i="82"/>
  <c r="J33" i="82"/>
  <c r="J23" i="82"/>
  <c r="J56" i="82"/>
  <c r="J48" i="82"/>
  <c r="J28" i="82"/>
  <c r="J24" i="82"/>
  <c r="J22" i="82"/>
  <c r="J20" i="82"/>
  <c r="J67" i="82"/>
  <c r="J63" i="82"/>
  <c r="J57" i="82"/>
  <c r="J49" i="82"/>
  <c r="H20" i="82"/>
  <c r="J68" i="82"/>
  <c r="J58" i="82"/>
  <c r="J50" i="82"/>
  <c r="J38" i="82"/>
  <c r="J34" i="82"/>
  <c r="J69" i="82"/>
  <c r="J51" i="82"/>
  <c r="J39" i="82"/>
  <c r="J29" i="82"/>
  <c r="J25" i="82"/>
  <c r="J70" i="82"/>
  <c r="J64" i="82"/>
  <c r="J52" i="82"/>
  <c r="J40" i="82"/>
  <c r="J71" i="82"/>
  <c r="J59" i="82"/>
  <c r="J53" i="82"/>
  <c r="J41" i="82"/>
  <c r="J35" i="82"/>
  <c r="J54" i="82"/>
  <c r="J42" i="82"/>
  <c r="J30" i="82"/>
  <c r="J26" i="82"/>
  <c r="J16" i="82"/>
  <c r="J75" i="82"/>
  <c r="J73" i="82"/>
  <c r="J65" i="82"/>
  <c r="J43" i="82"/>
  <c r="J17" i="82"/>
  <c r="J77" i="82"/>
  <c r="J61" i="82"/>
  <c r="J55" i="82"/>
  <c r="J45" i="82"/>
  <c r="J31" i="82"/>
  <c r="J27" i="82"/>
  <c r="J62" i="82"/>
  <c r="J60" i="82"/>
  <c r="J66" i="82"/>
  <c r="J32" i="82"/>
  <c r="J18" i="82"/>
  <c r="J36" i="82"/>
  <c r="J46" i="82"/>
  <c r="J44" i="82"/>
  <c r="N12" i="82"/>
  <c r="D20" i="83"/>
  <c r="L16" i="83"/>
  <c r="J73" i="77"/>
  <c r="J77" i="77"/>
  <c r="J87" i="77"/>
  <c r="J95" i="77"/>
  <c r="X126" i="77"/>
  <c r="R21" i="78"/>
  <c r="R19" i="78"/>
  <c r="X12" i="78"/>
  <c r="Z12" i="78" s="1"/>
  <c r="R24" i="78"/>
  <c r="R23" i="78"/>
  <c r="P19" i="78"/>
  <c r="R27" i="78"/>
  <c r="R29" i="78"/>
  <c r="R15" i="78"/>
  <c r="R33" i="78"/>
  <c r="Z24" i="78"/>
  <c r="H12" i="79"/>
  <c r="L12" i="79" s="1"/>
  <c r="L43" i="79"/>
  <c r="L81" i="79"/>
  <c r="T76" i="80"/>
  <c r="V76" i="80" s="1"/>
  <c r="J115" i="77"/>
  <c r="J111" i="77"/>
  <c r="J97" i="77"/>
  <c r="J128" i="77"/>
  <c r="J126" i="77"/>
  <c r="J119" i="77"/>
  <c r="J113" i="77"/>
  <c r="J107" i="77"/>
  <c r="J101" i="77"/>
  <c r="J122" i="77"/>
  <c r="J114" i="77"/>
  <c r="J102" i="77"/>
  <c r="J42" i="77"/>
  <c r="J46" i="77"/>
  <c r="J50" i="77"/>
  <c r="J54" i="77"/>
  <c r="H59" i="77"/>
  <c r="J86" i="77"/>
  <c r="J117" i="77"/>
  <c r="V24" i="78"/>
  <c r="V23" i="78"/>
  <c r="V26" i="78"/>
  <c r="V25" i="78"/>
  <c r="V29" i="78"/>
  <c r="V27" i="78"/>
  <c r="V15" i="78"/>
  <c r="V22" i="78"/>
  <c r="V21" i="78"/>
  <c r="N43" i="79"/>
  <c r="X57" i="79"/>
  <c r="L16" i="77"/>
  <c r="L20" i="77"/>
  <c r="L24" i="77"/>
  <c r="L28" i="77"/>
  <c r="L32" i="77"/>
  <c r="L36" i="77"/>
  <c r="J59" i="77"/>
  <c r="J61" i="77"/>
  <c r="J63" i="77"/>
  <c r="J67" i="77"/>
  <c r="J109" i="77"/>
  <c r="J112" i="77"/>
  <c r="J121" i="77"/>
  <c r="J124" i="77"/>
  <c r="D35" i="78"/>
  <c r="N37" i="79"/>
  <c r="Z57" i="79"/>
  <c r="N46" i="81"/>
  <c r="L46" i="81"/>
  <c r="N94" i="81"/>
  <c r="H93" i="81"/>
  <c r="N93" i="81" s="1"/>
  <c r="N12" i="77"/>
  <c r="X13" i="77"/>
  <c r="J62" i="77"/>
  <c r="J72" i="77"/>
  <c r="J76" i="77"/>
  <c r="X91" i="77"/>
  <c r="Z91" i="77" s="1"/>
  <c r="J94" i="77"/>
  <c r="J99" i="77"/>
  <c r="L15" i="78"/>
  <c r="V16" i="78"/>
  <c r="H19" i="78"/>
  <c r="L19" i="78" s="1"/>
  <c r="J31" i="78"/>
  <c r="Z16" i="79"/>
  <c r="X37" i="79"/>
  <c r="Z43" i="79"/>
  <c r="X59" i="79"/>
  <c r="Z59" i="79" s="1"/>
  <c r="X22" i="80"/>
  <c r="V51" i="80"/>
  <c r="L65" i="74"/>
  <c r="J41" i="77"/>
  <c r="J45" i="77"/>
  <c r="J49" i="77"/>
  <c r="J53" i="77"/>
  <c r="J57" i="77"/>
  <c r="L62" i="77"/>
  <c r="N62" i="77" s="1"/>
  <c r="J71" i="77"/>
  <c r="X80" i="77"/>
  <c r="Z80" i="77" s="1"/>
  <c r="J85" i="77"/>
  <c r="L99" i="77"/>
  <c r="J105" i="77"/>
  <c r="X117" i="77"/>
  <c r="Z117" i="77" s="1"/>
  <c r="J120" i="77"/>
  <c r="J132" i="77"/>
  <c r="F31" i="78"/>
  <c r="Z37" i="79"/>
  <c r="Z39" i="79"/>
  <c r="Z41" i="79"/>
  <c r="Z22" i="80"/>
  <c r="N38" i="81"/>
  <c r="L38" i="81"/>
  <c r="J40" i="77"/>
  <c r="J66" i="77"/>
  <c r="J70" i="77"/>
  <c r="J84" i="77"/>
  <c r="N93" i="77"/>
  <c r="J98" i="77"/>
  <c r="J116" i="77"/>
  <c r="L123" i="77"/>
  <c r="N123" i="77" s="1"/>
  <c r="J33" i="78"/>
  <c r="J38" i="78"/>
  <c r="J35" i="78"/>
  <c r="J17" i="78"/>
  <c r="J23" i="78"/>
  <c r="J21" i="78"/>
  <c r="J19" i="78"/>
  <c r="L12" i="78"/>
  <c r="J25" i="78"/>
  <c r="J26" i="78"/>
  <c r="J15" i="78"/>
  <c r="T19" i="78"/>
  <c r="X16" i="81"/>
  <c r="F26" i="78"/>
  <c r="F27" i="78"/>
  <c r="X12" i="79"/>
  <c r="Z12" i="79" s="1"/>
  <c r="R36" i="79"/>
  <c r="R37" i="79"/>
  <c r="R56" i="79"/>
  <c r="R57" i="79"/>
  <c r="R64" i="79"/>
  <c r="N12" i="80"/>
  <c r="J36" i="80"/>
  <c r="J44" i="80"/>
  <c r="J61" i="80"/>
  <c r="F87" i="81"/>
  <c r="F86" i="81"/>
  <c r="F79" i="81"/>
  <c r="F75" i="81"/>
  <c r="F59" i="81"/>
  <c r="F58" i="81"/>
  <c r="F47" i="81"/>
  <c r="F46" i="81"/>
  <c r="F39" i="81"/>
  <c r="F38" i="81"/>
  <c r="F27" i="81"/>
  <c r="F23" i="81"/>
  <c r="F104" i="81"/>
  <c r="F101" i="81"/>
  <c r="F70" i="81"/>
  <c r="F69" i="81"/>
  <c r="F65" i="81"/>
  <c r="F49" i="81"/>
  <c r="F48" i="81"/>
  <c r="F41" i="81"/>
  <c r="F40" i="81"/>
  <c r="F33" i="81"/>
  <c r="F88" i="81"/>
  <c r="F80" i="81"/>
  <c r="F76" i="81"/>
  <c r="F60" i="81"/>
  <c r="F71" i="81"/>
  <c r="F66" i="81"/>
  <c r="F42" i="81"/>
  <c r="F34" i="81"/>
  <c r="F30" i="81"/>
  <c r="F29" i="81"/>
  <c r="F89" i="81"/>
  <c r="F81" i="81"/>
  <c r="F77" i="81"/>
  <c r="F73" i="81"/>
  <c r="F72" i="81"/>
  <c r="F61" i="81"/>
  <c r="F53" i="81"/>
  <c r="F52" i="81"/>
  <c r="F25" i="81"/>
  <c r="F21" i="81"/>
  <c r="F91" i="81"/>
  <c r="F90" i="81"/>
  <c r="F83" i="81"/>
  <c r="F82" i="81"/>
  <c r="F67" i="81"/>
  <c r="F55" i="81"/>
  <c r="F54" i="81"/>
  <c r="F43" i="81"/>
  <c r="F35" i="81"/>
  <c r="F31" i="81"/>
  <c r="F99" i="81"/>
  <c r="F94" i="81"/>
  <c r="F85" i="81"/>
  <c r="F84" i="81"/>
  <c r="F57" i="81"/>
  <c r="F56" i="81"/>
  <c r="F45" i="81"/>
  <c r="F44" i="81"/>
  <c r="F37" i="81"/>
  <c r="F36" i="81"/>
  <c r="D16" i="81"/>
  <c r="F20" i="81"/>
  <c r="F22" i="81"/>
  <c r="F24" i="81"/>
  <c r="F26" i="81"/>
  <c r="F28" i="81"/>
  <c r="L36" i="81"/>
  <c r="F62" i="81"/>
  <c r="R70" i="81"/>
  <c r="D93" i="81"/>
  <c r="L93" i="81" s="1"/>
  <c r="L94" i="81"/>
  <c r="F97" i="81"/>
  <c r="F31" i="82"/>
  <c r="Z49" i="82"/>
  <c r="Z51" i="82"/>
  <c r="Z53" i="82"/>
  <c r="J68" i="83"/>
  <c r="J60" i="83"/>
  <c r="J56" i="83"/>
  <c r="J78" i="83"/>
  <c r="J75" i="83"/>
  <c r="J61" i="83"/>
  <c r="J57" i="83"/>
  <c r="J62" i="83"/>
  <c r="J58" i="83"/>
  <c r="J63" i="83"/>
  <c r="J53" i="83"/>
  <c r="J45" i="83"/>
  <c r="J55" i="83"/>
  <c r="J32" i="83"/>
  <c r="J18" i="83"/>
  <c r="J65" i="83"/>
  <c r="J49" i="83"/>
  <c r="J37" i="83"/>
  <c r="J33" i="83"/>
  <c r="J23" i="83"/>
  <c r="J38" i="83"/>
  <c r="J28" i="83"/>
  <c r="J24" i="83"/>
  <c r="J22" i="83"/>
  <c r="J20" i="83"/>
  <c r="J73" i="83"/>
  <c r="J69" i="83"/>
  <c r="J39" i="83"/>
  <c r="H20" i="83"/>
  <c r="J46" i="83"/>
  <c r="J40" i="83"/>
  <c r="J34" i="83"/>
  <c r="J41" i="83"/>
  <c r="J29" i="83"/>
  <c r="J25" i="83"/>
  <c r="J66" i="83"/>
  <c r="J54" i="83"/>
  <c r="J50" i="83"/>
  <c r="J47" i="83"/>
  <c r="J42" i="83"/>
  <c r="J35" i="83"/>
  <c r="J71" i="83"/>
  <c r="J59" i="83"/>
  <c r="J30" i="83"/>
  <c r="J26" i="83"/>
  <c r="J16" i="83"/>
  <c r="J52" i="83"/>
  <c r="J48" i="83"/>
  <c r="J43" i="83"/>
  <c r="J36" i="83"/>
  <c r="N12" i="83"/>
  <c r="R18" i="83"/>
  <c r="R26" i="79"/>
  <c r="R30" i="79"/>
  <c r="R62" i="79"/>
  <c r="R63" i="79"/>
  <c r="R87" i="79"/>
  <c r="R90" i="79"/>
  <c r="J16" i="80"/>
  <c r="J26" i="80"/>
  <c r="J30" i="80"/>
  <c r="J42" i="80"/>
  <c r="J54" i="80"/>
  <c r="J58" i="80"/>
  <c r="N16" i="81"/>
  <c r="H97" i="81"/>
  <c r="R20" i="81"/>
  <c r="R24" i="81"/>
  <c r="R28" i="81"/>
  <c r="F17" i="82"/>
  <c r="V52" i="83"/>
  <c r="V44" i="83"/>
  <c r="V62" i="83"/>
  <c r="V58" i="83"/>
  <c r="V65" i="83"/>
  <c r="V53" i="83"/>
  <c r="V45" i="83"/>
  <c r="V69" i="83"/>
  <c r="V59" i="83"/>
  <c r="V66" i="83"/>
  <c r="V54" i="83"/>
  <c r="V49" i="83"/>
  <c r="V34" i="83"/>
  <c r="V29" i="83"/>
  <c r="V25" i="83"/>
  <c r="V50" i="83"/>
  <c r="V41" i="83"/>
  <c r="V16" i="83"/>
  <c r="V63" i="83"/>
  <c r="V47" i="83"/>
  <c r="V42" i="83"/>
  <c r="V35" i="83"/>
  <c r="V61" i="83"/>
  <c r="V48" i="83"/>
  <c r="V30" i="83"/>
  <c r="V26" i="83"/>
  <c r="V57" i="83"/>
  <c r="V51" i="83"/>
  <c r="V17" i="83"/>
  <c r="V43" i="83"/>
  <c r="V36" i="83"/>
  <c r="V32" i="83"/>
  <c r="V31" i="83"/>
  <c r="V27" i="83"/>
  <c r="V23" i="83"/>
  <c r="V64" i="83"/>
  <c r="V55" i="83"/>
  <c r="V38" i="83"/>
  <c r="V22" i="83"/>
  <c r="V18" i="83"/>
  <c r="V56" i="83"/>
  <c r="V40" i="83"/>
  <c r="V28" i="83"/>
  <c r="V24" i="83"/>
  <c r="Z16" i="83"/>
  <c r="P20" i="83"/>
  <c r="R23" i="83"/>
  <c r="R28" i="83"/>
  <c r="Z56" i="83"/>
  <c r="F19" i="78"/>
  <c r="F21" i="78"/>
  <c r="R16" i="79"/>
  <c r="R35" i="79"/>
  <c r="R55" i="79"/>
  <c r="R85" i="79"/>
  <c r="J35" i="80"/>
  <c r="J41" i="80"/>
  <c r="J53" i="80"/>
  <c r="R72" i="81"/>
  <c r="R71" i="81"/>
  <c r="R52" i="81"/>
  <c r="R51" i="81"/>
  <c r="R66" i="81"/>
  <c r="R42" i="81"/>
  <c r="R34" i="81"/>
  <c r="R30" i="81"/>
  <c r="R90" i="81"/>
  <c r="R89" i="81"/>
  <c r="R82" i="81"/>
  <c r="R81" i="81"/>
  <c r="R77" i="81"/>
  <c r="R73" i="81"/>
  <c r="R61" i="81"/>
  <c r="R54" i="81"/>
  <c r="R53" i="81"/>
  <c r="R25" i="81"/>
  <c r="R21" i="81"/>
  <c r="R97" i="81"/>
  <c r="R95" i="81"/>
  <c r="R94" i="81"/>
  <c r="R91" i="81"/>
  <c r="R84" i="81"/>
  <c r="R83" i="81"/>
  <c r="R67" i="81"/>
  <c r="R56" i="81"/>
  <c r="R55" i="81"/>
  <c r="R93" i="81"/>
  <c r="R78" i="81"/>
  <c r="R74" i="81"/>
  <c r="R63" i="81"/>
  <c r="R62" i="81"/>
  <c r="R26" i="81"/>
  <c r="R22" i="81"/>
  <c r="R99" i="81"/>
  <c r="R86" i="81"/>
  <c r="R85" i="81"/>
  <c r="R58" i="81"/>
  <c r="R57" i="81"/>
  <c r="R46" i="81"/>
  <c r="R45" i="81"/>
  <c r="R38" i="81"/>
  <c r="R37" i="81"/>
  <c r="R104" i="81"/>
  <c r="R101" i="81"/>
  <c r="R69" i="81"/>
  <c r="R68" i="81"/>
  <c r="R64" i="81"/>
  <c r="R32" i="81"/>
  <c r="X12" i="81"/>
  <c r="R87" i="81"/>
  <c r="R79" i="81"/>
  <c r="R75" i="81"/>
  <c r="R59" i="81"/>
  <c r="R48" i="81"/>
  <c r="R47" i="81"/>
  <c r="R40" i="81"/>
  <c r="R39" i="81"/>
  <c r="R27" i="81"/>
  <c r="R23" i="81"/>
  <c r="R65" i="81"/>
  <c r="R50" i="81"/>
  <c r="R49" i="81"/>
  <c r="R41" i="81"/>
  <c r="R33" i="81"/>
  <c r="R18" i="81"/>
  <c r="R16" i="81"/>
  <c r="R14" i="81"/>
  <c r="R36" i="81"/>
  <c r="N40" i="81"/>
  <c r="N48" i="81"/>
  <c r="L56" i="81"/>
  <c r="L58" i="81"/>
  <c r="N58" i="81" s="1"/>
  <c r="Z94" i="81"/>
  <c r="X39" i="82"/>
  <c r="Z39" i="82" s="1"/>
  <c r="R67" i="82"/>
  <c r="T20" i="83"/>
  <c r="R44" i="79"/>
  <c r="R68" i="79"/>
  <c r="R72" i="79"/>
  <c r="J40" i="80"/>
  <c r="J52" i="80"/>
  <c r="J63" i="80"/>
  <c r="J65" i="80"/>
  <c r="F66" i="82"/>
  <c r="F62" i="82"/>
  <c r="F61" i="82"/>
  <c r="F46" i="82"/>
  <c r="F45" i="82"/>
  <c r="F18" i="82"/>
  <c r="F37" i="82"/>
  <c r="F33" i="82"/>
  <c r="F32" i="82"/>
  <c r="F82" i="82"/>
  <c r="F79" i="82"/>
  <c r="F56" i="82"/>
  <c r="F48" i="82"/>
  <c r="F47" i="82"/>
  <c r="F28" i="82"/>
  <c r="F24" i="82"/>
  <c r="F23" i="82"/>
  <c r="F67" i="82"/>
  <c r="F63" i="82"/>
  <c r="F22" i="82"/>
  <c r="F20" i="82"/>
  <c r="F58" i="82"/>
  <c r="F57" i="82"/>
  <c r="F50" i="82"/>
  <c r="F49" i="82"/>
  <c r="F38" i="82"/>
  <c r="F34" i="82"/>
  <c r="D20" i="82"/>
  <c r="F69" i="82"/>
  <c r="F68" i="82"/>
  <c r="F29" i="82"/>
  <c r="F25" i="82"/>
  <c r="F64" i="82"/>
  <c r="F52" i="82"/>
  <c r="F51" i="82"/>
  <c r="F40" i="82"/>
  <c r="F39" i="82"/>
  <c r="F71" i="82"/>
  <c r="F70" i="82"/>
  <c r="F59" i="82"/>
  <c r="F35" i="82"/>
  <c r="F54" i="82"/>
  <c r="F53" i="82"/>
  <c r="F42" i="82"/>
  <c r="F41" i="82"/>
  <c r="F30" i="82"/>
  <c r="F26" i="82"/>
  <c r="F75" i="82"/>
  <c r="F73" i="82"/>
  <c r="F60" i="82"/>
  <c r="F44" i="82"/>
  <c r="F43" i="82"/>
  <c r="F36" i="82"/>
  <c r="L12" i="82"/>
  <c r="R33" i="82"/>
  <c r="L73" i="82"/>
  <c r="X38" i="83"/>
  <c r="Z38" i="83" s="1"/>
  <c r="Z40" i="83"/>
  <c r="L13" i="79"/>
  <c r="R25" i="79"/>
  <c r="R29" i="79"/>
  <c r="R53" i="79"/>
  <c r="R54" i="79"/>
  <c r="R61" i="79"/>
  <c r="J25" i="80"/>
  <c r="J29" i="80"/>
  <c r="J39" i="80"/>
  <c r="J51" i="80"/>
  <c r="J57" i="80"/>
  <c r="J71" i="80"/>
  <c r="L29" i="81"/>
  <c r="X50" i="81"/>
  <c r="Z50" i="81" s="1"/>
  <c r="R60" i="81"/>
  <c r="Z82" i="81"/>
  <c r="F27" i="82"/>
  <c r="L61" i="82"/>
  <c r="R42" i="79"/>
  <c r="R43" i="79"/>
  <c r="R81" i="79"/>
  <c r="R83" i="79"/>
  <c r="J34" i="80"/>
  <c r="J38" i="80"/>
  <c r="J50" i="80"/>
  <c r="N29" i="81"/>
  <c r="R80" i="81"/>
  <c r="R22" i="82"/>
  <c r="X22" i="83"/>
  <c r="Z22" i="83" s="1"/>
  <c r="R24" i="83"/>
  <c r="Z13" i="78"/>
  <c r="L22" i="78"/>
  <c r="R51" i="79"/>
  <c r="R52" i="79"/>
  <c r="R67" i="79"/>
  <c r="R71" i="79"/>
  <c r="R79" i="79"/>
  <c r="H20" i="80"/>
  <c r="J49" i="80"/>
  <c r="J56" i="80"/>
  <c r="R58" i="82"/>
  <c r="R51" i="82"/>
  <c r="R50" i="82"/>
  <c r="R39" i="82"/>
  <c r="R38" i="82"/>
  <c r="R34" i="82"/>
  <c r="R70" i="82"/>
  <c r="R69" i="82"/>
  <c r="R29" i="82"/>
  <c r="R25" i="82"/>
  <c r="R64" i="82"/>
  <c r="R53" i="82"/>
  <c r="R52" i="82"/>
  <c r="R41" i="82"/>
  <c r="R40" i="82"/>
  <c r="R71" i="82"/>
  <c r="R59" i="82"/>
  <c r="R35" i="82"/>
  <c r="R16" i="82"/>
  <c r="R75" i="82"/>
  <c r="R73" i="82"/>
  <c r="R54" i="82"/>
  <c r="R43" i="82"/>
  <c r="R42" i="82"/>
  <c r="R30" i="82"/>
  <c r="R26" i="82"/>
  <c r="R65" i="82"/>
  <c r="R17" i="82"/>
  <c r="R61" i="82"/>
  <c r="R60" i="82"/>
  <c r="R45" i="82"/>
  <c r="R44" i="82"/>
  <c r="R36" i="82"/>
  <c r="X12" i="82"/>
  <c r="R77" i="82"/>
  <c r="R55" i="82"/>
  <c r="R32" i="82"/>
  <c r="R31" i="82"/>
  <c r="R27" i="82"/>
  <c r="R82" i="82"/>
  <c r="R79" i="82"/>
  <c r="R66" i="82"/>
  <c r="R62" i="82"/>
  <c r="R47" i="82"/>
  <c r="R46" i="82"/>
  <c r="R23" i="82"/>
  <c r="R18" i="82"/>
  <c r="R57" i="82"/>
  <c r="R56" i="82"/>
  <c r="R49" i="82"/>
  <c r="R48" i="82"/>
  <c r="R28" i="82"/>
  <c r="R24" i="82"/>
  <c r="P20" i="82"/>
  <c r="R55" i="83"/>
  <c r="T12" i="85"/>
  <c r="F33" i="78"/>
  <c r="P20" i="79"/>
  <c r="R24" i="79"/>
  <c r="R28" i="79"/>
  <c r="R40" i="79"/>
  <c r="R41" i="79"/>
  <c r="R60" i="79"/>
  <c r="L13" i="80"/>
  <c r="J20" i="80"/>
  <c r="J22" i="80"/>
  <c r="J24" i="80"/>
  <c r="J28" i="80"/>
  <c r="J48" i="80"/>
  <c r="N18" i="81"/>
  <c r="R31" i="81"/>
  <c r="R43" i="81"/>
  <c r="F51" i="81"/>
  <c r="Z52" i="81"/>
  <c r="N63" i="81"/>
  <c r="F68" i="81"/>
  <c r="F93" i="81"/>
  <c r="V69" i="82"/>
  <c r="V53" i="82"/>
  <c r="V41" i="82"/>
  <c r="V29" i="82"/>
  <c r="V25" i="82"/>
  <c r="V64" i="82"/>
  <c r="V52" i="82"/>
  <c r="V40" i="82"/>
  <c r="V16" i="82"/>
  <c r="V73" i="82"/>
  <c r="V71" i="82"/>
  <c r="V59" i="82"/>
  <c r="V43" i="82"/>
  <c r="V35" i="82"/>
  <c r="V54" i="82"/>
  <c r="V42" i="82"/>
  <c r="V30" i="82"/>
  <c r="V26" i="82"/>
  <c r="V65" i="82"/>
  <c r="V61" i="82"/>
  <c r="V45" i="82"/>
  <c r="V17" i="82"/>
  <c r="V60" i="82"/>
  <c r="V44" i="82"/>
  <c r="V36" i="82"/>
  <c r="V32" i="82"/>
  <c r="Z12" i="82"/>
  <c r="V77" i="82"/>
  <c r="V55" i="82"/>
  <c r="V47" i="82"/>
  <c r="V31" i="82"/>
  <c r="V27" i="82"/>
  <c r="V23" i="82"/>
  <c r="V66" i="82"/>
  <c r="V62" i="82"/>
  <c r="V46" i="82"/>
  <c r="V22" i="82"/>
  <c r="V18" i="82"/>
  <c r="V57" i="82"/>
  <c r="V49" i="82"/>
  <c r="V37" i="82"/>
  <c r="V33" i="82"/>
  <c r="T20" i="82"/>
  <c r="V67" i="82"/>
  <c r="V63" i="82"/>
  <c r="V51" i="82"/>
  <c r="V39" i="82"/>
  <c r="F55" i="82"/>
  <c r="X57" i="82"/>
  <c r="L12" i="83"/>
  <c r="V60" i="83"/>
  <c r="V73" i="83"/>
  <c r="F15" i="78"/>
  <c r="F16" i="78"/>
  <c r="F29" i="78"/>
  <c r="R20" i="79"/>
  <c r="R22" i="79"/>
  <c r="R33" i="79"/>
  <c r="R49" i="79"/>
  <c r="R50" i="79"/>
  <c r="R65" i="79"/>
  <c r="R66" i="79"/>
  <c r="R77" i="79"/>
  <c r="R78" i="79"/>
  <c r="J23" i="80"/>
  <c r="J33" i="80"/>
  <c r="J37" i="80"/>
  <c r="J47" i="80"/>
  <c r="Z60" i="80"/>
  <c r="J67" i="80"/>
  <c r="R76" i="81"/>
  <c r="X13" i="82"/>
  <c r="Z13" i="82" s="1"/>
  <c r="Z57" i="82"/>
  <c r="R68" i="82"/>
  <c r="R61" i="83"/>
  <c r="R57" i="83"/>
  <c r="R42" i="83"/>
  <c r="R41" i="83"/>
  <c r="R63" i="83"/>
  <c r="R62" i="83"/>
  <c r="R58" i="83"/>
  <c r="R65" i="83"/>
  <c r="R64" i="83"/>
  <c r="R59" i="83"/>
  <c r="R71" i="83"/>
  <c r="R69" i="83"/>
  <c r="R66" i="83"/>
  <c r="R54" i="83"/>
  <c r="R73" i="83"/>
  <c r="R60" i="83"/>
  <c r="R56" i="83"/>
  <c r="R40" i="83"/>
  <c r="R39" i="83"/>
  <c r="R78" i="83"/>
  <c r="R46" i="83"/>
  <c r="R34" i="83"/>
  <c r="R29" i="83"/>
  <c r="R25" i="83"/>
  <c r="R50" i="83"/>
  <c r="R47" i="83"/>
  <c r="R35" i="83"/>
  <c r="R16" i="83"/>
  <c r="R30" i="83"/>
  <c r="R26" i="83"/>
  <c r="R51" i="83"/>
  <c r="R48" i="83"/>
  <c r="R17" i="83"/>
  <c r="R75" i="83"/>
  <c r="R52" i="83"/>
  <c r="R44" i="83"/>
  <c r="R43" i="83"/>
  <c r="R36" i="83"/>
  <c r="X12" i="83"/>
  <c r="Z12" i="83" s="1"/>
  <c r="R32" i="83"/>
  <c r="R31" i="83"/>
  <c r="R27" i="83"/>
  <c r="R49" i="83"/>
  <c r="R38" i="83"/>
  <c r="R37" i="83"/>
  <c r="R33" i="83"/>
  <c r="R22" i="83"/>
  <c r="R20" i="83"/>
  <c r="R68" i="83"/>
  <c r="N43" i="84"/>
  <c r="L43" i="84"/>
  <c r="R18" i="79"/>
  <c r="R23" i="79"/>
  <c r="R38" i="79"/>
  <c r="R39" i="79"/>
  <c r="R58" i="79"/>
  <c r="R59" i="79"/>
  <c r="J83" i="80"/>
  <c r="J80" i="80"/>
  <c r="J66" i="80"/>
  <c r="J62" i="80"/>
  <c r="J68" i="80"/>
  <c r="J72" i="80"/>
  <c r="J64" i="80"/>
  <c r="J59" i="80"/>
  <c r="J76" i="80"/>
  <c r="J74" i="80"/>
  <c r="J60" i="80"/>
  <c r="J78" i="80"/>
  <c r="J18" i="80"/>
  <c r="J32" i="80"/>
  <c r="J46" i="80"/>
  <c r="X14" i="81"/>
  <c r="X18" i="81"/>
  <c r="Z18" i="81" s="1"/>
  <c r="Z93" i="81"/>
  <c r="L43" i="82"/>
  <c r="N45" i="82"/>
  <c r="N49" i="82"/>
  <c r="F77" i="82"/>
  <c r="N12" i="81"/>
  <c r="V20" i="81"/>
  <c r="V24" i="81"/>
  <c r="V28" i="81"/>
  <c r="J32" i="81"/>
  <c r="J38" i="81"/>
  <c r="J46" i="81"/>
  <c r="V52" i="81"/>
  <c r="J58" i="81"/>
  <c r="V60" i="81"/>
  <c r="J64" i="81"/>
  <c r="J68" i="81"/>
  <c r="V72" i="81"/>
  <c r="V76" i="81"/>
  <c r="V80" i="81"/>
  <c r="J86" i="81"/>
  <c r="V88" i="81"/>
  <c r="F16" i="83"/>
  <c r="F17" i="83"/>
  <c r="L42" i="83"/>
  <c r="F51" i="83"/>
  <c r="P68" i="83"/>
  <c r="X68" i="83" s="1"/>
  <c r="V28" i="84"/>
  <c r="N39" i="84"/>
  <c r="J41" i="84"/>
  <c r="V46" i="84"/>
  <c r="V48" i="84"/>
  <c r="X13" i="85"/>
  <c r="Z13" i="85" s="1"/>
  <c r="V14" i="81"/>
  <c r="V16" i="81"/>
  <c r="V18" i="81"/>
  <c r="J22" i="81"/>
  <c r="J26" i="81"/>
  <c r="J36" i="81"/>
  <c r="J44" i="81"/>
  <c r="V50" i="81"/>
  <c r="J56" i="81"/>
  <c r="J62" i="81"/>
  <c r="V70" i="81"/>
  <c r="J74" i="81"/>
  <c r="J78" i="81"/>
  <c r="J84" i="81"/>
  <c r="J94" i="81"/>
  <c r="F35" i="83"/>
  <c r="F47" i="83"/>
  <c r="F57" i="83"/>
  <c r="J16" i="84"/>
  <c r="J25" i="84"/>
  <c r="Z22" i="85"/>
  <c r="V19" i="81"/>
  <c r="V23" i="81"/>
  <c r="V27" i="81"/>
  <c r="J31" i="81"/>
  <c r="J35" i="81"/>
  <c r="V39" i="81"/>
  <c r="J43" i="81"/>
  <c r="V47" i="81"/>
  <c r="J55" i="81"/>
  <c r="V59" i="81"/>
  <c r="J67" i="81"/>
  <c r="V75" i="81"/>
  <c r="V79" i="81"/>
  <c r="J83" i="81"/>
  <c r="V87" i="81"/>
  <c r="J91" i="81"/>
  <c r="J95" i="81"/>
  <c r="J97" i="81"/>
  <c r="L46" i="83"/>
  <c r="X48" i="83"/>
  <c r="Z48" i="83" s="1"/>
  <c r="F54" i="83"/>
  <c r="F61" i="83"/>
  <c r="F63" i="83"/>
  <c r="F66" i="83"/>
  <c r="D12" i="84"/>
  <c r="Z39" i="84"/>
  <c r="N45" i="84"/>
  <c r="F83" i="85"/>
  <c r="F82" i="85"/>
  <c r="F67" i="85"/>
  <c r="F55" i="85"/>
  <c r="F54" i="85"/>
  <c r="F31" i="85"/>
  <c r="F27" i="85"/>
  <c r="F85" i="85"/>
  <c r="F84" i="85"/>
  <c r="F87" i="85"/>
  <c r="F86" i="85"/>
  <c r="F79" i="85"/>
  <c r="F75" i="85"/>
  <c r="F59" i="85"/>
  <c r="F58" i="85"/>
  <c r="F47" i="85"/>
  <c r="F22" i="85"/>
  <c r="F90" i="85"/>
  <c r="F65" i="85"/>
  <c r="F49" i="85"/>
  <c r="F48" i="85"/>
  <c r="F94" i="85"/>
  <c r="F89" i="85"/>
  <c r="F80" i="85"/>
  <c r="F76" i="85"/>
  <c r="F60" i="85"/>
  <c r="F81" i="85"/>
  <c r="F52" i="85"/>
  <c r="F39" i="85"/>
  <c r="F45" i="85"/>
  <c r="F40" i="85"/>
  <c r="F36" i="85"/>
  <c r="F33" i="85"/>
  <c r="F29" i="85"/>
  <c r="F26" i="85"/>
  <c r="F56" i="85"/>
  <c r="F46" i="85"/>
  <c r="F77" i="85"/>
  <c r="F72" i="85"/>
  <c r="F68" i="85"/>
  <c r="F62" i="85"/>
  <c r="D20" i="85"/>
  <c r="F53" i="85"/>
  <c r="F34" i="85"/>
  <c r="F30" i="85"/>
  <c r="F69" i="85"/>
  <c r="F66" i="85"/>
  <c r="F57" i="85"/>
  <c r="F50" i="85"/>
  <c r="F41" i="85"/>
  <c r="F37" i="85"/>
  <c r="F23" i="85"/>
  <c r="F16" i="85"/>
  <c r="F70" i="85"/>
  <c r="F42" i="85"/>
  <c r="F24" i="85"/>
  <c r="F78" i="85"/>
  <c r="F73" i="85"/>
  <c r="F63" i="85"/>
  <c r="F17" i="85"/>
  <c r="F51" i="85"/>
  <c r="F38" i="85"/>
  <c r="F44" i="85"/>
  <c r="F43" i="85"/>
  <c r="F35" i="85"/>
  <c r="F28" i="85"/>
  <c r="F64" i="85"/>
  <c r="F25" i="85"/>
  <c r="F18" i="85"/>
  <c r="L84" i="85"/>
  <c r="V32" i="81"/>
  <c r="V40" i="81"/>
  <c r="V48" i="81"/>
  <c r="J54" i="81"/>
  <c r="V64" i="81"/>
  <c r="V68" i="81"/>
  <c r="J82" i="81"/>
  <c r="J90" i="81"/>
  <c r="P93" i="81"/>
  <c r="X93" i="81" s="1"/>
  <c r="F25" i="83"/>
  <c r="F29" i="83"/>
  <c r="F40" i="83"/>
  <c r="F41" i="83"/>
  <c r="F46" i="83"/>
  <c r="N63" i="83"/>
  <c r="N12" i="84"/>
  <c r="N22" i="84"/>
  <c r="J36" i="84"/>
  <c r="J68" i="84"/>
  <c r="N14" i="85"/>
  <c r="H12" i="85"/>
  <c r="V45" i="81"/>
  <c r="J53" i="81"/>
  <c r="V57" i="81"/>
  <c r="J61" i="81"/>
  <c r="V69" i="81"/>
  <c r="J73" i="81"/>
  <c r="J77" i="81"/>
  <c r="J81" i="81"/>
  <c r="V85" i="81"/>
  <c r="J89" i="81"/>
  <c r="V99" i="81"/>
  <c r="V101" i="81"/>
  <c r="V104" i="81"/>
  <c r="F34" i="83"/>
  <c r="F69" i="83"/>
  <c r="V68" i="84"/>
  <c r="V64" i="84"/>
  <c r="V56" i="84"/>
  <c r="V44" i="84"/>
  <c r="V36" i="84"/>
  <c r="V55" i="84"/>
  <c r="V47" i="84"/>
  <c r="V70" i="84"/>
  <c r="V58" i="84"/>
  <c r="V69" i="84"/>
  <c r="V65" i="84"/>
  <c r="V57" i="84"/>
  <c r="V49" i="84"/>
  <c r="V37" i="84"/>
  <c r="V33" i="84"/>
  <c r="T20" i="84"/>
  <c r="V71" i="84"/>
  <c r="V59" i="84"/>
  <c r="V51" i="84"/>
  <c r="V39" i="84"/>
  <c r="V66" i="84"/>
  <c r="V62" i="84"/>
  <c r="V50" i="84"/>
  <c r="V38" i="84"/>
  <c r="V34" i="84"/>
  <c r="V75" i="84"/>
  <c r="V73" i="84"/>
  <c r="V61" i="84"/>
  <c r="V53" i="84"/>
  <c r="V41" i="84"/>
  <c r="V29" i="84"/>
  <c r="V25" i="84"/>
  <c r="V52" i="84"/>
  <c r="V40" i="84"/>
  <c r="V16" i="84"/>
  <c r="V67" i="84"/>
  <c r="V63" i="84"/>
  <c r="V43" i="84"/>
  <c r="V35" i="84"/>
  <c r="V54" i="84"/>
  <c r="V42" i="84"/>
  <c r="V30" i="84"/>
  <c r="V26" i="84"/>
  <c r="J29" i="84"/>
  <c r="Z32" i="84"/>
  <c r="J42" i="84"/>
  <c r="V72" i="84"/>
  <c r="J66" i="81"/>
  <c r="J72" i="81"/>
  <c r="V74" i="81"/>
  <c r="V78" i="81"/>
  <c r="V86" i="81"/>
  <c r="F20" i="83"/>
  <c r="F22" i="83"/>
  <c r="F38" i="83"/>
  <c r="F39" i="83"/>
  <c r="F56" i="83"/>
  <c r="X12" i="84"/>
  <c r="Z16" i="84"/>
  <c r="V27" i="84"/>
  <c r="V32" i="84"/>
  <c r="R45" i="84"/>
  <c r="X47" i="84"/>
  <c r="Z47" i="84" s="1"/>
  <c r="J51" i="84"/>
  <c r="X23" i="85"/>
  <c r="Z23" i="85" s="1"/>
  <c r="X72" i="85"/>
  <c r="Z72" i="85" s="1"/>
  <c r="J51" i="81"/>
  <c r="V55" i="81"/>
  <c r="V63" i="81"/>
  <c r="V67" i="81"/>
  <c r="J71" i="81"/>
  <c r="V83" i="81"/>
  <c r="V91" i="81"/>
  <c r="V93" i="81"/>
  <c r="F23" i="83"/>
  <c r="F24" i="83"/>
  <c r="F28" i="83"/>
  <c r="L40" i="83"/>
  <c r="F60" i="83"/>
  <c r="F65" i="83"/>
  <c r="Z12" i="84"/>
  <c r="V18" i="84"/>
  <c r="X32" i="84"/>
  <c r="Z45" i="84"/>
  <c r="J64" i="84"/>
  <c r="J73" i="84"/>
  <c r="J14" i="81"/>
  <c r="J16" i="81"/>
  <c r="J18" i="81"/>
  <c r="J20" i="81"/>
  <c r="J24" i="81"/>
  <c r="J28" i="81"/>
  <c r="V36" i="81"/>
  <c r="V44" i="81"/>
  <c r="J50" i="81"/>
  <c r="V56" i="81"/>
  <c r="J60" i="81"/>
  <c r="X63" i="81"/>
  <c r="Z63" i="81" s="1"/>
  <c r="J76" i="81"/>
  <c r="J80" i="81"/>
  <c r="V84" i="81"/>
  <c r="J88" i="81"/>
  <c r="V94" i="81"/>
  <c r="F32" i="83"/>
  <c r="F33" i="83"/>
  <c r="F37" i="83"/>
  <c r="F45" i="83"/>
  <c r="R79" i="84"/>
  <c r="R68" i="84"/>
  <c r="R64" i="84"/>
  <c r="R56" i="84"/>
  <c r="R55" i="84"/>
  <c r="R47" i="84"/>
  <c r="R46" i="84"/>
  <c r="R23" i="84"/>
  <c r="R18" i="84"/>
  <c r="R49" i="84"/>
  <c r="R48" i="84"/>
  <c r="R28" i="84"/>
  <c r="R24" i="84"/>
  <c r="P20" i="84"/>
  <c r="R72" i="84"/>
  <c r="R71" i="84"/>
  <c r="R60" i="84"/>
  <c r="R59" i="84"/>
  <c r="R66" i="84"/>
  <c r="R51" i="84"/>
  <c r="R50" i="84"/>
  <c r="R39" i="84"/>
  <c r="R38" i="84"/>
  <c r="R34" i="84"/>
  <c r="R73" i="84"/>
  <c r="R62" i="84"/>
  <c r="R61" i="84"/>
  <c r="R29" i="84"/>
  <c r="R25" i="84"/>
  <c r="R75" i="84"/>
  <c r="R53" i="84"/>
  <c r="R52" i="84"/>
  <c r="R41" i="84"/>
  <c r="R40" i="84"/>
  <c r="R67" i="84"/>
  <c r="R63" i="84"/>
  <c r="R35" i="84"/>
  <c r="R16" i="84"/>
  <c r="V22" i="84"/>
  <c r="J26" i="84"/>
  <c r="V31" i="84"/>
  <c r="R42" i="84"/>
  <c r="V45" i="84"/>
  <c r="Z49" i="84"/>
  <c r="X49" i="84"/>
  <c r="Z51" i="84"/>
  <c r="N62" i="84"/>
  <c r="J33" i="81"/>
  <c r="J41" i="81"/>
  <c r="J49" i="81"/>
  <c r="V53" i="81"/>
  <c r="V61" i="81"/>
  <c r="J65" i="81"/>
  <c r="V73" i="81"/>
  <c r="V77" i="81"/>
  <c r="V81" i="81"/>
  <c r="V89" i="81"/>
  <c r="V95" i="81"/>
  <c r="V97" i="81"/>
  <c r="L13" i="82"/>
  <c r="F49" i="83"/>
  <c r="F48" i="83"/>
  <c r="F73" i="83"/>
  <c r="F68" i="83"/>
  <c r="F55" i="83"/>
  <c r="F50" i="83"/>
  <c r="F78" i="83"/>
  <c r="F75" i="83"/>
  <c r="F62" i="83"/>
  <c r="F58" i="83"/>
  <c r="N13" i="83"/>
  <c r="F18" i="83"/>
  <c r="F44" i="83"/>
  <c r="X56" i="83"/>
  <c r="Z14" i="84"/>
  <c r="V24" i="84"/>
  <c r="V79" i="84"/>
  <c r="N16" i="85"/>
  <c r="L16" i="85"/>
  <c r="V30" i="81"/>
  <c r="V34" i="81"/>
  <c r="J40" i="81"/>
  <c r="V42" i="81"/>
  <c r="J48" i="81"/>
  <c r="V54" i="81"/>
  <c r="V66" i="81"/>
  <c r="V82" i="81"/>
  <c r="F27" i="83"/>
  <c r="F31" i="83"/>
  <c r="F52" i="83"/>
  <c r="F64" i="83"/>
  <c r="J62" i="84"/>
  <c r="J52" i="84"/>
  <c r="J40" i="84"/>
  <c r="J77" i="84"/>
  <c r="J75" i="84"/>
  <c r="J67" i="84"/>
  <c r="J63" i="84"/>
  <c r="J53" i="84"/>
  <c r="J54" i="84"/>
  <c r="J79" i="84"/>
  <c r="J43" i="84"/>
  <c r="J17" i="84"/>
  <c r="J84" i="84"/>
  <c r="J81" i="84"/>
  <c r="J55" i="84"/>
  <c r="J45" i="84"/>
  <c r="J31" i="84"/>
  <c r="J27" i="84"/>
  <c r="J56" i="84"/>
  <c r="J46" i="84"/>
  <c r="J32" i="84"/>
  <c r="J18" i="84"/>
  <c r="J69" i="84"/>
  <c r="J65" i="84"/>
  <c r="J57" i="84"/>
  <c r="J47" i="84"/>
  <c r="J37" i="84"/>
  <c r="J33" i="84"/>
  <c r="J23" i="84"/>
  <c r="J70" i="84"/>
  <c r="J58" i="84"/>
  <c r="J48" i="84"/>
  <c r="J28" i="84"/>
  <c r="J24" i="84"/>
  <c r="J22" i="84"/>
  <c r="J20" i="84"/>
  <c r="J71" i="84"/>
  <c r="J59" i="84"/>
  <c r="J49" i="84"/>
  <c r="H20" i="84"/>
  <c r="J72" i="84"/>
  <c r="J66" i="84"/>
  <c r="J60" i="84"/>
  <c r="J50" i="84"/>
  <c r="J38" i="84"/>
  <c r="J34" i="84"/>
  <c r="J35" i="84"/>
  <c r="L41" i="84"/>
  <c r="X16" i="85"/>
  <c r="Z16" i="85" s="1"/>
  <c r="P92" i="85"/>
  <c r="T68" i="83"/>
  <c r="L14" i="85"/>
  <c r="R20" i="85"/>
  <c r="R40" i="85"/>
  <c r="R65" i="85"/>
  <c r="Z69" i="85"/>
  <c r="D12" i="86"/>
  <c r="N32" i="86"/>
  <c r="R26" i="85"/>
  <c r="R29" i="85"/>
  <c r="R33" i="85"/>
  <c r="R36" i="85"/>
  <c r="R56" i="85"/>
  <c r="X82" i="85"/>
  <c r="Z82" i="85" s="1"/>
  <c r="J68" i="86"/>
  <c r="J54" i="86"/>
  <c r="J55" i="86"/>
  <c r="J79" i="86"/>
  <c r="J69" i="86"/>
  <c r="J63" i="86"/>
  <c r="J57" i="86"/>
  <c r="J81" i="86"/>
  <c r="J75" i="86"/>
  <c r="J71" i="86"/>
  <c r="J82" i="86"/>
  <c r="J84" i="86"/>
  <c r="J76" i="86"/>
  <c r="J72" i="86"/>
  <c r="J60" i="86"/>
  <c r="J28" i="86"/>
  <c r="J24" i="86"/>
  <c r="J22" i="86"/>
  <c r="J20" i="86"/>
  <c r="J87" i="86"/>
  <c r="J47" i="86"/>
  <c r="H20" i="86"/>
  <c r="J78" i="86"/>
  <c r="J66" i="86"/>
  <c r="J53" i="86"/>
  <c r="J48" i="86"/>
  <c r="J38" i="86"/>
  <c r="J34" i="86"/>
  <c r="J39" i="86"/>
  <c r="J29" i="86"/>
  <c r="J25" i="86"/>
  <c r="J91" i="86"/>
  <c r="J74" i="86"/>
  <c r="J64" i="86"/>
  <c r="J58" i="86"/>
  <c r="J40" i="86"/>
  <c r="J67" i="86"/>
  <c r="J61" i="86"/>
  <c r="J85" i="86"/>
  <c r="J70" i="86"/>
  <c r="J50" i="86"/>
  <c r="J42" i="86"/>
  <c r="J30" i="86"/>
  <c r="J26" i="86"/>
  <c r="J16" i="86"/>
  <c r="J59" i="86"/>
  <c r="J43" i="86"/>
  <c r="J17" i="86"/>
  <c r="J77" i="86"/>
  <c r="J51" i="86"/>
  <c r="J44" i="86"/>
  <c r="J36" i="86"/>
  <c r="N12" i="86"/>
  <c r="J89" i="86"/>
  <c r="J65" i="86"/>
  <c r="J56" i="86"/>
  <c r="J45" i="86"/>
  <c r="J31" i="86"/>
  <c r="J27" i="86"/>
  <c r="J73" i="86"/>
  <c r="V25" i="86"/>
  <c r="J32" i="86"/>
  <c r="V34" i="86"/>
  <c r="V38" i="86"/>
  <c r="Z41" i="86"/>
  <c r="N45" i="86"/>
  <c r="P12" i="87"/>
  <c r="X13" i="87"/>
  <c r="Z14" i="85"/>
  <c r="Z52" i="85"/>
  <c r="Z56" i="85"/>
  <c r="N58" i="85"/>
  <c r="L63" i="85"/>
  <c r="N63" i="85" s="1"/>
  <c r="R74" i="85"/>
  <c r="N86" i="85"/>
  <c r="X90" i="85"/>
  <c r="Z90" i="85" s="1"/>
  <c r="V41" i="86"/>
  <c r="V54" i="86"/>
  <c r="R18" i="85"/>
  <c r="R39" i="85"/>
  <c r="R45" i="85"/>
  <c r="R55" i="85"/>
  <c r="R67" i="85"/>
  <c r="R84" i="85"/>
  <c r="V23" i="86"/>
  <c r="X32" i="86"/>
  <c r="Z32" i="86" s="1"/>
  <c r="X41" i="84"/>
  <c r="Z41" i="84" s="1"/>
  <c r="X75" i="84"/>
  <c r="L23" i="85"/>
  <c r="N23" i="85" s="1"/>
  <c r="R25" i="85"/>
  <c r="R28" i="85"/>
  <c r="R32" i="85"/>
  <c r="L43" i="85"/>
  <c r="R64" i="85"/>
  <c r="R76" i="85"/>
  <c r="Z84" i="85"/>
  <c r="X86" i="85"/>
  <c r="Z86" i="85" s="1"/>
  <c r="J37" i="86"/>
  <c r="R31" i="85"/>
  <c r="Z32" i="85"/>
  <c r="R38" i="85"/>
  <c r="R44" i="85"/>
  <c r="R89" i="85"/>
  <c r="J33" i="86"/>
  <c r="J35" i="86"/>
  <c r="V53" i="86"/>
  <c r="J94" i="86"/>
  <c r="N50" i="85"/>
  <c r="R58" i="85"/>
  <c r="R78" i="85"/>
  <c r="R83" i="85"/>
  <c r="V84" i="86"/>
  <c r="R17" i="85"/>
  <c r="R24" i="85"/>
  <c r="R43" i="85"/>
  <c r="Z58" i="85"/>
  <c r="R60" i="85"/>
  <c r="X63" i="85"/>
  <c r="Z63" i="85" s="1"/>
  <c r="R70" i="85"/>
  <c r="P12" i="86"/>
  <c r="X13" i="86"/>
  <c r="Z13" i="86" s="1"/>
  <c r="J46" i="86"/>
  <c r="X48" i="86"/>
  <c r="R86" i="85"/>
  <c r="R85" i="85"/>
  <c r="R92" i="85"/>
  <c r="R90" i="85"/>
  <c r="R87" i="85"/>
  <c r="R79" i="85"/>
  <c r="R75" i="85"/>
  <c r="R59" i="85"/>
  <c r="R48" i="85"/>
  <c r="R47" i="85"/>
  <c r="R72" i="85"/>
  <c r="R71" i="85"/>
  <c r="R52" i="85"/>
  <c r="R51" i="85"/>
  <c r="R35" i="85"/>
  <c r="R16" i="85"/>
  <c r="R82" i="85"/>
  <c r="R81" i="85"/>
  <c r="R77" i="85"/>
  <c r="R73" i="85"/>
  <c r="R61" i="85"/>
  <c r="R54" i="85"/>
  <c r="R53" i="85"/>
  <c r="L22" i="85"/>
  <c r="N22" i="85" s="1"/>
  <c r="R27" i="85"/>
  <c r="L41" i="85"/>
  <c r="R42" i="85"/>
  <c r="R63" i="85"/>
  <c r="R66" i="85"/>
  <c r="V78" i="86"/>
  <c r="V80" i="86"/>
  <c r="V64" i="86"/>
  <c r="V48" i="86"/>
  <c r="V85" i="86"/>
  <c r="V75" i="86"/>
  <c r="V71" i="86"/>
  <c r="V59" i="86"/>
  <c r="V65" i="86"/>
  <c r="V89" i="86"/>
  <c r="V67" i="86"/>
  <c r="V51" i="86"/>
  <c r="V66" i="86"/>
  <c r="V81" i="86"/>
  <c r="V76" i="86"/>
  <c r="V74" i="86"/>
  <c r="V69" i="86"/>
  <c r="V50" i="86"/>
  <c r="V40" i="86"/>
  <c r="V16" i="86"/>
  <c r="V61" i="86"/>
  <c r="V58" i="86"/>
  <c r="V49" i="86"/>
  <c r="V43" i="86"/>
  <c r="V35" i="86"/>
  <c r="V79" i="86"/>
  <c r="V72" i="86"/>
  <c r="V70" i="86"/>
  <c r="V42" i="86"/>
  <c r="V30" i="86"/>
  <c r="V26" i="86"/>
  <c r="V45" i="86"/>
  <c r="V17" i="86"/>
  <c r="V56" i="86"/>
  <c r="V55" i="86"/>
  <c r="V44" i="86"/>
  <c r="V36" i="86"/>
  <c r="V32" i="86"/>
  <c r="V77" i="86"/>
  <c r="V52" i="86"/>
  <c r="V82" i="86"/>
  <c r="V68" i="86"/>
  <c r="V62" i="86"/>
  <c r="V46" i="86"/>
  <c r="V22" i="86"/>
  <c r="V18" i="86"/>
  <c r="V73" i="86"/>
  <c r="V37" i="86"/>
  <c r="V33" i="86"/>
  <c r="T20" i="86"/>
  <c r="V63" i="86"/>
  <c r="V28" i="86"/>
  <c r="V24" i="86"/>
  <c r="V60" i="86"/>
  <c r="V57" i="86"/>
  <c r="V47" i="86"/>
  <c r="V39" i="86"/>
  <c r="N14" i="88"/>
  <c r="L14" i="88"/>
  <c r="R34" i="85"/>
  <c r="R37" i="85"/>
  <c r="L39" i="85"/>
  <c r="N39" i="85" s="1"/>
  <c r="R50" i="85"/>
  <c r="L52" i="85"/>
  <c r="R57" i="85"/>
  <c r="V29" i="86"/>
  <c r="X39" i="86"/>
  <c r="Z39" i="86" s="1"/>
  <c r="Z48" i="86"/>
  <c r="X12" i="85"/>
  <c r="R22" i="85"/>
  <c r="R23" i="85"/>
  <c r="R30" i="85"/>
  <c r="R62" i="85"/>
  <c r="N90" i="85"/>
  <c r="H89" i="85"/>
  <c r="N89" i="85" s="1"/>
  <c r="R94" i="85"/>
  <c r="Z13" i="87"/>
  <c r="Z41" i="87"/>
  <c r="F53" i="89"/>
  <c r="F45" i="89"/>
  <c r="F44" i="89"/>
  <c r="F33" i="89"/>
  <c r="F32" i="89"/>
  <c r="F17" i="89"/>
  <c r="F16" i="89"/>
  <c r="F63" i="89"/>
  <c r="F61" i="89"/>
  <c r="F28" i="89"/>
  <c r="F65" i="89"/>
  <c r="F60" i="89"/>
  <c r="F35" i="89"/>
  <c r="F34" i="89"/>
  <c r="F54" i="89"/>
  <c r="F46" i="89"/>
  <c r="F37" i="89"/>
  <c r="F36" i="89"/>
  <c r="F29" i="89"/>
  <c r="F70" i="89"/>
  <c r="F67" i="89"/>
  <c r="F48" i="89"/>
  <c r="F47" i="89"/>
  <c r="F24" i="89"/>
  <c r="F23" i="89"/>
  <c r="F55" i="89"/>
  <c r="F39" i="89"/>
  <c r="F38" i="89"/>
  <c r="F22" i="89"/>
  <c r="F20" i="89"/>
  <c r="F50" i="89"/>
  <c r="F49" i="89"/>
  <c r="F30" i="89"/>
  <c r="F43" i="89"/>
  <c r="F42" i="89"/>
  <c r="F31" i="89"/>
  <c r="F27" i="89"/>
  <c r="F26" i="89"/>
  <c r="F41" i="89"/>
  <c r="F58" i="89"/>
  <c r="F52" i="89"/>
  <c r="F56" i="89"/>
  <c r="F18" i="89"/>
  <c r="F25" i="89"/>
  <c r="F40" i="89"/>
  <c r="F57" i="89"/>
  <c r="F51" i="89"/>
  <c r="D20" i="89"/>
  <c r="J16" i="87"/>
  <c r="J18" i="87"/>
  <c r="J26" i="87"/>
  <c r="J30" i="87"/>
  <c r="Z39" i="87"/>
  <c r="P50" i="88"/>
  <c r="Z34" i="88"/>
  <c r="X22" i="89"/>
  <c r="Z22" i="89" s="1"/>
  <c r="D51" i="93"/>
  <c r="J38" i="87"/>
  <c r="J46" i="87"/>
  <c r="J32" i="87"/>
  <c r="L79" i="86"/>
  <c r="N79" i="86" s="1"/>
  <c r="V18" i="87"/>
  <c r="V22" i="87"/>
  <c r="V24" i="87"/>
  <c r="Z14" i="88"/>
  <c r="X15" i="92"/>
  <c r="Z15" i="92" s="1"/>
  <c r="X85" i="86"/>
  <c r="P84" i="86"/>
  <c r="X84" i="86" s="1"/>
  <c r="J47" i="87"/>
  <c r="J37" i="87"/>
  <c r="J31" i="87"/>
  <c r="J27" i="87"/>
  <c r="J48" i="87"/>
  <c r="J49" i="87"/>
  <c r="J39" i="87"/>
  <c r="J33" i="87"/>
  <c r="J23" i="87"/>
  <c r="J40" i="87"/>
  <c r="J28" i="87"/>
  <c r="J24" i="87"/>
  <c r="J22" i="87"/>
  <c r="J20" i="87"/>
  <c r="J53" i="87"/>
  <c r="J51" i="87"/>
  <c r="J41" i="87"/>
  <c r="H20" i="87"/>
  <c r="J42" i="87"/>
  <c r="J34" i="87"/>
  <c r="J55" i="87"/>
  <c r="J43" i="87"/>
  <c r="J44" i="87"/>
  <c r="J60" i="87"/>
  <c r="J57" i="87"/>
  <c r="J45" i="87"/>
  <c r="J35" i="87"/>
  <c r="J17" i="87"/>
  <c r="F46" i="88"/>
  <c r="F44" i="88"/>
  <c r="F31" i="88"/>
  <c r="F53" i="88"/>
  <c r="F50" i="88"/>
  <c r="F35" i="88"/>
  <c r="F34" i="88"/>
  <c r="F41" i="88"/>
  <c r="F40" i="88"/>
  <c r="F15" i="88"/>
  <c r="F14" i="88"/>
  <c r="F38" i="88"/>
  <c r="F30" i="88"/>
  <c r="F29" i="88"/>
  <c r="F25" i="88"/>
  <c r="F21" i="88"/>
  <c r="F20" i="88"/>
  <c r="F48" i="88"/>
  <c r="F19" i="88"/>
  <c r="F17" i="88"/>
  <c r="F43" i="88"/>
  <c r="F39" i="88"/>
  <c r="D17" i="88"/>
  <c r="F26" i="88"/>
  <c r="F22" i="88"/>
  <c r="F32" i="88"/>
  <c r="L12" i="88"/>
  <c r="F36" i="88"/>
  <c r="F27" i="88"/>
  <c r="F23" i="88"/>
  <c r="F33" i="88"/>
  <c r="N12" i="87"/>
  <c r="F17" i="87"/>
  <c r="D20" i="87"/>
  <c r="X56" i="86"/>
  <c r="Z56" i="86" s="1"/>
  <c r="V43" i="87"/>
  <c r="V42" i="87"/>
  <c r="V55" i="87"/>
  <c r="V45" i="87"/>
  <c r="V29" i="87"/>
  <c r="V25" i="87"/>
  <c r="V44" i="87"/>
  <c r="V16" i="87"/>
  <c r="V35" i="87"/>
  <c r="V46" i="87"/>
  <c r="V30" i="87"/>
  <c r="V26" i="87"/>
  <c r="V37" i="87"/>
  <c r="V48" i="87"/>
  <c r="V36" i="87"/>
  <c r="V32" i="87"/>
  <c r="V47" i="87"/>
  <c r="V39" i="87"/>
  <c r="V31" i="87"/>
  <c r="V27" i="87"/>
  <c r="V23" i="87"/>
  <c r="V51" i="87"/>
  <c r="V49" i="87"/>
  <c r="V41" i="87"/>
  <c r="V33" i="87"/>
  <c r="T20" i="87"/>
  <c r="R83" i="90"/>
  <c r="R81" i="90"/>
  <c r="R78" i="90"/>
  <c r="R67" i="90"/>
  <c r="R66" i="90"/>
  <c r="R85" i="90"/>
  <c r="R90" i="90"/>
  <c r="R87" i="90"/>
  <c r="R64" i="90"/>
  <c r="R75" i="90"/>
  <c r="R74" i="90"/>
  <c r="R70" i="90"/>
  <c r="R51" i="90"/>
  <c r="R50" i="90"/>
  <c r="R41" i="90"/>
  <c r="R37" i="90"/>
  <c r="R73" i="90"/>
  <c r="R60" i="90"/>
  <c r="R53" i="90"/>
  <c r="R52" i="90"/>
  <c r="R32" i="90"/>
  <c r="R28" i="90"/>
  <c r="R76" i="90"/>
  <c r="R68" i="90"/>
  <c r="R65" i="90"/>
  <c r="R61" i="90"/>
  <c r="R55" i="90"/>
  <c r="R54" i="90"/>
  <c r="R43" i="90"/>
  <c r="R42" i="90"/>
  <c r="R38" i="90"/>
  <c r="R19" i="90"/>
  <c r="R77" i="90"/>
  <c r="R71" i="90"/>
  <c r="R33" i="90"/>
  <c r="R29" i="90"/>
  <c r="R62" i="90"/>
  <c r="R57" i="90"/>
  <c r="R56" i="90"/>
  <c r="R45" i="90"/>
  <c r="R44" i="90"/>
  <c r="R20" i="90"/>
  <c r="R80" i="90"/>
  <c r="R69" i="90"/>
  <c r="R39" i="90"/>
  <c r="R72" i="90"/>
  <c r="R49" i="90"/>
  <c r="R48" i="90"/>
  <c r="R40" i="90"/>
  <c r="R25" i="90"/>
  <c r="R23" i="90"/>
  <c r="R58" i="90"/>
  <c r="R47" i="90"/>
  <c r="R35" i="90"/>
  <c r="R26" i="90"/>
  <c r="P23" i="90"/>
  <c r="R30" i="90"/>
  <c r="R34" i="90"/>
  <c r="R36" i="90"/>
  <c r="R21" i="90"/>
  <c r="R63" i="90"/>
  <c r="R59" i="90"/>
  <c r="R46" i="90"/>
  <c r="R27" i="90"/>
  <c r="R31" i="90"/>
  <c r="X54" i="86"/>
  <c r="Z54" i="86" s="1"/>
  <c r="J25" i="87"/>
  <c r="J29" i="87"/>
  <c r="L45" i="87"/>
  <c r="Z29" i="88"/>
  <c r="Z50" i="86"/>
  <c r="X70" i="86"/>
  <c r="Z70" i="86" s="1"/>
  <c r="F36" i="87"/>
  <c r="L12" i="87"/>
  <c r="F47" i="87"/>
  <c r="F38" i="87"/>
  <c r="F37" i="87"/>
  <c r="F18" i="87"/>
  <c r="F49" i="87"/>
  <c r="F48" i="87"/>
  <c r="F33" i="87"/>
  <c r="F32" i="87"/>
  <c r="F40" i="87"/>
  <c r="F39" i="87"/>
  <c r="F28" i="87"/>
  <c r="F24" i="87"/>
  <c r="F23" i="87"/>
  <c r="F22" i="87"/>
  <c r="F20" i="87"/>
  <c r="F51" i="87"/>
  <c r="F42" i="87"/>
  <c r="F41" i="87"/>
  <c r="F34" i="87"/>
  <c r="F55" i="87"/>
  <c r="F29" i="87"/>
  <c r="F25" i="87"/>
  <c r="F44" i="87"/>
  <c r="F43" i="87"/>
  <c r="F46" i="87"/>
  <c r="F45" i="87"/>
  <c r="F30" i="87"/>
  <c r="F26" i="87"/>
  <c r="V17" i="87"/>
  <c r="V20" i="87"/>
  <c r="F35" i="87"/>
  <c r="F28" i="88"/>
  <c r="X26" i="90"/>
  <c r="Z26" i="90" s="1"/>
  <c r="Z67" i="86"/>
  <c r="X23" i="87"/>
  <c r="Z23" i="87" s="1"/>
  <c r="L37" i="87"/>
  <c r="R21" i="88"/>
  <c r="J24" i="88"/>
  <c r="R25" i="88"/>
  <c r="J28" i="88"/>
  <c r="Z12" i="89"/>
  <c r="L26" i="89"/>
  <c r="R70" i="89"/>
  <c r="N55" i="90"/>
  <c r="N30" i="91"/>
  <c r="L30" i="91"/>
  <c r="T12" i="92"/>
  <c r="Z60" i="89"/>
  <c r="J48" i="88"/>
  <c r="J32" i="88"/>
  <c r="J36" i="88"/>
  <c r="J46" i="88"/>
  <c r="J44" i="88"/>
  <c r="T17" i="88"/>
  <c r="R20" i="88"/>
  <c r="V30" i="88"/>
  <c r="V34" i="88"/>
  <c r="R38" i="88"/>
  <c r="R41" i="88"/>
  <c r="R28" i="89"/>
  <c r="Z15" i="90"/>
  <c r="Z17" i="90"/>
  <c r="Z53" i="90"/>
  <c r="F87" i="90"/>
  <c r="Z28" i="91"/>
  <c r="N56" i="92"/>
  <c r="L56" i="92"/>
  <c r="L34" i="94"/>
  <c r="N34" i="94" s="1"/>
  <c r="F34" i="94"/>
  <c r="V15" i="88"/>
  <c r="V17" i="88"/>
  <c r="V19" i="88"/>
  <c r="J23" i="88"/>
  <c r="R24" i="88"/>
  <c r="J27" i="88"/>
  <c r="R28" i="88"/>
  <c r="R29" i="88"/>
  <c r="Z38" i="88"/>
  <c r="J40" i="88"/>
  <c r="J50" i="88"/>
  <c r="V53" i="88"/>
  <c r="R17" i="89"/>
  <c r="P20" i="89"/>
  <c r="V28" i="89"/>
  <c r="X36" i="89"/>
  <c r="Z36" i="89" s="1"/>
  <c r="R45" i="89"/>
  <c r="N51" i="89"/>
  <c r="L51" i="89"/>
  <c r="H12" i="90"/>
  <c r="N14" i="90"/>
  <c r="L19" i="90"/>
  <c r="Z25" i="90"/>
  <c r="V33" i="88"/>
  <c r="V37" i="88"/>
  <c r="T63" i="89"/>
  <c r="X26" i="89"/>
  <c r="Z26" i="89" s="1"/>
  <c r="R47" i="89"/>
  <c r="X80" i="90"/>
  <c r="R36" i="88"/>
  <c r="R35" i="88"/>
  <c r="R40" i="88"/>
  <c r="R39" i="88"/>
  <c r="R53" i="88"/>
  <c r="R50" i="88"/>
  <c r="R34" i="88"/>
  <c r="R33" i="88"/>
  <c r="X13" i="89"/>
  <c r="Z13" i="89" s="1"/>
  <c r="R34" i="89"/>
  <c r="R53" i="89"/>
  <c r="P60" i="89"/>
  <c r="X60" i="89" s="1"/>
  <c r="T12" i="90"/>
  <c r="X12" i="90" s="1"/>
  <c r="F54" i="90"/>
  <c r="N50" i="92"/>
  <c r="V38" i="88"/>
  <c r="V46" i="88"/>
  <c r="V44" i="88"/>
  <c r="V43" i="88"/>
  <c r="V41" i="88"/>
  <c r="V36" i="88"/>
  <c r="V14" i="88"/>
  <c r="J22" i="88"/>
  <c r="R23" i="88"/>
  <c r="J26" i="88"/>
  <c r="R27" i="88"/>
  <c r="X29" i="88"/>
  <c r="J31" i="88"/>
  <c r="J35" i="88"/>
  <c r="V48" i="89"/>
  <c r="V40" i="89"/>
  <c r="V24" i="89"/>
  <c r="V55" i="89"/>
  <c r="V51" i="89"/>
  <c r="V39" i="89"/>
  <c r="V50" i="89"/>
  <c r="V42" i="89"/>
  <c r="V30" i="89"/>
  <c r="V26" i="89"/>
  <c r="V57" i="89"/>
  <c r="V41" i="89"/>
  <c r="V56" i="89"/>
  <c r="V52" i="89"/>
  <c r="V44" i="89"/>
  <c r="V32" i="89"/>
  <c r="V16" i="89"/>
  <c r="V63" i="89"/>
  <c r="V61" i="89"/>
  <c r="V43" i="89"/>
  <c r="V31" i="89"/>
  <c r="V27" i="89"/>
  <c r="V60" i="89"/>
  <c r="V58" i="89"/>
  <c r="V34" i="89"/>
  <c r="V53" i="89"/>
  <c r="V45" i="89"/>
  <c r="V33" i="89"/>
  <c r="V54" i="89"/>
  <c r="V46" i="89"/>
  <c r="V38" i="89"/>
  <c r="V22" i="89"/>
  <c r="V20" i="89"/>
  <c r="V18" i="89"/>
  <c r="Z34" i="89"/>
  <c r="V47" i="89"/>
  <c r="V49" i="89"/>
  <c r="R60" i="89"/>
  <c r="Z14" i="91"/>
  <c r="T16" i="91"/>
  <c r="N17" i="95"/>
  <c r="L13" i="87"/>
  <c r="X12" i="88"/>
  <c r="V23" i="88"/>
  <c r="V27" i="88"/>
  <c r="R32" i="88"/>
  <c r="J39" i="88"/>
  <c r="Z40" i="88"/>
  <c r="J43" i="88"/>
  <c r="R44" i="88"/>
  <c r="V50" i="88"/>
  <c r="Z40" i="89"/>
  <c r="V65" i="89"/>
  <c r="F31" i="91"/>
  <c r="F30" i="91"/>
  <c r="F18" i="91"/>
  <c r="F16" i="91"/>
  <c r="F14" i="91"/>
  <c r="F42" i="91"/>
  <c r="F41" i="91"/>
  <c r="F33" i="91"/>
  <c r="F32" i="91"/>
  <c r="F25" i="91"/>
  <c r="F21" i="91"/>
  <c r="F46" i="91"/>
  <c r="F44" i="91"/>
  <c r="F35" i="91"/>
  <c r="F34" i="91"/>
  <c r="F48" i="91"/>
  <c r="F36" i="91"/>
  <c r="L12" i="91"/>
  <c r="F53" i="91"/>
  <c r="F50" i="91"/>
  <c r="F27" i="91"/>
  <c r="F23" i="91"/>
  <c r="F24" i="91"/>
  <c r="F39" i="91"/>
  <c r="F37" i="91"/>
  <c r="F29" i="91"/>
  <c r="F40" i="91"/>
  <c r="F19" i="91"/>
  <c r="D16" i="91"/>
  <c r="N24" i="93"/>
  <c r="L24" i="93"/>
  <c r="Z12" i="88"/>
  <c r="H17" i="88"/>
  <c r="Z32" i="88"/>
  <c r="V40" i="88"/>
  <c r="H12" i="89"/>
  <c r="L12" i="89" s="1"/>
  <c r="X43" i="88"/>
  <c r="Z43" i="88" s="1"/>
  <c r="V22" i="88"/>
  <c r="V26" i="88"/>
  <c r="J30" i="88"/>
  <c r="V31" i="88"/>
  <c r="J34" i="88"/>
  <c r="N38" i="88"/>
  <c r="R43" i="88"/>
  <c r="R48" i="88"/>
  <c r="R38" i="89"/>
  <c r="R37" i="89"/>
  <c r="R29" i="89"/>
  <c r="R22" i="89"/>
  <c r="R20" i="89"/>
  <c r="R49" i="89"/>
  <c r="R48" i="89"/>
  <c r="R24" i="89"/>
  <c r="R55" i="89"/>
  <c r="R40" i="89"/>
  <c r="R39" i="89"/>
  <c r="R51" i="89"/>
  <c r="R50" i="89"/>
  <c r="R30" i="89"/>
  <c r="R42" i="89"/>
  <c r="R41" i="89"/>
  <c r="R26" i="89"/>
  <c r="R25" i="89"/>
  <c r="R57" i="89"/>
  <c r="R56" i="89"/>
  <c r="R52" i="89"/>
  <c r="R44" i="89"/>
  <c r="R43" i="89"/>
  <c r="R32" i="89"/>
  <c r="R31" i="89"/>
  <c r="R27" i="89"/>
  <c r="R16" i="89"/>
  <c r="R63" i="89"/>
  <c r="R61" i="89"/>
  <c r="R58" i="89"/>
  <c r="R65" i="89"/>
  <c r="R36" i="89"/>
  <c r="R35" i="89"/>
  <c r="R18" i="89"/>
  <c r="R33" i="89"/>
  <c r="V35" i="89"/>
  <c r="R54" i="89"/>
  <c r="F74" i="90"/>
  <c r="F70" i="90"/>
  <c r="F71" i="90"/>
  <c r="F78" i="90"/>
  <c r="F77" i="90"/>
  <c r="F83" i="90"/>
  <c r="F81" i="90"/>
  <c r="F72" i="90"/>
  <c r="F68" i="90"/>
  <c r="F67" i="90"/>
  <c r="F85" i="90"/>
  <c r="F80" i="90"/>
  <c r="F62" i="90"/>
  <c r="F66" i="90"/>
  <c r="F63" i="90"/>
  <c r="F58" i="90"/>
  <c r="F57" i="90"/>
  <c r="F46" i="90"/>
  <c r="F45" i="90"/>
  <c r="F34" i="90"/>
  <c r="F30" i="90"/>
  <c r="F21" i="90"/>
  <c r="F64" i="90"/>
  <c r="F48" i="90"/>
  <c r="F47" i="90"/>
  <c r="F40" i="90"/>
  <c r="L12" i="90"/>
  <c r="F90" i="90"/>
  <c r="F75" i="90"/>
  <c r="F59" i="90"/>
  <c r="F35" i="90"/>
  <c r="F31" i="90"/>
  <c r="F27" i="90"/>
  <c r="F26" i="90"/>
  <c r="F50" i="90"/>
  <c r="F49" i="90"/>
  <c r="F25" i="90"/>
  <c r="F23" i="90"/>
  <c r="F73" i="90"/>
  <c r="F41" i="90"/>
  <c r="F37" i="90"/>
  <c r="F36" i="90"/>
  <c r="D23" i="90"/>
  <c r="F65" i="90"/>
  <c r="F60" i="90"/>
  <c r="F52" i="90"/>
  <c r="F51" i="90"/>
  <c r="F32" i="90"/>
  <c r="F28" i="90"/>
  <c r="F76" i="90"/>
  <c r="F69" i="90"/>
  <c r="F56" i="90"/>
  <c r="F55" i="90"/>
  <c r="F44" i="90"/>
  <c r="F43" i="90"/>
  <c r="F20" i="90"/>
  <c r="F19" i="90"/>
  <c r="F42" i="90"/>
  <c r="Z49" i="90"/>
  <c r="F53" i="90"/>
  <c r="Z44" i="92"/>
  <c r="Z67" i="90"/>
  <c r="Z75" i="90"/>
  <c r="T80" i="90"/>
  <c r="Z81" i="90"/>
  <c r="X14" i="91"/>
  <c r="Z18" i="91"/>
  <c r="N28" i="91"/>
  <c r="L44" i="92"/>
  <c r="H16" i="91"/>
  <c r="X77" i="90"/>
  <c r="N19" i="91"/>
  <c r="N34" i="91"/>
  <c r="Z50" i="92"/>
  <c r="J92" i="94"/>
  <c r="J80" i="94"/>
  <c r="J81" i="94"/>
  <c r="J83" i="94"/>
  <c r="J84" i="94"/>
  <c r="J66" i="94"/>
  <c r="J85" i="94"/>
  <c r="J77" i="94"/>
  <c r="J73" i="94"/>
  <c r="J61" i="94"/>
  <c r="J67" i="94"/>
  <c r="J88" i="94"/>
  <c r="J70" i="94"/>
  <c r="J64" i="94"/>
  <c r="J54" i="94"/>
  <c r="J42" i="94"/>
  <c r="J18" i="94"/>
  <c r="J76" i="94"/>
  <c r="J69" i="94"/>
  <c r="J65" i="94"/>
  <c r="J62" i="94"/>
  <c r="J55" i="94"/>
  <c r="J43" i="94"/>
  <c r="J37" i="94"/>
  <c r="J74" i="94"/>
  <c r="J56" i="94"/>
  <c r="J44" i="94"/>
  <c r="J32" i="94"/>
  <c r="J28" i="94"/>
  <c r="J63" i="94"/>
  <c r="J57" i="94"/>
  <c r="J45" i="94"/>
  <c r="J19" i="94"/>
  <c r="J86" i="94"/>
  <c r="J72" i="94"/>
  <c r="J58" i="94"/>
  <c r="J46" i="94"/>
  <c r="J38" i="94"/>
  <c r="J24" i="94"/>
  <c r="J79" i="94"/>
  <c r="J59" i="94"/>
  <c r="J47" i="94"/>
  <c r="J33" i="94"/>
  <c r="J29" i="94"/>
  <c r="J25" i="94"/>
  <c r="J23" i="94"/>
  <c r="J21" i="94"/>
  <c r="J82" i="94"/>
  <c r="J68" i="94"/>
  <c r="J60" i="94"/>
  <c r="J48" i="94"/>
  <c r="J34" i="94"/>
  <c r="H21" i="94"/>
  <c r="J49" i="94"/>
  <c r="J39" i="94"/>
  <c r="J35" i="94"/>
  <c r="J71" i="94"/>
  <c r="J52" i="94"/>
  <c r="J40" i="94"/>
  <c r="J36" i="94"/>
  <c r="J31" i="94"/>
  <c r="J27" i="94"/>
  <c r="J75" i="94"/>
  <c r="J53" i="94"/>
  <c r="J50" i="94"/>
  <c r="J41" i="94"/>
  <c r="J30" i="94"/>
  <c r="J26" i="94"/>
  <c r="J51" i="94"/>
  <c r="J78" i="94"/>
  <c r="R35" i="91"/>
  <c r="R48" i="91"/>
  <c r="R26" i="91"/>
  <c r="R22" i="91"/>
  <c r="R53" i="91"/>
  <c r="R50" i="91"/>
  <c r="R37" i="91"/>
  <c r="R36" i="91"/>
  <c r="X12" i="91"/>
  <c r="R28" i="91"/>
  <c r="R27" i="91"/>
  <c r="R23" i="91"/>
  <c r="R39" i="91"/>
  <c r="R38" i="91"/>
  <c r="R30" i="91"/>
  <c r="R29" i="91"/>
  <c r="R18" i="91"/>
  <c r="R16" i="91"/>
  <c r="R14" i="91"/>
  <c r="R41" i="91"/>
  <c r="R40" i="91"/>
  <c r="R24" i="91"/>
  <c r="R20" i="91"/>
  <c r="P16" i="91"/>
  <c r="R32" i="91"/>
  <c r="R31" i="91"/>
  <c r="Z30" i="91"/>
  <c r="R46" i="91"/>
  <c r="P12" i="92"/>
  <c r="X14" i="92"/>
  <c r="Z14" i="92" s="1"/>
  <c r="L64" i="92"/>
  <c r="N64" i="92" s="1"/>
  <c r="L12" i="94"/>
  <c r="N12" i="94" s="1"/>
  <c r="Z77" i="90"/>
  <c r="R84" i="94"/>
  <c r="R83" i="94"/>
  <c r="R68" i="94"/>
  <c r="R67" i="94"/>
  <c r="R86" i="94"/>
  <c r="R78" i="94"/>
  <c r="R74" i="94"/>
  <c r="R63" i="94"/>
  <c r="R62" i="94"/>
  <c r="R88" i="94"/>
  <c r="R70" i="94"/>
  <c r="R69" i="94"/>
  <c r="R64" i="94"/>
  <c r="R82" i="94"/>
  <c r="R81" i="94"/>
  <c r="R65" i="94"/>
  <c r="R24" i="94"/>
  <c r="R19" i="94"/>
  <c r="R72" i="94"/>
  <c r="R59" i="94"/>
  <c r="R58" i="94"/>
  <c r="R47" i="94"/>
  <c r="R46" i="94"/>
  <c r="R38" i="94"/>
  <c r="R23" i="94"/>
  <c r="R21" i="94"/>
  <c r="R79" i="94"/>
  <c r="R34" i="94"/>
  <c r="R33" i="94"/>
  <c r="R29" i="94"/>
  <c r="R25" i="94"/>
  <c r="P21" i="94"/>
  <c r="R60" i="94"/>
  <c r="R49" i="94"/>
  <c r="R48" i="94"/>
  <c r="R77" i="94"/>
  <c r="R66" i="94"/>
  <c r="R39" i="94"/>
  <c r="R35" i="94"/>
  <c r="R80" i="94"/>
  <c r="R75" i="94"/>
  <c r="R51" i="94"/>
  <c r="R50" i="94"/>
  <c r="R30" i="94"/>
  <c r="R26" i="94"/>
  <c r="R73" i="94"/>
  <c r="R71" i="94"/>
  <c r="R61" i="94"/>
  <c r="R53" i="94"/>
  <c r="R52" i="94"/>
  <c r="R41" i="94"/>
  <c r="R40" i="94"/>
  <c r="R36" i="94"/>
  <c r="R17" i="94"/>
  <c r="R76" i="94"/>
  <c r="R37" i="94"/>
  <c r="R92" i="94"/>
  <c r="R54" i="94"/>
  <c r="R45" i="94"/>
  <c r="R57" i="94"/>
  <c r="R43" i="94"/>
  <c r="R55" i="94"/>
  <c r="R18" i="94"/>
  <c r="R85" i="94"/>
  <c r="R32" i="94"/>
  <c r="R28" i="94"/>
  <c r="R44" i="94"/>
  <c r="L39" i="91"/>
  <c r="Z64" i="92"/>
  <c r="R42" i="94"/>
  <c r="L16" i="90"/>
  <c r="L81" i="90"/>
  <c r="N18" i="91"/>
  <c r="Z34" i="91"/>
  <c r="D12" i="92"/>
  <c r="L13" i="92"/>
  <c r="Z60" i="92"/>
  <c r="N68" i="95"/>
  <c r="L68" i="95"/>
  <c r="L36" i="89"/>
  <c r="X42" i="89"/>
  <c r="Z42" i="89" s="1"/>
  <c r="X13" i="90"/>
  <c r="X19" i="90"/>
  <c r="Z19" i="90" s="1"/>
  <c r="L25" i="90"/>
  <c r="N25" i="90" s="1"/>
  <c r="X43" i="90"/>
  <c r="Z43" i="90" s="1"/>
  <c r="L67" i="90"/>
  <c r="H12" i="92"/>
  <c r="N13" i="92"/>
  <c r="L18" i="92"/>
  <c r="N18" i="92" s="1"/>
  <c r="Z24" i="92"/>
  <c r="Z35" i="92"/>
  <c r="L42" i="92"/>
  <c r="N81" i="90"/>
  <c r="D80" i="90"/>
  <c r="L80" i="90" s="1"/>
  <c r="J28" i="91"/>
  <c r="V34" i="91"/>
  <c r="J38" i="91"/>
  <c r="V42" i="91"/>
  <c r="V44" i="91"/>
  <c r="V46" i="91"/>
  <c r="H12" i="93"/>
  <c r="N13" i="93"/>
  <c r="L13" i="93"/>
  <c r="T12" i="94"/>
  <c r="D12" i="95"/>
  <c r="L14" i="95"/>
  <c r="N14" i="95" s="1"/>
  <c r="J23" i="91"/>
  <c r="J27" i="91"/>
  <c r="V31" i="91"/>
  <c r="J37" i="91"/>
  <c r="L81" i="92"/>
  <c r="P12" i="93"/>
  <c r="X15" i="93"/>
  <c r="Z15" i="93" s="1"/>
  <c r="V18" i="93"/>
  <c r="Z17" i="94"/>
  <c r="R65" i="95"/>
  <c r="R37" i="95"/>
  <c r="R77" i="95"/>
  <c r="R76" i="95"/>
  <c r="R57" i="95"/>
  <c r="R56" i="95"/>
  <c r="R45" i="95"/>
  <c r="R44" i="95"/>
  <c r="R32" i="95"/>
  <c r="R28" i="95"/>
  <c r="R71" i="95"/>
  <c r="R24" i="95"/>
  <c r="R19" i="95"/>
  <c r="R79" i="95"/>
  <c r="R78" i="95"/>
  <c r="R66" i="95"/>
  <c r="R59" i="95"/>
  <c r="R58" i="95"/>
  <c r="R47" i="95"/>
  <c r="R46" i="95"/>
  <c r="R38" i="95"/>
  <c r="R23" i="95"/>
  <c r="R21" i="95"/>
  <c r="R34" i="95"/>
  <c r="R33" i="95"/>
  <c r="R29" i="95"/>
  <c r="R25" i="95"/>
  <c r="P21" i="95"/>
  <c r="R80" i="95"/>
  <c r="R72" i="95"/>
  <c r="R61" i="95"/>
  <c r="R60" i="95"/>
  <c r="R49" i="95"/>
  <c r="R48" i="95"/>
  <c r="R84" i="95"/>
  <c r="R82" i="95"/>
  <c r="R68" i="95"/>
  <c r="R67" i="95"/>
  <c r="R39" i="95"/>
  <c r="R35" i="95"/>
  <c r="R62" i="95"/>
  <c r="R51" i="95"/>
  <c r="R50" i="95"/>
  <c r="R30" i="95"/>
  <c r="R26" i="95"/>
  <c r="R91" i="95"/>
  <c r="R88" i="95"/>
  <c r="R64" i="95"/>
  <c r="R63" i="95"/>
  <c r="R31" i="95"/>
  <c r="R27" i="95"/>
  <c r="R69" i="95"/>
  <c r="R55" i="95"/>
  <c r="R18" i="95"/>
  <c r="R75" i="95"/>
  <c r="R73" i="95"/>
  <c r="R53" i="95"/>
  <c r="R86" i="95"/>
  <c r="R42" i="95"/>
  <c r="R17" i="95"/>
  <c r="R70" i="95"/>
  <c r="R36" i="95"/>
  <c r="R74" i="95"/>
  <c r="R54" i="95"/>
  <c r="R43" i="95"/>
  <c r="H12" i="95"/>
  <c r="T36" i="96"/>
  <c r="Z16" i="96"/>
  <c r="V20" i="91"/>
  <c r="V24" i="91"/>
  <c r="V32" i="91"/>
  <c r="J36" i="91"/>
  <c r="V40" i="91"/>
  <c r="J50" i="91"/>
  <c r="J53" i="91"/>
  <c r="Z13" i="93"/>
  <c r="L23" i="93"/>
  <c r="N23" i="93" s="1"/>
  <c r="D90" i="94"/>
  <c r="L21" i="94"/>
  <c r="V14" i="91"/>
  <c r="V16" i="91"/>
  <c r="V18" i="91"/>
  <c r="V30" i="91"/>
  <c r="V38" i="91"/>
  <c r="J48" i="91"/>
  <c r="X13" i="92"/>
  <c r="Z13" i="92" s="1"/>
  <c r="Z32" i="93"/>
  <c r="N40" i="93"/>
  <c r="L40" i="93"/>
  <c r="X24" i="94"/>
  <c r="Z24" i="94" s="1"/>
  <c r="V19" i="91"/>
  <c r="V23" i="91"/>
  <c r="V27" i="91"/>
  <c r="X30" i="91"/>
  <c r="J35" i="91"/>
  <c r="V39" i="91"/>
  <c r="V28" i="93"/>
  <c r="L15" i="94"/>
  <c r="Z41" i="94"/>
  <c r="Z53" i="94"/>
  <c r="N59" i="94"/>
  <c r="V36" i="91"/>
  <c r="J44" i="91"/>
  <c r="J46" i="91"/>
  <c r="Z81" i="92"/>
  <c r="L14" i="93"/>
  <c r="X17" i="93"/>
  <c r="Z17" i="93" s="1"/>
  <c r="Z34" i="93"/>
  <c r="X34" i="93"/>
  <c r="Z36" i="93"/>
  <c r="V38" i="93"/>
  <c r="V46" i="93"/>
  <c r="X13" i="94"/>
  <c r="Z13" i="94" s="1"/>
  <c r="N23" i="94"/>
  <c r="Z55" i="95"/>
  <c r="Z18" i="96"/>
  <c r="X66" i="97"/>
  <c r="V37" i="91"/>
  <c r="V36" i="93"/>
  <c r="N49" i="94"/>
  <c r="L49" i="94"/>
  <c r="X55" i="94"/>
  <c r="Z55" i="94" s="1"/>
  <c r="V22" i="91"/>
  <c r="V26" i="91"/>
  <c r="J32" i="91"/>
  <c r="V48" i="91"/>
  <c r="V50" i="91"/>
  <c r="V45" i="93"/>
  <c r="V37" i="93"/>
  <c r="V29" i="93"/>
  <c r="V40" i="93"/>
  <c r="V24" i="93"/>
  <c r="V49" i="93"/>
  <c r="V47" i="93"/>
  <c r="V39" i="93"/>
  <c r="V23" i="93"/>
  <c r="V21" i="93"/>
  <c r="V19" i="93"/>
  <c r="V42" i="93"/>
  <c r="V30" i="93"/>
  <c r="T21" i="93"/>
  <c r="V41" i="93"/>
  <c r="V25" i="93"/>
  <c r="V32" i="93"/>
  <c r="V53" i="93"/>
  <c r="V43" i="93"/>
  <c r="V31" i="93"/>
  <c r="V34" i="93"/>
  <c r="V26" i="93"/>
  <c r="V35" i="93"/>
  <c r="V27" i="93"/>
  <c r="V17" i="93"/>
  <c r="Z43" i="94"/>
  <c r="X43" i="94"/>
  <c r="F21" i="93"/>
  <c r="F23" i="93"/>
  <c r="F49" i="93"/>
  <c r="F51" i="93"/>
  <c r="F61" i="94"/>
  <c r="L17" i="95"/>
  <c r="Z41" i="95"/>
  <c r="X41" i="95"/>
  <c r="F19" i="93"/>
  <c r="F38" i="93"/>
  <c r="F39" i="93"/>
  <c r="F46" i="93"/>
  <c r="F47" i="93"/>
  <c r="F21" i="94"/>
  <c r="F23" i="94"/>
  <c r="F47" i="94"/>
  <c r="F48" i="94"/>
  <c r="F59" i="94"/>
  <c r="F60" i="94"/>
  <c r="F64" i="94"/>
  <c r="X17" i="95"/>
  <c r="Z17" i="95" s="1"/>
  <c r="X14" i="96"/>
  <c r="F24" i="94"/>
  <c r="F25" i="94"/>
  <c r="F29" i="94"/>
  <c r="F33" i="94"/>
  <c r="L34" i="95"/>
  <c r="Z14" i="96"/>
  <c r="F28" i="93"/>
  <c r="F29" i="93"/>
  <c r="F36" i="93"/>
  <c r="F37" i="93"/>
  <c r="F45" i="93"/>
  <c r="L14" i="94"/>
  <c r="F38" i="94"/>
  <c r="F45" i="94"/>
  <c r="F46" i="94"/>
  <c r="F57" i="94"/>
  <c r="F58" i="94"/>
  <c r="F63" i="94"/>
  <c r="F86" i="94"/>
  <c r="N34" i="95"/>
  <c r="F17" i="93"/>
  <c r="F18" i="93"/>
  <c r="N14" i="94"/>
  <c r="F19" i="94"/>
  <c r="N63" i="94"/>
  <c r="Z82" i="94"/>
  <c r="Z64" i="95"/>
  <c r="L79" i="95"/>
  <c r="Z15" i="97"/>
  <c r="X15" i="97"/>
  <c r="F27" i="93"/>
  <c r="F34" i="93"/>
  <c r="F35" i="93"/>
  <c r="F28" i="94"/>
  <c r="F32" i="94"/>
  <c r="F43" i="94"/>
  <c r="F44" i="94"/>
  <c r="F55" i="94"/>
  <c r="F56" i="94"/>
  <c r="F74" i="94"/>
  <c r="Z24" i="95"/>
  <c r="Z51" i="95"/>
  <c r="N59" i="95"/>
  <c r="R33" i="96"/>
  <c r="R38" i="96"/>
  <c r="R29" i="96"/>
  <c r="R18" i="96"/>
  <c r="R16" i="96"/>
  <c r="R14" i="96"/>
  <c r="R32" i="96"/>
  <c r="R31" i="96"/>
  <c r="R24" i="96"/>
  <c r="R20" i="96"/>
  <c r="P16" i="96"/>
  <c r="R34" i="96"/>
  <c r="R40" i="96"/>
  <c r="R25" i="96"/>
  <c r="R21" i="96"/>
  <c r="R36" i="96"/>
  <c r="R27" i="96"/>
  <c r="R26" i="96"/>
  <c r="R22" i="96"/>
  <c r="R23" i="96"/>
  <c r="R19" i="96"/>
  <c r="D69" i="97"/>
  <c r="F44" i="93"/>
  <c r="F55" i="93"/>
  <c r="F58" i="93"/>
  <c r="F37" i="94"/>
  <c r="F62" i="94"/>
  <c r="F65" i="94"/>
  <c r="L23" i="95"/>
  <c r="Z19" i="96"/>
  <c r="X13" i="93"/>
  <c r="F32" i="93"/>
  <c r="F33" i="93"/>
  <c r="F90" i="94"/>
  <c r="F88" i="94"/>
  <c r="F79" i="94"/>
  <c r="F75" i="94"/>
  <c r="F71" i="94"/>
  <c r="F70" i="94"/>
  <c r="F92" i="94"/>
  <c r="F76" i="94"/>
  <c r="F72" i="94"/>
  <c r="F83" i="94"/>
  <c r="F82" i="94"/>
  <c r="F66" i="94"/>
  <c r="F85" i="94"/>
  <c r="F84" i="94"/>
  <c r="F77" i="94"/>
  <c r="F73" i="94"/>
  <c r="F69" i="94"/>
  <c r="F68" i="94"/>
  <c r="X14" i="94"/>
  <c r="Z14" i="94" s="1"/>
  <c r="F17" i="94"/>
  <c r="F18" i="94"/>
  <c r="F41" i="94"/>
  <c r="F42" i="94"/>
  <c r="F53" i="94"/>
  <c r="F54" i="94"/>
  <c r="F67" i="94"/>
  <c r="N15" i="95"/>
  <c r="L47" i="95"/>
  <c r="N47" i="95" s="1"/>
  <c r="N13" i="97"/>
  <c r="H12" i="97"/>
  <c r="F27" i="94"/>
  <c r="F31" i="94"/>
  <c r="F78" i="94"/>
  <c r="N23" i="95"/>
  <c r="X53" i="95"/>
  <c r="Z53" i="95" s="1"/>
  <c r="Z75" i="95"/>
  <c r="T12" i="95"/>
  <c r="V14" i="96"/>
  <c r="V16" i="96"/>
  <c r="V18" i="96"/>
  <c r="J43" i="96"/>
  <c r="F67" i="97"/>
  <c r="F58" i="97"/>
  <c r="F57" i="97"/>
  <c r="F50" i="97"/>
  <c r="F49" i="97"/>
  <c r="F71" i="97"/>
  <c r="F66" i="97"/>
  <c r="F52" i="97"/>
  <c r="F51" i="97"/>
  <c r="F28" i="97"/>
  <c r="F24" i="97"/>
  <c r="F34" i="97"/>
  <c r="F60" i="97"/>
  <c r="F44" i="97"/>
  <c r="F19" i="97"/>
  <c r="F17" i="97"/>
  <c r="F15" i="97"/>
  <c r="F35" i="97"/>
  <c r="F31" i="97"/>
  <c r="F30" i="97"/>
  <c r="F62" i="97"/>
  <c r="F61" i="97"/>
  <c r="F54" i="97"/>
  <c r="F46" i="97"/>
  <c r="F45" i="97"/>
  <c r="F26" i="97"/>
  <c r="F22" i="97"/>
  <c r="F64" i="97"/>
  <c r="F63" i="97"/>
  <c r="F56" i="97"/>
  <c r="F55" i="97"/>
  <c r="F48" i="97"/>
  <c r="F47" i="97"/>
  <c r="F32" i="97"/>
  <c r="L12" i="97"/>
  <c r="F39" i="97"/>
  <c r="F38" i="97"/>
  <c r="F27" i="97"/>
  <c r="F23" i="97"/>
  <c r="V20" i="97"/>
  <c r="R31" i="97"/>
  <c r="F37" i="97"/>
  <c r="V40" i="97"/>
  <c r="D16" i="96"/>
  <c r="J21" i="96"/>
  <c r="J25" i="96"/>
  <c r="F31" i="96"/>
  <c r="L32" i="96"/>
  <c r="J34" i="96"/>
  <c r="F40" i="96"/>
  <c r="V43" i="96"/>
  <c r="R34" i="97"/>
  <c r="R19" i="97"/>
  <c r="R17" i="97"/>
  <c r="R15" i="97"/>
  <c r="R53" i="97"/>
  <c r="R61" i="97"/>
  <c r="R60" i="97"/>
  <c r="R45" i="97"/>
  <c r="R44" i="97"/>
  <c r="R63" i="97"/>
  <c r="R62" i="97"/>
  <c r="R55" i="97"/>
  <c r="R54" i="97"/>
  <c r="R47" i="97"/>
  <c r="R46" i="97"/>
  <c r="R26" i="97"/>
  <c r="R22" i="97"/>
  <c r="R67" i="97"/>
  <c r="R64" i="97"/>
  <c r="R57" i="97"/>
  <c r="R56" i="97"/>
  <c r="R49" i="97"/>
  <c r="R48" i="97"/>
  <c r="R32" i="97"/>
  <c r="X12" i="97"/>
  <c r="R66" i="97"/>
  <c r="R40" i="97"/>
  <c r="R39" i="97"/>
  <c r="R27" i="97"/>
  <c r="R23" i="97"/>
  <c r="R58" i="97"/>
  <c r="R51" i="97"/>
  <c r="R50" i="97"/>
  <c r="R71" i="97"/>
  <c r="R52" i="97"/>
  <c r="R28" i="97"/>
  <c r="R24" i="97"/>
  <c r="R59" i="97"/>
  <c r="R43" i="97"/>
  <c r="R20" i="97"/>
  <c r="F14" i="96"/>
  <c r="F16" i="96"/>
  <c r="F18" i="96"/>
  <c r="V22" i="96"/>
  <c r="V26" i="96"/>
  <c r="H31" i="96"/>
  <c r="F32" i="96"/>
  <c r="J40" i="96"/>
  <c r="V28" i="97"/>
  <c r="F36" i="97"/>
  <c r="F41" i="97"/>
  <c r="N61" i="97"/>
  <c r="H16" i="96"/>
  <c r="F19" i="96"/>
  <c r="F20" i="96"/>
  <c r="F24" i="96"/>
  <c r="V27" i="96"/>
  <c r="J31" i="96"/>
  <c r="V36" i="96"/>
  <c r="X13" i="97"/>
  <c r="Z13" i="97" s="1"/>
  <c r="P17" i="97"/>
  <c r="F20" i="97"/>
  <c r="R21" i="97"/>
  <c r="F59" i="97"/>
  <c r="Z63" i="97"/>
  <c r="J14" i="96"/>
  <c r="J16" i="96"/>
  <c r="J18" i="96"/>
  <c r="J20" i="96"/>
  <c r="J24" i="96"/>
  <c r="J32" i="96"/>
  <c r="X34" i="96"/>
  <c r="Z34" i="96" s="1"/>
  <c r="T17" i="97"/>
  <c r="V26" i="97"/>
  <c r="R30" i="97"/>
  <c r="N38" i="97"/>
  <c r="F43" i="97"/>
  <c r="L47" i="97"/>
  <c r="F53" i="97"/>
  <c r="N57" i="97"/>
  <c r="F38" i="96"/>
  <c r="F33" i="96"/>
  <c r="J19" i="96"/>
  <c r="V21" i="96"/>
  <c r="V25" i="96"/>
  <c r="J29" i="96"/>
  <c r="J38" i="96"/>
  <c r="F29" i="97"/>
  <c r="V32" i="97"/>
  <c r="F40" i="97"/>
  <c r="R41" i="97"/>
  <c r="N47" i="97"/>
  <c r="N49" i="97"/>
  <c r="X55" i="97"/>
  <c r="Z55" i="97" s="1"/>
  <c r="Z61" i="97"/>
  <c r="F23" i="96"/>
  <c r="Z33" i="96"/>
  <c r="V40" i="96"/>
  <c r="R36" i="97"/>
  <c r="X68" i="94"/>
  <c r="V33" i="96"/>
  <c r="V34" i="96"/>
  <c r="V61" i="97"/>
  <c r="V53" i="97"/>
  <c r="V45" i="97"/>
  <c r="V29" i="97"/>
  <c r="V25" i="97"/>
  <c r="V21" i="97"/>
  <c r="V60" i="97"/>
  <c r="V44" i="97"/>
  <c r="V63" i="97"/>
  <c r="V55" i="97"/>
  <c r="V47" i="97"/>
  <c r="V35" i="97"/>
  <c r="V31" i="97"/>
  <c r="V67" i="97"/>
  <c r="V57" i="97"/>
  <c r="V49" i="97"/>
  <c r="V37" i="97"/>
  <c r="V51" i="97"/>
  <c r="V39" i="97"/>
  <c r="V27" i="97"/>
  <c r="V23" i="97"/>
  <c r="V58" i="97"/>
  <c r="V50" i="97"/>
  <c r="V42" i="97"/>
  <c r="V71" i="97"/>
  <c r="V41" i="97"/>
  <c r="V33" i="97"/>
  <c r="V59" i="97"/>
  <c r="V43" i="97"/>
  <c r="V19" i="97"/>
  <c r="V17" i="97"/>
  <c r="V15" i="97"/>
  <c r="V34" i="97"/>
  <c r="V30" i="97"/>
  <c r="R29" i="97"/>
  <c r="R38" i="97"/>
  <c r="Z47" i="97"/>
  <c r="Z51" i="97"/>
  <c r="V64" i="97"/>
  <c r="V20" i="96"/>
  <c r="J28" i="96"/>
  <c r="Z12" i="97"/>
  <c r="V22" i="97"/>
  <c r="V36" i="97"/>
  <c r="Z49" i="97"/>
  <c r="Z67" i="97"/>
  <c r="T66" i="97"/>
  <c r="P128" i="77" l="1"/>
  <c r="D124" i="42"/>
  <c r="L28" i="42"/>
  <c r="H27" i="35"/>
  <c r="N18" i="35"/>
  <c r="Z66" i="97"/>
  <c r="V76" i="95"/>
  <c r="V56" i="95"/>
  <c r="V44" i="95"/>
  <c r="V32" i="95"/>
  <c r="V28" i="95"/>
  <c r="V24" i="95"/>
  <c r="V79" i="95"/>
  <c r="V71" i="95"/>
  <c r="V59" i="95"/>
  <c r="V47" i="95"/>
  <c r="V23" i="95"/>
  <c r="V19" i="95"/>
  <c r="V78" i="95"/>
  <c r="V66" i="95"/>
  <c r="V58" i="95"/>
  <c r="V46" i="95"/>
  <c r="V38" i="95"/>
  <c r="V34" i="95"/>
  <c r="T21" i="95"/>
  <c r="V21" i="95" s="1"/>
  <c r="V61" i="95"/>
  <c r="V49" i="95"/>
  <c r="V33" i="95"/>
  <c r="V29" i="95"/>
  <c r="V25" i="95"/>
  <c r="V82" i="95"/>
  <c r="V80" i="95"/>
  <c r="V72" i="95"/>
  <c r="V68" i="95"/>
  <c r="V60" i="95"/>
  <c r="V48" i="95"/>
  <c r="V67" i="95"/>
  <c r="V51" i="95"/>
  <c r="V39" i="95"/>
  <c r="V35" i="95"/>
  <c r="V62" i="95"/>
  <c r="V50" i="95"/>
  <c r="V30" i="95"/>
  <c r="V26" i="95"/>
  <c r="V73" i="95"/>
  <c r="V69" i="95"/>
  <c r="V53" i="95"/>
  <c r="V41" i="95"/>
  <c r="V17" i="95"/>
  <c r="V74" i="95"/>
  <c r="V70" i="95"/>
  <c r="V54" i="95"/>
  <c r="V42" i="95"/>
  <c r="V18" i="95"/>
  <c r="V77" i="95"/>
  <c r="V63" i="95"/>
  <c r="V37" i="95"/>
  <c r="V27" i="95"/>
  <c r="V64" i="95"/>
  <c r="V86" i="95"/>
  <c r="V36" i="95"/>
  <c r="V31" i="95"/>
  <c r="V40" i="95"/>
  <c r="V43" i="95"/>
  <c r="V55" i="95"/>
  <c r="V52" i="95"/>
  <c r="V57" i="95"/>
  <c r="V45" i="95"/>
  <c r="V65" i="95"/>
  <c r="V75" i="95"/>
  <c r="T51" i="93"/>
  <c r="P84" i="95"/>
  <c r="D83" i="90"/>
  <c r="H46" i="88"/>
  <c r="N17" i="88"/>
  <c r="Z16" i="91"/>
  <c r="T46" i="91"/>
  <c r="T53" i="87"/>
  <c r="J84" i="85"/>
  <c r="J78" i="85"/>
  <c r="J74" i="85"/>
  <c r="J62" i="85"/>
  <c r="J56" i="85"/>
  <c r="J46" i="85"/>
  <c r="J32" i="85"/>
  <c r="J18" i="85"/>
  <c r="J86" i="85"/>
  <c r="J92" i="85"/>
  <c r="J90" i="85"/>
  <c r="J70" i="85"/>
  <c r="J48" i="85"/>
  <c r="J38" i="85"/>
  <c r="J34" i="85"/>
  <c r="J94" i="85"/>
  <c r="J80" i="85"/>
  <c r="J76" i="85"/>
  <c r="J60" i="85"/>
  <c r="J50" i="85"/>
  <c r="J71" i="85"/>
  <c r="J51" i="85"/>
  <c r="J79" i="85"/>
  <c r="J59" i="85"/>
  <c r="J40" i="85"/>
  <c r="J36" i="85"/>
  <c r="J33" i="85"/>
  <c r="J29" i="85"/>
  <c r="J26" i="85"/>
  <c r="J72" i="85"/>
  <c r="J65" i="85"/>
  <c r="J20" i="85"/>
  <c r="J87" i="85"/>
  <c r="J82" i="85"/>
  <c r="J77" i="85"/>
  <c r="J68" i="85"/>
  <c r="J49" i="85"/>
  <c r="H20" i="85"/>
  <c r="J99" i="85"/>
  <c r="J85" i="85"/>
  <c r="J75" i="85"/>
  <c r="J69" i="85"/>
  <c r="J53" i="85"/>
  <c r="J41" i="85"/>
  <c r="J30" i="85"/>
  <c r="J23" i="85"/>
  <c r="J22" i="85"/>
  <c r="J16" i="85"/>
  <c r="N12" i="85"/>
  <c r="J66" i="85"/>
  <c r="J57" i="85"/>
  <c r="J37" i="85"/>
  <c r="J63" i="85"/>
  <c r="J42" i="85"/>
  <c r="J27" i="85"/>
  <c r="J24" i="85"/>
  <c r="J73" i="85"/>
  <c r="J54" i="85"/>
  <c r="J17" i="85"/>
  <c r="J89" i="85"/>
  <c r="J83" i="85"/>
  <c r="J58" i="85"/>
  <c r="J47" i="85"/>
  <c r="J43" i="85"/>
  <c r="J96" i="85"/>
  <c r="J44" i="85"/>
  <c r="J35" i="85"/>
  <c r="J31" i="85"/>
  <c r="J28" i="85"/>
  <c r="J64" i="85"/>
  <c r="J25" i="85"/>
  <c r="J67" i="85"/>
  <c r="J61" i="85"/>
  <c r="J55" i="85"/>
  <c r="J52" i="85"/>
  <c r="J39" i="85"/>
  <c r="J45" i="85"/>
  <c r="L12" i="85"/>
  <c r="J81" i="85"/>
  <c r="T75" i="82"/>
  <c r="H71" i="83"/>
  <c r="N20" i="83"/>
  <c r="P97" i="81"/>
  <c r="F35" i="78"/>
  <c r="D38" i="78"/>
  <c r="L20" i="80"/>
  <c r="D76" i="80"/>
  <c r="D27" i="75"/>
  <c r="P86" i="76"/>
  <c r="R139" i="69"/>
  <c r="R120" i="69"/>
  <c r="R96" i="69"/>
  <c r="R53" i="69"/>
  <c r="X12" i="69"/>
  <c r="R138" i="69"/>
  <c r="R112" i="69"/>
  <c r="R111" i="69"/>
  <c r="R104" i="69"/>
  <c r="R103" i="69"/>
  <c r="R92" i="69"/>
  <c r="R91" i="69"/>
  <c r="R87" i="69"/>
  <c r="R137" i="69"/>
  <c r="R134" i="69"/>
  <c r="R126" i="69"/>
  <c r="R83" i="69"/>
  <c r="R78" i="69"/>
  <c r="R74" i="69"/>
  <c r="R70" i="69"/>
  <c r="R66" i="69"/>
  <c r="R62" i="69"/>
  <c r="R58" i="69"/>
  <c r="R54" i="69"/>
  <c r="R143" i="69"/>
  <c r="R136" i="69"/>
  <c r="R122" i="69"/>
  <c r="R121" i="69"/>
  <c r="R88" i="69"/>
  <c r="R84" i="69"/>
  <c r="R128" i="69"/>
  <c r="R127" i="69"/>
  <c r="R123" i="69"/>
  <c r="R116" i="69"/>
  <c r="R115" i="69"/>
  <c r="R107" i="69"/>
  <c r="R75" i="69"/>
  <c r="R71" i="69"/>
  <c r="R67" i="69"/>
  <c r="R63" i="69"/>
  <c r="R59" i="69"/>
  <c r="R55" i="69"/>
  <c r="R99" i="69"/>
  <c r="R98" i="69"/>
  <c r="R94" i="69"/>
  <c r="R130" i="69"/>
  <c r="R129" i="69"/>
  <c r="R117" i="69"/>
  <c r="R89" i="69"/>
  <c r="R85" i="69"/>
  <c r="R124" i="69"/>
  <c r="R109" i="69"/>
  <c r="R108" i="69"/>
  <c r="R101" i="69"/>
  <c r="R100" i="69"/>
  <c r="R76" i="69"/>
  <c r="R72" i="69"/>
  <c r="R68" i="69"/>
  <c r="R64" i="69"/>
  <c r="R60" i="69"/>
  <c r="R56" i="69"/>
  <c r="R90" i="69"/>
  <c r="R61" i="69"/>
  <c r="R57" i="69"/>
  <c r="R106" i="69"/>
  <c r="R125" i="69"/>
  <c r="R110" i="69"/>
  <c r="R97" i="69"/>
  <c r="R73" i="69"/>
  <c r="R65" i="69"/>
  <c r="R132" i="69"/>
  <c r="R95" i="69"/>
  <c r="R93" i="69"/>
  <c r="R77" i="69"/>
  <c r="R69" i="69"/>
  <c r="R113" i="69"/>
  <c r="R80" i="69"/>
  <c r="P80" i="69"/>
  <c r="R118" i="69"/>
  <c r="R102" i="69"/>
  <c r="R133" i="69"/>
  <c r="R119" i="69"/>
  <c r="R86" i="69"/>
  <c r="R82" i="69"/>
  <c r="R105" i="69"/>
  <c r="R131" i="69"/>
  <c r="R114" i="69"/>
  <c r="T51" i="60"/>
  <c r="Z16" i="60"/>
  <c r="P58" i="63"/>
  <c r="X16" i="63"/>
  <c r="D51" i="61"/>
  <c r="L16" i="61"/>
  <c r="Z16" i="54"/>
  <c r="T22" i="54"/>
  <c r="H69" i="48"/>
  <c r="P74" i="57"/>
  <c r="F77" i="51"/>
  <c r="F76" i="51"/>
  <c r="F53" i="51"/>
  <c r="F49" i="51"/>
  <c r="F45" i="51"/>
  <c r="F41" i="51"/>
  <c r="F100" i="51"/>
  <c r="F96" i="51"/>
  <c r="F95" i="51"/>
  <c r="F88" i="51"/>
  <c r="F87" i="51"/>
  <c r="F72" i="51"/>
  <c r="L12" i="51"/>
  <c r="F102" i="51"/>
  <c r="F101" i="51"/>
  <c r="F90" i="51"/>
  <c r="F89" i="51"/>
  <c r="F97" i="51"/>
  <c r="F81" i="51"/>
  <c r="F80" i="51"/>
  <c r="F73" i="51"/>
  <c r="F104" i="51"/>
  <c r="F103" i="51"/>
  <c r="F68" i="51"/>
  <c r="F64" i="51"/>
  <c r="F112" i="51"/>
  <c r="F91" i="51"/>
  <c r="F83" i="51"/>
  <c r="F82" i="51"/>
  <c r="F55" i="51"/>
  <c r="F51" i="51"/>
  <c r="F47" i="51"/>
  <c r="F43" i="51"/>
  <c r="F116" i="51"/>
  <c r="F111" i="51"/>
  <c r="F106" i="51"/>
  <c r="F105" i="51"/>
  <c r="F98" i="51"/>
  <c r="F74" i="51"/>
  <c r="F109" i="51"/>
  <c r="F84" i="51"/>
  <c r="F59" i="51"/>
  <c r="F52" i="51"/>
  <c r="F48" i="51"/>
  <c r="F44" i="51"/>
  <c r="F40" i="51"/>
  <c r="F39" i="51"/>
  <c r="F78" i="51"/>
  <c r="F62" i="51"/>
  <c r="F60" i="51"/>
  <c r="F66" i="51"/>
  <c r="D57" i="51"/>
  <c r="F57" i="51" s="1"/>
  <c r="F108" i="51"/>
  <c r="F93" i="51"/>
  <c r="F70" i="51"/>
  <c r="F54" i="51"/>
  <c r="F99" i="51"/>
  <c r="F86" i="51"/>
  <c r="F79" i="51"/>
  <c r="F61" i="51"/>
  <c r="F110" i="51"/>
  <c r="F63" i="51"/>
  <c r="F50" i="51"/>
  <c r="F46" i="51"/>
  <c r="F65" i="51"/>
  <c r="F42" i="51"/>
  <c r="F71" i="51"/>
  <c r="F67" i="51"/>
  <c r="F94" i="51"/>
  <c r="F75" i="51"/>
  <c r="F92" i="51"/>
  <c r="F85" i="51"/>
  <c r="F69" i="51"/>
  <c r="T69" i="48"/>
  <c r="J166" i="30"/>
  <c r="J162" i="30"/>
  <c r="J142" i="30"/>
  <c r="J118" i="30"/>
  <c r="J108" i="30"/>
  <c r="J98" i="30"/>
  <c r="J94" i="30"/>
  <c r="J171" i="30"/>
  <c r="J165" i="30"/>
  <c r="J153" i="30"/>
  <c r="J149" i="30"/>
  <c r="J119" i="30"/>
  <c r="J109" i="30"/>
  <c r="J85" i="30"/>
  <c r="J81" i="30"/>
  <c r="J77" i="30"/>
  <c r="J73" i="30"/>
  <c r="J69" i="30"/>
  <c r="J65" i="30"/>
  <c r="J61" i="30"/>
  <c r="J164" i="30"/>
  <c r="J154" i="30"/>
  <c r="J136" i="30"/>
  <c r="J128" i="30"/>
  <c r="J120" i="30"/>
  <c r="J110" i="30"/>
  <c r="J104" i="30"/>
  <c r="J155" i="30"/>
  <c r="J143" i="30"/>
  <c r="J137" i="30"/>
  <c r="J129" i="30"/>
  <c r="J111" i="30"/>
  <c r="J99" i="30"/>
  <c r="J95" i="30"/>
  <c r="J57" i="30"/>
  <c r="J156" i="30"/>
  <c r="J150" i="30"/>
  <c r="J144" i="30"/>
  <c r="J138" i="30"/>
  <c r="J130" i="30"/>
  <c r="J112" i="30"/>
  <c r="J86" i="30"/>
  <c r="J82" i="30"/>
  <c r="J78" i="30"/>
  <c r="J74" i="30"/>
  <c r="J70" i="30"/>
  <c r="J66" i="30"/>
  <c r="J157" i="30"/>
  <c r="J145" i="30"/>
  <c r="J131" i="30"/>
  <c r="J121" i="30"/>
  <c r="J113" i="30"/>
  <c r="J105" i="30"/>
  <c r="J158" i="30"/>
  <c r="J132" i="30"/>
  <c r="J122" i="30"/>
  <c r="J114" i="30"/>
  <c r="J100" i="30"/>
  <c r="J96" i="30"/>
  <c r="J159" i="30"/>
  <c r="J151" i="30"/>
  <c r="J139" i="30"/>
  <c r="J133" i="30"/>
  <c r="J123" i="30"/>
  <c r="J115" i="30"/>
  <c r="J101" i="30"/>
  <c r="J87" i="30"/>
  <c r="J83" i="30"/>
  <c r="J79" i="30"/>
  <c r="J75" i="30"/>
  <c r="J71" i="30"/>
  <c r="J67" i="30"/>
  <c r="J63" i="30"/>
  <c r="J59" i="30"/>
  <c r="J147" i="30"/>
  <c r="J141" i="30"/>
  <c r="J125" i="30"/>
  <c r="J97" i="30"/>
  <c r="J93" i="30"/>
  <c r="J91" i="30"/>
  <c r="J89" i="30"/>
  <c r="J117" i="30"/>
  <c r="J102" i="30"/>
  <c r="J140" i="30"/>
  <c r="J135" i="30"/>
  <c r="J127" i="30"/>
  <c r="J106" i="30"/>
  <c r="J72" i="30"/>
  <c r="J84" i="30"/>
  <c r="J80" i="30"/>
  <c r="J76" i="30"/>
  <c r="J68" i="30"/>
  <c r="J64" i="30"/>
  <c r="J161" i="30"/>
  <c r="J152" i="30"/>
  <c r="J148" i="30"/>
  <c r="J92" i="30"/>
  <c r="H89" i="30"/>
  <c r="J146" i="30"/>
  <c r="J124" i="30"/>
  <c r="J62" i="30"/>
  <c r="J60" i="30"/>
  <c r="J126" i="30"/>
  <c r="J167" i="30"/>
  <c r="J134" i="30"/>
  <c r="J116" i="30"/>
  <c r="J103" i="30"/>
  <c r="J160" i="30"/>
  <c r="J58" i="30"/>
  <c r="J107" i="30"/>
  <c r="F75" i="21"/>
  <c r="F67" i="21"/>
  <c r="F66" i="21"/>
  <c r="F55" i="21"/>
  <c r="F30" i="21"/>
  <c r="F102" i="21"/>
  <c r="F101" i="21"/>
  <c r="F82" i="21"/>
  <c r="F46" i="21"/>
  <c r="F42" i="21"/>
  <c r="D28" i="21"/>
  <c r="F93" i="21"/>
  <c r="F89" i="21"/>
  <c r="F77" i="21"/>
  <c r="F76" i="21"/>
  <c r="F69" i="21"/>
  <c r="F68" i="21"/>
  <c r="F57" i="21"/>
  <c r="F56" i="21"/>
  <c r="F37" i="21"/>
  <c r="F33" i="21"/>
  <c r="F84" i="21"/>
  <c r="F83" i="21"/>
  <c r="F48" i="21"/>
  <c r="F47" i="21"/>
  <c r="F104" i="21"/>
  <c r="F79" i="21"/>
  <c r="F78" i="21"/>
  <c r="F71" i="21"/>
  <c r="F70" i="21"/>
  <c r="F59" i="21"/>
  <c r="F58" i="21"/>
  <c r="F43" i="21"/>
  <c r="F108" i="21"/>
  <c r="F94" i="21"/>
  <c r="F90" i="21"/>
  <c r="F86" i="21"/>
  <c r="F85" i="21"/>
  <c r="F50" i="21"/>
  <c r="F49" i="21"/>
  <c r="F38" i="21"/>
  <c r="F34" i="21"/>
  <c r="F73" i="21"/>
  <c r="F72" i="21"/>
  <c r="F61" i="21"/>
  <c r="F60" i="21"/>
  <c r="F25" i="21"/>
  <c r="F24" i="21"/>
  <c r="F96" i="21"/>
  <c r="F95" i="21"/>
  <c r="F80" i="21"/>
  <c r="F52" i="21"/>
  <c r="F51" i="21"/>
  <c r="F44" i="21"/>
  <c r="L12" i="21"/>
  <c r="F91" i="21"/>
  <c r="F87" i="21"/>
  <c r="F63" i="21"/>
  <c r="F62" i="21"/>
  <c r="F39" i="21"/>
  <c r="F35" i="21"/>
  <c r="F98" i="21"/>
  <c r="F97" i="21"/>
  <c r="F74" i="21"/>
  <c r="F54" i="21"/>
  <c r="F53" i="21"/>
  <c r="F26" i="21"/>
  <c r="F81" i="21"/>
  <c r="F65" i="21"/>
  <c r="F64" i="21"/>
  <c r="F45" i="21"/>
  <c r="F41" i="21"/>
  <c r="F40" i="21"/>
  <c r="F92" i="21"/>
  <c r="F31" i="21"/>
  <c r="F99" i="21"/>
  <c r="F36" i="21"/>
  <c r="F88" i="21"/>
  <c r="F32" i="21"/>
  <c r="F100" i="21"/>
  <c r="V121" i="27"/>
  <c r="V103" i="27"/>
  <c r="V95" i="27"/>
  <c r="V87" i="27"/>
  <c r="V75" i="27"/>
  <c r="V71" i="27"/>
  <c r="V67" i="27"/>
  <c r="V120" i="27"/>
  <c r="V118" i="27"/>
  <c r="V110" i="27"/>
  <c r="V86" i="27"/>
  <c r="V66" i="27"/>
  <c r="V64" i="27"/>
  <c r="V62" i="27"/>
  <c r="V58" i="27"/>
  <c r="V54" i="27"/>
  <c r="V50" i="27"/>
  <c r="V46" i="27"/>
  <c r="V127" i="27"/>
  <c r="V105" i="27"/>
  <c r="V97" i="27"/>
  <c r="V81" i="27"/>
  <c r="V77" i="27"/>
  <c r="T64" i="27"/>
  <c r="V112" i="27"/>
  <c r="V104" i="27"/>
  <c r="V96" i="27"/>
  <c r="V88" i="27"/>
  <c r="V76" i="27"/>
  <c r="V72" i="27"/>
  <c r="V68" i="27"/>
  <c r="V111" i="27"/>
  <c r="V99" i="27"/>
  <c r="V59" i="27"/>
  <c r="V55" i="27"/>
  <c r="V51" i="27"/>
  <c r="V47" i="27"/>
  <c r="V106" i="27"/>
  <c r="V98" i="27"/>
  <c r="V90" i="27"/>
  <c r="V82" i="27"/>
  <c r="V78" i="27"/>
  <c r="V113" i="27"/>
  <c r="V89" i="27"/>
  <c r="V73" i="27"/>
  <c r="V69" i="27"/>
  <c r="V123" i="27"/>
  <c r="V117" i="27"/>
  <c r="V109" i="27"/>
  <c r="V101" i="27"/>
  <c r="V93" i="27"/>
  <c r="V85" i="27"/>
  <c r="V61" i="27"/>
  <c r="V57" i="27"/>
  <c r="V53" i="27"/>
  <c r="V49" i="27"/>
  <c r="V45" i="27"/>
  <c r="V100" i="27"/>
  <c r="V91" i="27"/>
  <c r="V84" i="27"/>
  <c r="V79" i="27"/>
  <c r="V116" i="27"/>
  <c r="V107" i="27"/>
  <c r="V94" i="27"/>
  <c r="V92" i="27"/>
  <c r="V83" i="27"/>
  <c r="V56" i="27"/>
  <c r="V52" i="27"/>
  <c r="V48" i="27"/>
  <c r="V80" i="27"/>
  <c r="V102" i="27"/>
  <c r="V115" i="27"/>
  <c r="V74" i="27"/>
  <c r="V108" i="27"/>
  <c r="V122" i="27"/>
  <c r="V70" i="27"/>
  <c r="V60" i="27"/>
  <c r="V114" i="27"/>
  <c r="P91" i="9"/>
  <c r="X16" i="9"/>
  <c r="D281" i="12"/>
  <c r="D26" i="6"/>
  <c r="T324" i="3"/>
  <c r="H27" i="100"/>
  <c r="N18" i="100"/>
  <c r="D27" i="53"/>
  <c r="L18" i="53"/>
  <c r="P27" i="46"/>
  <c r="X18" i="46"/>
  <c r="H27" i="37"/>
  <c r="N18" i="37"/>
  <c r="P27" i="34"/>
  <c r="X18" i="34"/>
  <c r="P27" i="28"/>
  <c r="X18" i="28"/>
  <c r="X18" i="22"/>
  <c r="P27" i="22"/>
  <c r="P27" i="8"/>
  <c r="X18" i="8"/>
  <c r="T27" i="7"/>
  <c r="Z18" i="7"/>
  <c r="H127" i="36"/>
  <c r="J29" i="36"/>
  <c r="L18" i="99"/>
  <c r="D27" i="99"/>
  <c r="Z18" i="38"/>
  <c r="T27" i="38"/>
  <c r="T27" i="16"/>
  <c r="Z18" i="16"/>
  <c r="D27" i="20"/>
  <c r="L18" i="20"/>
  <c r="H27" i="16"/>
  <c r="N18" i="16"/>
  <c r="Z18" i="13"/>
  <c r="T27" i="13"/>
  <c r="L18" i="13"/>
  <c r="D27" i="13"/>
  <c r="X18" i="10"/>
  <c r="P27" i="10"/>
  <c r="D92" i="85"/>
  <c r="L20" i="85"/>
  <c r="P75" i="82"/>
  <c r="X20" i="82"/>
  <c r="Z20" i="82" s="1"/>
  <c r="T31" i="78"/>
  <c r="V19" i="78"/>
  <c r="R67" i="74"/>
  <c r="R66" i="74"/>
  <c r="R61" i="74"/>
  <c r="R50" i="74"/>
  <c r="R49" i="74"/>
  <c r="R38" i="74"/>
  <c r="R37" i="74"/>
  <c r="R33" i="74"/>
  <c r="R22" i="74"/>
  <c r="R20" i="74"/>
  <c r="R69" i="74"/>
  <c r="R68" i="74"/>
  <c r="R57" i="74"/>
  <c r="R56" i="74"/>
  <c r="R28" i="74"/>
  <c r="R24" i="74"/>
  <c r="P20" i="74"/>
  <c r="R74" i="74"/>
  <c r="R72" i="74"/>
  <c r="R42" i="74"/>
  <c r="R41" i="74"/>
  <c r="R29" i="74"/>
  <c r="R25" i="74"/>
  <c r="R53" i="74"/>
  <c r="R52" i="74"/>
  <c r="R63" i="74"/>
  <c r="R59" i="74"/>
  <c r="R44" i="74"/>
  <c r="R43" i="74"/>
  <c r="R35" i="74"/>
  <c r="R16" i="74"/>
  <c r="R76" i="74"/>
  <c r="R54" i="74"/>
  <c r="R30" i="74"/>
  <c r="R26" i="74"/>
  <c r="R65" i="74"/>
  <c r="R64" i="74"/>
  <c r="R60" i="74"/>
  <c r="R36" i="74"/>
  <c r="X12" i="74"/>
  <c r="Z12" i="74" s="1"/>
  <c r="R51" i="74"/>
  <c r="R32" i="74"/>
  <c r="R47" i="74"/>
  <c r="R34" i="74"/>
  <c r="R17" i="74"/>
  <c r="R70" i="74"/>
  <c r="R39" i="74"/>
  <c r="R81" i="74"/>
  <c r="R62" i="74"/>
  <c r="R58" i="74"/>
  <c r="R45" i="74"/>
  <c r="R18" i="74"/>
  <c r="R48" i="74"/>
  <c r="R40" i="74"/>
  <c r="R27" i="74"/>
  <c r="R23" i="74"/>
  <c r="R55" i="74"/>
  <c r="R46" i="74"/>
  <c r="R78" i="74"/>
  <c r="R31" i="74"/>
  <c r="P118" i="71"/>
  <c r="V69" i="67"/>
  <c r="V57" i="67"/>
  <c r="V59" i="67"/>
  <c r="V56" i="67"/>
  <c r="V45" i="67"/>
  <c r="V21" i="67"/>
  <c r="V55" i="67"/>
  <c r="V48" i="67"/>
  <c r="V40" i="67"/>
  <c r="Z12" i="67"/>
  <c r="V68" i="67"/>
  <c r="V65" i="67"/>
  <c r="V61" i="67"/>
  <c r="V47" i="67"/>
  <c r="V35" i="67"/>
  <c r="V31" i="67"/>
  <c r="V62" i="67"/>
  <c r="V50" i="67"/>
  <c r="V22" i="67"/>
  <c r="V49" i="67"/>
  <c r="V41" i="67"/>
  <c r="V37" i="67"/>
  <c r="V52" i="67"/>
  <c r="V36" i="67"/>
  <c r="V32" i="67"/>
  <c r="V28" i="67"/>
  <c r="V78" i="67"/>
  <c r="V71" i="67"/>
  <c r="V70" i="67"/>
  <c r="V66" i="67"/>
  <c r="V51" i="67"/>
  <c r="V27" i="67"/>
  <c r="V25" i="67"/>
  <c r="V23" i="67"/>
  <c r="V63" i="67"/>
  <c r="V58" i="67"/>
  <c r="V42" i="67"/>
  <c r="V38" i="67"/>
  <c r="T25" i="67"/>
  <c r="V67" i="67"/>
  <c r="V60" i="67"/>
  <c r="V43" i="67"/>
  <c r="V39" i="67"/>
  <c r="V53" i="67"/>
  <c r="V33" i="67"/>
  <c r="V64" i="67"/>
  <c r="V30" i="67"/>
  <c r="V54" i="67"/>
  <c r="V72" i="67"/>
  <c r="V34" i="67"/>
  <c r="V29" i="67"/>
  <c r="V74" i="67"/>
  <c r="V46" i="67"/>
  <c r="V44" i="67"/>
  <c r="Z108" i="51"/>
  <c r="T105" i="62"/>
  <c r="Z17" i="62"/>
  <c r="Z16" i="56"/>
  <c r="T70" i="56"/>
  <c r="N16" i="54"/>
  <c r="H22" i="54"/>
  <c r="Z16" i="55"/>
  <c r="T33" i="55"/>
  <c r="H124" i="42"/>
  <c r="N28" i="42"/>
  <c r="R100" i="39"/>
  <c r="R44" i="39"/>
  <c r="R40" i="39"/>
  <c r="R130" i="39"/>
  <c r="R124" i="39"/>
  <c r="R123" i="39"/>
  <c r="R116" i="39"/>
  <c r="R115" i="39"/>
  <c r="R111" i="39"/>
  <c r="R107" i="39"/>
  <c r="R96" i="39"/>
  <c r="R95" i="39"/>
  <c r="R80" i="39"/>
  <c r="R79" i="39"/>
  <c r="R72" i="39"/>
  <c r="R71" i="39"/>
  <c r="R63" i="39"/>
  <c r="R129" i="39"/>
  <c r="R90" i="39"/>
  <c r="R54" i="39"/>
  <c r="R50" i="39"/>
  <c r="R31" i="39"/>
  <c r="R128" i="39"/>
  <c r="R125" i="39"/>
  <c r="R118" i="39"/>
  <c r="R117" i="39"/>
  <c r="R102" i="39"/>
  <c r="R101" i="39"/>
  <c r="R97" i="39"/>
  <c r="R82" i="39"/>
  <c r="R81" i="39"/>
  <c r="R74" i="39"/>
  <c r="R73" i="39"/>
  <c r="R45" i="39"/>
  <c r="R41" i="39"/>
  <c r="R134" i="39"/>
  <c r="R127" i="39"/>
  <c r="R112" i="39"/>
  <c r="R108" i="39"/>
  <c r="R64" i="39"/>
  <c r="R32" i="39"/>
  <c r="R120" i="39"/>
  <c r="R119" i="39"/>
  <c r="R103" i="39"/>
  <c r="R91" i="39"/>
  <c r="R84" i="39"/>
  <c r="R83" i="39"/>
  <c r="R75" i="39"/>
  <c r="R56" i="39"/>
  <c r="R55" i="39"/>
  <c r="R51" i="39"/>
  <c r="R98" i="39"/>
  <c r="R46" i="39"/>
  <c r="R42" i="39"/>
  <c r="R99" i="39"/>
  <c r="R88" i="39"/>
  <c r="R87" i="39"/>
  <c r="R68" i="39"/>
  <c r="R67" i="39"/>
  <c r="R60" i="39"/>
  <c r="R59" i="39"/>
  <c r="R48" i="39"/>
  <c r="R47" i="39"/>
  <c r="R43" i="39"/>
  <c r="R39" i="39"/>
  <c r="P35" i="39"/>
  <c r="R104" i="39"/>
  <c r="R92" i="39"/>
  <c r="R62" i="39"/>
  <c r="R49" i="39"/>
  <c r="R58" i="39"/>
  <c r="R53" i="39"/>
  <c r="R121" i="39"/>
  <c r="R105" i="39"/>
  <c r="R93" i="39"/>
  <c r="R33" i="39"/>
  <c r="R113" i="39"/>
  <c r="R109" i="39"/>
  <c r="R78" i="39"/>
  <c r="R69" i="39"/>
  <c r="R37" i="39"/>
  <c r="X12" i="39"/>
  <c r="Z12" i="39" s="1"/>
  <c r="R89" i="39"/>
  <c r="R65" i="39"/>
  <c r="R85" i="39"/>
  <c r="R76" i="39"/>
  <c r="R52" i="39"/>
  <c r="R70" i="39"/>
  <c r="R61" i="39"/>
  <c r="R38" i="39"/>
  <c r="R122" i="39"/>
  <c r="R106" i="39"/>
  <c r="R94" i="39"/>
  <c r="R86" i="39"/>
  <c r="R114" i="39"/>
  <c r="R35" i="39"/>
  <c r="R66" i="39"/>
  <c r="R57" i="39"/>
  <c r="R77" i="39"/>
  <c r="R110" i="39"/>
  <c r="R106" i="33"/>
  <c r="R99" i="33"/>
  <c r="R93" i="33"/>
  <c r="R92" i="33"/>
  <c r="R61" i="33"/>
  <c r="R60" i="33"/>
  <c r="R36" i="33"/>
  <c r="R98" i="33"/>
  <c r="R80" i="33"/>
  <c r="R79" i="33"/>
  <c r="R72" i="33"/>
  <c r="R71" i="33"/>
  <c r="R55" i="33"/>
  <c r="R65" i="33"/>
  <c r="R64" i="33"/>
  <c r="R56" i="33"/>
  <c r="R87" i="33"/>
  <c r="R83" i="33"/>
  <c r="R75" i="33"/>
  <c r="R51" i="33"/>
  <c r="R47" i="33"/>
  <c r="R67" i="33"/>
  <c r="R66" i="33"/>
  <c r="R57" i="33"/>
  <c r="R34" i="33"/>
  <c r="R101" i="33"/>
  <c r="R91" i="33"/>
  <c r="R90" i="33"/>
  <c r="R59" i="33"/>
  <c r="R58" i="33"/>
  <c r="R54" i="33"/>
  <c r="R43" i="33"/>
  <c r="R41" i="33"/>
  <c r="R97" i="33"/>
  <c r="R69" i="33"/>
  <c r="R94" i="33"/>
  <c r="R82" i="33"/>
  <c r="R46" i="33"/>
  <c r="R37" i="33"/>
  <c r="R77" i="33"/>
  <c r="R62" i="33"/>
  <c r="R39" i="33"/>
  <c r="R85" i="33"/>
  <c r="R70" i="33"/>
  <c r="R44" i="33"/>
  <c r="R49" i="33"/>
  <c r="R35" i="33"/>
  <c r="R102" i="33"/>
  <c r="R78" i="33"/>
  <c r="R63" i="33"/>
  <c r="X12" i="33"/>
  <c r="R88" i="33"/>
  <c r="R68" i="33"/>
  <c r="R52" i="33"/>
  <c r="R38" i="33"/>
  <c r="R96" i="33"/>
  <c r="R73" i="33"/>
  <c r="R45" i="33"/>
  <c r="P41" i="33"/>
  <c r="R86" i="33"/>
  <c r="R76" i="33"/>
  <c r="R50" i="33"/>
  <c r="R100" i="33"/>
  <c r="R81" i="33"/>
  <c r="R74" i="33"/>
  <c r="R53" i="33"/>
  <c r="R89" i="33"/>
  <c r="R48" i="33"/>
  <c r="R84" i="33"/>
  <c r="H301" i="18"/>
  <c r="V138" i="24"/>
  <c r="V124" i="24"/>
  <c r="V125" i="24"/>
  <c r="V121" i="24"/>
  <c r="V113" i="24"/>
  <c r="V127" i="24"/>
  <c r="V123" i="24"/>
  <c r="V103" i="24"/>
  <c r="V91" i="24"/>
  <c r="V116" i="24"/>
  <c r="V115" i="24"/>
  <c r="V105" i="24"/>
  <c r="V97" i="24"/>
  <c r="V120" i="24"/>
  <c r="V111" i="24"/>
  <c r="V110" i="24"/>
  <c r="V98" i="24"/>
  <c r="V94" i="24"/>
  <c r="T81" i="24"/>
  <c r="V108" i="24"/>
  <c r="V102" i="24"/>
  <c r="V90" i="24"/>
  <c r="V86" i="24"/>
  <c r="V134" i="24"/>
  <c r="V133" i="24"/>
  <c r="V126" i="24"/>
  <c r="V118" i="24"/>
  <c r="V114" i="24"/>
  <c r="V109" i="24"/>
  <c r="V101" i="24"/>
  <c r="V122" i="24"/>
  <c r="V99" i="24"/>
  <c r="V83" i="24"/>
  <c r="V58" i="24"/>
  <c r="V55" i="24"/>
  <c r="V100" i="24"/>
  <c r="V84" i="24"/>
  <c r="V78" i="24"/>
  <c r="V73" i="24"/>
  <c r="V70" i="24"/>
  <c r="V67" i="24"/>
  <c r="V64" i="24"/>
  <c r="V61" i="24"/>
  <c r="V95" i="24"/>
  <c r="V131" i="24"/>
  <c r="V129" i="24"/>
  <c r="V92" i="24"/>
  <c r="V87" i="24"/>
  <c r="V76" i="24"/>
  <c r="V59" i="24"/>
  <c r="V56" i="24"/>
  <c r="V85" i="24"/>
  <c r="V74" i="24"/>
  <c r="V71" i="24"/>
  <c r="V68" i="24"/>
  <c r="V65" i="24"/>
  <c r="V62" i="24"/>
  <c r="V119" i="24"/>
  <c r="V107" i="24"/>
  <c r="V106" i="24"/>
  <c r="V104" i="24"/>
  <c r="V96" i="24"/>
  <c r="V79" i="24"/>
  <c r="V130" i="24"/>
  <c r="V93" i="24"/>
  <c r="V88" i="24"/>
  <c r="V128" i="24"/>
  <c r="V117" i="24"/>
  <c r="V77" i="24"/>
  <c r="V57" i="24"/>
  <c r="V112" i="24"/>
  <c r="V81" i="24"/>
  <c r="V72" i="24"/>
  <c r="V69" i="24"/>
  <c r="V66" i="24"/>
  <c r="V63" i="24"/>
  <c r="V60" i="24"/>
  <c r="V89" i="24"/>
  <c r="V75" i="24"/>
  <c r="F266" i="15"/>
  <c r="F263" i="15"/>
  <c r="F257" i="15"/>
  <c r="F245" i="15"/>
  <c r="F241" i="15"/>
  <c r="F240" i="15"/>
  <c r="F229" i="15"/>
  <c r="F228" i="15"/>
  <c r="F205" i="15"/>
  <c r="F204" i="15"/>
  <c r="F197" i="15"/>
  <c r="F189" i="15"/>
  <c r="F188" i="15"/>
  <c r="F168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274" i="15"/>
  <c r="F224" i="15"/>
  <c r="F223" i="15"/>
  <c r="F216" i="15"/>
  <c r="F215" i="15"/>
  <c r="F184" i="15"/>
  <c r="D166" i="15"/>
  <c r="F259" i="15"/>
  <c r="F258" i="15"/>
  <c r="F251" i="15"/>
  <c r="F235" i="15"/>
  <c r="F207" i="15"/>
  <c r="F206" i="15"/>
  <c r="F191" i="15"/>
  <c r="F190" i="15"/>
  <c r="F179" i="15"/>
  <c r="F175" i="15"/>
  <c r="F171" i="15"/>
  <c r="F246" i="15"/>
  <c r="F242" i="15"/>
  <c r="F230" i="15"/>
  <c r="F198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113" i="15"/>
  <c r="F253" i="15"/>
  <c r="F252" i="15"/>
  <c r="F225" i="15"/>
  <c r="F217" i="15"/>
  <c r="F209" i="15"/>
  <c r="F208" i="15"/>
  <c r="F185" i="15"/>
  <c r="F181" i="15"/>
  <c r="F180" i="15"/>
  <c r="F261" i="15"/>
  <c r="F236" i="15"/>
  <c r="F200" i="15"/>
  <c r="F199" i="15"/>
  <c r="F192" i="15"/>
  <c r="F176" i="15"/>
  <c r="F172" i="15"/>
  <c r="F262" i="15"/>
  <c r="F255" i="15"/>
  <c r="F254" i="15"/>
  <c r="F247" i="15"/>
  <c r="F243" i="15"/>
  <c r="F231" i="15"/>
  <c r="F163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265" i="15"/>
  <c r="F264" i="15"/>
  <c r="F238" i="15"/>
  <c r="F237" i="15"/>
  <c r="F226" i="15"/>
  <c r="F218" i="15"/>
  <c r="F210" i="15"/>
  <c r="F194" i="15"/>
  <c r="F193" i="15"/>
  <c r="F186" i="15"/>
  <c r="F182" i="15"/>
  <c r="F269" i="15"/>
  <c r="F268" i="15"/>
  <c r="F267" i="15"/>
  <c r="F239" i="15"/>
  <c r="F227" i="15"/>
  <c r="F203" i="15"/>
  <c r="F202" i="15"/>
  <c r="F187" i="15"/>
  <c r="F183" i="15"/>
  <c r="F250" i="15"/>
  <c r="F249" i="15"/>
  <c r="F234" i="15"/>
  <c r="F222" i="15"/>
  <c r="F221" i="15"/>
  <c r="F214" i="15"/>
  <c r="F213" i="15"/>
  <c r="F178" i="15"/>
  <c r="F174" i="15"/>
  <c r="F170" i="15"/>
  <c r="F169" i="15"/>
  <c r="F256" i="15"/>
  <c r="F220" i="15"/>
  <c r="F195" i="15"/>
  <c r="F156" i="15"/>
  <c r="F201" i="15"/>
  <c r="F160" i="15"/>
  <c r="F173" i="15"/>
  <c r="F164" i="15"/>
  <c r="F244" i="15"/>
  <c r="F232" i="15"/>
  <c r="F211" i="15"/>
  <c r="F219" i="15"/>
  <c r="F270" i="15"/>
  <c r="F196" i="15"/>
  <c r="F177" i="15"/>
  <c r="F248" i="15"/>
  <c r="F144" i="15"/>
  <c r="F136" i="15"/>
  <c r="F132" i="15"/>
  <c r="F124" i="15"/>
  <c r="F116" i="15"/>
  <c r="L12" i="15"/>
  <c r="F148" i="15"/>
  <c r="F140" i="15"/>
  <c r="F128" i="15"/>
  <c r="F120" i="15"/>
  <c r="F212" i="15"/>
  <c r="F152" i="15"/>
  <c r="F233" i="15"/>
  <c r="J263" i="12"/>
  <c r="J241" i="12"/>
  <c r="J235" i="12"/>
  <c r="J229" i="12"/>
  <c r="J221" i="12"/>
  <c r="J211" i="12"/>
  <c r="J195" i="12"/>
  <c r="J189" i="12"/>
  <c r="J264" i="12"/>
  <c r="J256" i="12"/>
  <c r="J252" i="12"/>
  <c r="J236" i="12"/>
  <c r="J230" i="12"/>
  <c r="J222" i="12"/>
  <c r="J212" i="12"/>
  <c r="J196" i="12"/>
  <c r="J184" i="12"/>
  <c r="J180" i="12"/>
  <c r="J176" i="12"/>
  <c r="J279" i="12"/>
  <c r="J247" i="12"/>
  <c r="J231" i="12"/>
  <c r="J223" i="12"/>
  <c r="J213" i="12"/>
  <c r="J203" i="12"/>
  <c r="J185" i="12"/>
  <c r="J167" i="12"/>
  <c r="J163" i="12"/>
  <c r="J159" i="12"/>
  <c r="J155" i="12"/>
  <c r="J151" i="12"/>
  <c r="J147" i="12"/>
  <c r="J143" i="12"/>
  <c r="J139" i="12"/>
  <c r="J135" i="12"/>
  <c r="J131" i="12"/>
  <c r="J127" i="12"/>
  <c r="J123" i="12"/>
  <c r="J119" i="12"/>
  <c r="J278" i="12"/>
  <c r="J248" i="12"/>
  <c r="J242" i="12"/>
  <c r="J214" i="12"/>
  <c r="J204" i="12"/>
  <c r="J190" i="12"/>
  <c r="J186" i="12"/>
  <c r="J283" i="12"/>
  <c r="J277" i="12"/>
  <c r="J265" i="12"/>
  <c r="J257" i="12"/>
  <c r="J253" i="12"/>
  <c r="J249" i="12"/>
  <c r="J237" i="12"/>
  <c r="J205" i="12"/>
  <c r="J197" i="12"/>
  <c r="J181" i="12"/>
  <c r="J177" i="12"/>
  <c r="J276" i="12"/>
  <c r="J258" i="12"/>
  <c r="J232" i="12"/>
  <c r="J224" i="12"/>
  <c r="J198" i="12"/>
  <c r="J168" i="12"/>
  <c r="J164" i="12"/>
  <c r="J160" i="12"/>
  <c r="J156" i="12"/>
  <c r="J152" i="12"/>
  <c r="J148" i="12"/>
  <c r="J144" i="12"/>
  <c r="J140" i="12"/>
  <c r="J136" i="12"/>
  <c r="J132" i="12"/>
  <c r="J128" i="12"/>
  <c r="J124" i="12"/>
  <c r="J120" i="12"/>
  <c r="J275" i="12"/>
  <c r="J259" i="12"/>
  <c r="J243" i="12"/>
  <c r="J215" i="12"/>
  <c r="J199" i="12"/>
  <c r="J191" i="12"/>
  <c r="J187" i="12"/>
  <c r="J274" i="12"/>
  <c r="J266" i="12"/>
  <c r="J254" i="12"/>
  <c r="J250" i="12"/>
  <c r="J238" i="12"/>
  <c r="J216" i="12"/>
  <c r="J206" i="12"/>
  <c r="J200" i="12"/>
  <c r="J182" i="12"/>
  <c r="J178" i="12"/>
  <c r="J116" i="12"/>
  <c r="J273" i="12"/>
  <c r="J267" i="12"/>
  <c r="J239" i="12"/>
  <c r="J233" i="12"/>
  <c r="J225" i="12"/>
  <c r="J217" i="12"/>
  <c r="J207" i="12"/>
  <c r="J201" i="12"/>
  <c r="J169" i="12"/>
  <c r="J165" i="12"/>
  <c r="J161" i="12"/>
  <c r="J157" i="12"/>
  <c r="J153" i="12"/>
  <c r="J272" i="12"/>
  <c r="J268" i="12"/>
  <c r="J260" i="12"/>
  <c r="J244" i="12"/>
  <c r="J240" i="12"/>
  <c r="J226" i="12"/>
  <c r="J218" i="12"/>
  <c r="J208" i="12"/>
  <c r="J192" i="12"/>
  <c r="J188" i="12"/>
  <c r="J174" i="12"/>
  <c r="N12" i="12"/>
  <c r="J271" i="12"/>
  <c r="J261" i="12"/>
  <c r="J255" i="12"/>
  <c r="J251" i="12"/>
  <c r="J245" i="12"/>
  <c r="J227" i="12"/>
  <c r="J219" i="12"/>
  <c r="J209" i="12"/>
  <c r="J193" i="12"/>
  <c r="J183" i="12"/>
  <c r="J179" i="12"/>
  <c r="J175" i="12"/>
  <c r="J173" i="12"/>
  <c r="J146" i="12"/>
  <c r="J122" i="12"/>
  <c r="J150" i="12"/>
  <c r="J141" i="12"/>
  <c r="J126" i="12"/>
  <c r="J262" i="12"/>
  <c r="J162" i="12"/>
  <c r="J234" i="12"/>
  <c r="J220" i="12"/>
  <c r="J130" i="12"/>
  <c r="J117" i="12"/>
  <c r="J270" i="12"/>
  <c r="J202" i="12"/>
  <c r="J145" i="12"/>
  <c r="J134" i="12"/>
  <c r="J121" i="12"/>
  <c r="J154" i="12"/>
  <c r="J149" i="12"/>
  <c r="J166" i="12"/>
  <c r="J138" i="12"/>
  <c r="J125" i="12"/>
  <c r="J228" i="12"/>
  <c r="J194" i="12"/>
  <c r="J129" i="12"/>
  <c r="J246" i="12"/>
  <c r="J210" i="12"/>
  <c r="J158" i="12"/>
  <c r="J142" i="12"/>
  <c r="J133" i="12"/>
  <c r="J118" i="12"/>
  <c r="H171" i="12"/>
  <c r="J137" i="12"/>
  <c r="H91" i="9"/>
  <c r="N16" i="9"/>
  <c r="H324" i="3"/>
  <c r="H27" i="99"/>
  <c r="N18" i="99"/>
  <c r="T27" i="100"/>
  <c r="Z18" i="100"/>
  <c r="T27" i="52"/>
  <c r="Z18" i="52"/>
  <c r="L18" i="49"/>
  <c r="D27" i="49"/>
  <c r="H27" i="43"/>
  <c r="N18" i="43"/>
  <c r="D27" i="43"/>
  <c r="L18" i="43"/>
  <c r="H27" i="47"/>
  <c r="N18" i="47"/>
  <c r="T27" i="25"/>
  <c r="Z18" i="25"/>
  <c r="T27" i="22"/>
  <c r="Z18" i="22"/>
  <c r="P27" i="26"/>
  <c r="X18" i="26"/>
  <c r="X18" i="13"/>
  <c r="P27" i="13"/>
  <c r="X18" i="7"/>
  <c r="P27" i="7"/>
  <c r="T27" i="14"/>
  <c r="Z18" i="14"/>
  <c r="P124" i="66"/>
  <c r="X63" i="66"/>
  <c r="V137" i="69"/>
  <c r="V111" i="69"/>
  <c r="V103" i="69"/>
  <c r="V91" i="69"/>
  <c r="V87" i="69"/>
  <c r="V83" i="69"/>
  <c r="V136" i="69"/>
  <c r="V134" i="69"/>
  <c r="V126" i="69"/>
  <c r="V122" i="69"/>
  <c r="V114" i="69"/>
  <c r="V106" i="69"/>
  <c r="V82" i="69"/>
  <c r="V80" i="69"/>
  <c r="V78" i="69"/>
  <c r="V74" i="69"/>
  <c r="V70" i="69"/>
  <c r="V66" i="69"/>
  <c r="V62" i="69"/>
  <c r="V58" i="69"/>
  <c r="V54" i="69"/>
  <c r="V143" i="69"/>
  <c r="V121" i="69"/>
  <c r="V113" i="69"/>
  <c r="V105" i="69"/>
  <c r="V97" i="69"/>
  <c r="V93" i="69"/>
  <c r="T80" i="69"/>
  <c r="V128" i="69"/>
  <c r="V127" i="69"/>
  <c r="V123" i="69"/>
  <c r="V115" i="69"/>
  <c r="V107" i="69"/>
  <c r="V99" i="69"/>
  <c r="V130" i="69"/>
  <c r="V98" i="69"/>
  <c r="V94" i="69"/>
  <c r="V129" i="69"/>
  <c r="V117" i="69"/>
  <c r="V109" i="69"/>
  <c r="V101" i="69"/>
  <c r="V89" i="69"/>
  <c r="V85" i="69"/>
  <c r="V132" i="69"/>
  <c r="V124" i="69"/>
  <c r="V108" i="69"/>
  <c r="V100" i="69"/>
  <c r="V76" i="69"/>
  <c r="V72" i="69"/>
  <c r="V68" i="69"/>
  <c r="V64" i="69"/>
  <c r="V60" i="69"/>
  <c r="V56" i="69"/>
  <c r="V131" i="69"/>
  <c r="V119" i="69"/>
  <c r="V95" i="69"/>
  <c r="V88" i="69"/>
  <c r="V63" i="69"/>
  <c r="V53" i="69"/>
  <c r="V125" i="69"/>
  <c r="V110" i="69"/>
  <c r="V73" i="69"/>
  <c r="V65" i="69"/>
  <c r="V55" i="69"/>
  <c r="V104" i="69"/>
  <c r="V77" i="69"/>
  <c r="V75" i="69"/>
  <c r="V71" i="69"/>
  <c r="V69" i="69"/>
  <c r="V67" i="69"/>
  <c r="Z12" i="69"/>
  <c r="V120" i="69"/>
  <c r="V118" i="69"/>
  <c r="V116" i="69"/>
  <c r="V102" i="69"/>
  <c r="V112" i="69"/>
  <c r="V84" i="69"/>
  <c r="V92" i="69"/>
  <c r="V90" i="69"/>
  <c r="V96" i="69"/>
  <c r="V133" i="69"/>
  <c r="V138" i="69"/>
  <c r="V57" i="69"/>
  <c r="V59" i="69"/>
  <c r="V86" i="69"/>
  <c r="V139" i="69"/>
  <c r="V61" i="69"/>
  <c r="N16" i="61"/>
  <c r="H51" i="61"/>
  <c r="J82" i="70"/>
  <c r="J68" i="70"/>
  <c r="J60" i="70"/>
  <c r="J50" i="70"/>
  <c r="J44" i="70"/>
  <c r="J40" i="70"/>
  <c r="J83" i="70"/>
  <c r="J75" i="70"/>
  <c r="J69" i="70"/>
  <c r="J61" i="70"/>
  <c r="J51" i="70"/>
  <c r="J45" i="70"/>
  <c r="J86" i="70"/>
  <c r="J70" i="70"/>
  <c r="J62" i="70"/>
  <c r="J52" i="70"/>
  <c r="J46" i="70"/>
  <c r="J55" i="70"/>
  <c r="J47" i="70"/>
  <c r="J56" i="70"/>
  <c r="J42" i="70"/>
  <c r="J38" i="70"/>
  <c r="J77" i="70"/>
  <c r="J73" i="70"/>
  <c r="J65" i="70"/>
  <c r="J57" i="70"/>
  <c r="J80" i="70"/>
  <c r="J74" i="70"/>
  <c r="J66" i="70"/>
  <c r="J67" i="70"/>
  <c r="J48" i="70"/>
  <c r="J35" i="70"/>
  <c r="J90" i="70"/>
  <c r="J36" i="70"/>
  <c r="J81" i="70"/>
  <c r="J58" i="70"/>
  <c r="J63" i="70"/>
  <c r="J53" i="70"/>
  <c r="J79" i="70"/>
  <c r="J85" i="70"/>
  <c r="J71" i="70"/>
  <c r="J31" i="70"/>
  <c r="J49" i="70"/>
  <c r="N12" i="70"/>
  <c r="J54" i="70"/>
  <c r="J43" i="70"/>
  <c r="J41" i="70"/>
  <c r="J39" i="70"/>
  <c r="J37" i="70"/>
  <c r="J64" i="70"/>
  <c r="J72" i="70"/>
  <c r="J59" i="70"/>
  <c r="H33" i="70"/>
  <c r="J76" i="70"/>
  <c r="J78" i="70"/>
  <c r="L16" i="55"/>
  <c r="D33" i="55"/>
  <c r="L16" i="58"/>
  <c r="D73" i="58"/>
  <c r="X24" i="45"/>
  <c r="P96" i="45"/>
  <c r="R119" i="24"/>
  <c r="R118" i="24"/>
  <c r="R111" i="24"/>
  <c r="R110" i="24"/>
  <c r="R121" i="24"/>
  <c r="R120" i="24"/>
  <c r="R134" i="24"/>
  <c r="R131" i="24"/>
  <c r="R123" i="24"/>
  <c r="R116" i="24"/>
  <c r="R115" i="24"/>
  <c r="R129" i="24"/>
  <c r="R126" i="24"/>
  <c r="R109" i="24"/>
  <c r="R96" i="24"/>
  <c r="R78" i="24"/>
  <c r="R74" i="24"/>
  <c r="R70" i="24"/>
  <c r="R66" i="24"/>
  <c r="R62" i="24"/>
  <c r="R58" i="24"/>
  <c r="R130" i="24"/>
  <c r="R105" i="24"/>
  <c r="R124" i="24"/>
  <c r="R84" i="24"/>
  <c r="R79" i="24"/>
  <c r="R75" i="24"/>
  <c r="R122" i="24"/>
  <c r="R100" i="24"/>
  <c r="R99" i="24"/>
  <c r="R95" i="24"/>
  <c r="R125" i="24"/>
  <c r="R108" i="24"/>
  <c r="R90" i="24"/>
  <c r="R97" i="24"/>
  <c r="R89" i="24"/>
  <c r="P81" i="24"/>
  <c r="R102" i="24"/>
  <c r="X12" i="24"/>
  <c r="Z12" i="24" s="1"/>
  <c r="R83" i="24"/>
  <c r="R73" i="24"/>
  <c r="R67" i="24"/>
  <c r="R64" i="24"/>
  <c r="R61" i="24"/>
  <c r="R55" i="24"/>
  <c r="R114" i="24"/>
  <c r="R103" i="24"/>
  <c r="R92" i="24"/>
  <c r="R87" i="24"/>
  <c r="R76" i="24"/>
  <c r="R138" i="24"/>
  <c r="R59" i="24"/>
  <c r="R56" i="24"/>
  <c r="R127" i="24"/>
  <c r="R98" i="24"/>
  <c r="R85" i="24"/>
  <c r="R71" i="24"/>
  <c r="R68" i="24"/>
  <c r="R65" i="24"/>
  <c r="R106" i="24"/>
  <c r="R133" i="24"/>
  <c r="R107" i="24"/>
  <c r="R104" i="24"/>
  <c r="R101" i="24"/>
  <c r="R93" i="24"/>
  <c r="R88" i="24"/>
  <c r="R117" i="24"/>
  <c r="R94" i="24"/>
  <c r="R77" i="24"/>
  <c r="R57" i="24"/>
  <c r="R128" i="24"/>
  <c r="R91" i="24"/>
  <c r="R86" i="24"/>
  <c r="R63" i="24"/>
  <c r="R112" i="24"/>
  <c r="R60" i="24"/>
  <c r="R113" i="24"/>
  <c r="R72" i="24"/>
  <c r="R69" i="24"/>
  <c r="J107" i="27"/>
  <c r="J91" i="27"/>
  <c r="J83" i="27"/>
  <c r="J79" i="27"/>
  <c r="J114" i="27"/>
  <c r="J108" i="27"/>
  <c r="J92" i="27"/>
  <c r="J74" i="27"/>
  <c r="J70" i="27"/>
  <c r="J115" i="27"/>
  <c r="J109" i="27"/>
  <c r="J101" i="27"/>
  <c r="J93" i="27"/>
  <c r="J61" i="27"/>
  <c r="J57" i="27"/>
  <c r="J53" i="27"/>
  <c r="J49" i="27"/>
  <c r="J116" i="27"/>
  <c r="J102" i="27"/>
  <c r="J94" i="27"/>
  <c r="J84" i="27"/>
  <c r="J80" i="27"/>
  <c r="J123" i="27"/>
  <c r="J117" i="27"/>
  <c r="J103" i="27"/>
  <c r="J95" i="27"/>
  <c r="J85" i="27"/>
  <c r="J75" i="27"/>
  <c r="J71" i="27"/>
  <c r="J45" i="27"/>
  <c r="J122" i="27"/>
  <c r="J118" i="27"/>
  <c r="J110" i="27"/>
  <c r="J86" i="27"/>
  <c r="J62" i="27"/>
  <c r="J58" i="27"/>
  <c r="J54" i="27"/>
  <c r="J50" i="27"/>
  <c r="J46" i="27"/>
  <c r="J127" i="27"/>
  <c r="J121" i="27"/>
  <c r="J87" i="27"/>
  <c r="J81" i="27"/>
  <c r="J67" i="27"/>
  <c r="J113" i="27"/>
  <c r="J99" i="27"/>
  <c r="J89" i="27"/>
  <c r="J73" i="27"/>
  <c r="J69" i="27"/>
  <c r="J106" i="27"/>
  <c r="J88" i="27"/>
  <c r="J76" i="27"/>
  <c r="J82" i="27"/>
  <c r="J55" i="27"/>
  <c r="J47" i="27"/>
  <c r="J59" i="27"/>
  <c r="J51" i="27"/>
  <c r="J100" i="27"/>
  <c r="J98" i="27"/>
  <c r="J77" i="27"/>
  <c r="H64" i="27"/>
  <c r="J64" i="27" s="1"/>
  <c r="J111" i="27"/>
  <c r="J105" i="27"/>
  <c r="J120" i="27"/>
  <c r="J112" i="27"/>
  <c r="J90" i="27"/>
  <c r="J68" i="27"/>
  <c r="J56" i="27"/>
  <c r="J52" i="27"/>
  <c r="J48" i="27"/>
  <c r="J97" i="27"/>
  <c r="J78" i="27"/>
  <c r="J72" i="27"/>
  <c r="J66" i="27"/>
  <c r="J60" i="27"/>
  <c r="J96" i="27"/>
  <c r="J104" i="27"/>
  <c r="L18" i="100"/>
  <c r="D27" i="100"/>
  <c r="P27" i="50"/>
  <c r="X18" i="50"/>
  <c r="X18" i="35"/>
  <c r="P27" i="35"/>
  <c r="X18" i="37"/>
  <c r="P27" i="37"/>
  <c r="P27" i="32"/>
  <c r="X18" i="32"/>
  <c r="L18" i="31"/>
  <c r="D27" i="31"/>
  <c r="T27" i="28"/>
  <c r="Z18" i="28"/>
  <c r="H27" i="26"/>
  <c r="N18" i="26"/>
  <c r="H27" i="25"/>
  <c r="N18" i="25"/>
  <c r="T27" i="26"/>
  <c r="Z18" i="26"/>
  <c r="T27" i="32"/>
  <c r="Z18" i="32"/>
  <c r="T27" i="23"/>
  <c r="Z18" i="23"/>
  <c r="L18" i="19"/>
  <c r="D27" i="19"/>
  <c r="L18" i="11"/>
  <c r="D27" i="11"/>
  <c r="Z18" i="4"/>
  <c r="T27" i="4"/>
  <c r="T27" i="10"/>
  <c r="Z18" i="10"/>
  <c r="H101" i="81"/>
  <c r="T74" i="74"/>
  <c r="V20" i="74"/>
  <c r="N16" i="55"/>
  <c r="H33" i="55"/>
  <c r="P77" i="84"/>
  <c r="R20" i="84"/>
  <c r="X20" i="84"/>
  <c r="Z20" i="84" s="1"/>
  <c r="L16" i="63"/>
  <c r="D58" i="63"/>
  <c r="P36" i="96"/>
  <c r="X16" i="96"/>
  <c r="F84" i="95"/>
  <c r="F82" i="95"/>
  <c r="F73" i="95"/>
  <c r="F69" i="95"/>
  <c r="F68" i="95"/>
  <c r="F86" i="95"/>
  <c r="F52" i="95"/>
  <c r="F51" i="95"/>
  <c r="F40" i="95"/>
  <c r="F36" i="95"/>
  <c r="L12" i="95"/>
  <c r="F63" i="95"/>
  <c r="F31" i="95"/>
  <c r="F27" i="95"/>
  <c r="F74" i="95"/>
  <c r="F70" i="95"/>
  <c r="F54" i="95"/>
  <c r="F53" i="95"/>
  <c r="F42" i="95"/>
  <c r="F41" i="95"/>
  <c r="F18" i="95"/>
  <c r="F17" i="95"/>
  <c r="F91" i="95"/>
  <c r="F88" i="95"/>
  <c r="F65" i="95"/>
  <c r="F64" i="95"/>
  <c r="F37" i="95"/>
  <c r="F76" i="95"/>
  <c r="F75" i="95"/>
  <c r="F56" i="95"/>
  <c r="F55" i="95"/>
  <c r="F44" i="95"/>
  <c r="F43" i="95"/>
  <c r="F32" i="95"/>
  <c r="F28" i="95"/>
  <c r="F71" i="95"/>
  <c r="F19" i="95"/>
  <c r="F78" i="95"/>
  <c r="F77" i="95"/>
  <c r="F66" i="95"/>
  <c r="F58" i="95"/>
  <c r="F57" i="95"/>
  <c r="F46" i="95"/>
  <c r="F45" i="95"/>
  <c r="F38" i="95"/>
  <c r="F67" i="95"/>
  <c r="F39" i="95"/>
  <c r="F35" i="95"/>
  <c r="F34" i="95"/>
  <c r="D21" i="95"/>
  <c r="F47" i="95"/>
  <c r="F25" i="95"/>
  <c r="F30" i="95"/>
  <c r="F23" i="95"/>
  <c r="F61" i="95"/>
  <c r="F50" i="95"/>
  <c r="F79" i="95"/>
  <c r="F59" i="95"/>
  <c r="F21" i="95"/>
  <c r="F48" i="95"/>
  <c r="F29" i="95"/>
  <c r="F24" i="95"/>
  <c r="F62" i="95"/>
  <c r="F72" i="95"/>
  <c r="F49" i="95"/>
  <c r="F60" i="95"/>
  <c r="F33" i="95"/>
  <c r="F26" i="95"/>
  <c r="F80" i="95"/>
  <c r="Z80" i="90"/>
  <c r="P83" i="90"/>
  <c r="H87" i="86"/>
  <c r="N20" i="86"/>
  <c r="Z68" i="83"/>
  <c r="F20" i="85"/>
  <c r="D71" i="73"/>
  <c r="L20" i="73"/>
  <c r="N20" i="73" s="1"/>
  <c r="R54" i="70"/>
  <c r="R53" i="70"/>
  <c r="R41" i="70"/>
  <c r="R37" i="70"/>
  <c r="R90" i="70"/>
  <c r="R76" i="70"/>
  <c r="R72" i="70"/>
  <c r="R64" i="70"/>
  <c r="R56" i="70"/>
  <c r="R55" i="70"/>
  <c r="R47" i="70"/>
  <c r="R48" i="70"/>
  <c r="R80" i="70"/>
  <c r="R79" i="70"/>
  <c r="R59" i="70"/>
  <c r="R43" i="70"/>
  <c r="R39" i="70"/>
  <c r="R74" i="70"/>
  <c r="R67" i="70"/>
  <c r="R66" i="70"/>
  <c r="R86" i="70"/>
  <c r="R83" i="70"/>
  <c r="R75" i="70"/>
  <c r="R52" i="70"/>
  <c r="R51" i="70"/>
  <c r="R36" i="70"/>
  <c r="R81" i="70"/>
  <c r="R70" i="70"/>
  <c r="R42" i="70"/>
  <c r="R38" i="70"/>
  <c r="R65" i="70"/>
  <c r="R58" i="70"/>
  <c r="R63" i="70"/>
  <c r="R60" i="70"/>
  <c r="R44" i="70"/>
  <c r="R40" i="70"/>
  <c r="R73" i="70"/>
  <c r="R31" i="70"/>
  <c r="R77" i="70"/>
  <c r="R71" i="70"/>
  <c r="R68" i="70"/>
  <c r="R61" i="70"/>
  <c r="R49" i="70"/>
  <c r="R45" i="70"/>
  <c r="R85" i="70"/>
  <c r="R82" i="70"/>
  <c r="X12" i="70"/>
  <c r="R69" i="70"/>
  <c r="P33" i="70"/>
  <c r="R78" i="70"/>
  <c r="R57" i="70"/>
  <c r="R46" i="70"/>
  <c r="R50" i="70"/>
  <c r="R35" i="70"/>
  <c r="R62" i="70"/>
  <c r="T124" i="66"/>
  <c r="Z63" i="66"/>
  <c r="X66" i="48"/>
  <c r="Z66" i="48" s="1"/>
  <c r="R66" i="48"/>
  <c r="P69" i="48"/>
  <c r="P74" i="56"/>
  <c r="X70" i="56"/>
  <c r="H70" i="56"/>
  <c r="N16" i="56"/>
  <c r="V158" i="30"/>
  <c r="V150" i="30"/>
  <c r="V138" i="30"/>
  <c r="V130" i="30"/>
  <c r="V122" i="30"/>
  <c r="V114" i="30"/>
  <c r="V157" i="30"/>
  <c r="V145" i="30"/>
  <c r="V133" i="30"/>
  <c r="V121" i="30"/>
  <c r="V113" i="30"/>
  <c r="V105" i="30"/>
  <c r="V101" i="30"/>
  <c r="V140" i="30"/>
  <c r="V132" i="30"/>
  <c r="V124" i="30"/>
  <c r="V100" i="30"/>
  <c r="V96" i="30"/>
  <c r="V92" i="30"/>
  <c r="V159" i="30"/>
  <c r="V151" i="30"/>
  <c r="V147" i="30"/>
  <c r="V139" i="30"/>
  <c r="V123" i="30"/>
  <c r="V115" i="30"/>
  <c r="V91" i="30"/>
  <c r="V87" i="30"/>
  <c r="V83" i="30"/>
  <c r="V79" i="30"/>
  <c r="V75" i="30"/>
  <c r="V71" i="30"/>
  <c r="V67" i="30"/>
  <c r="V63" i="30"/>
  <c r="V59" i="30"/>
  <c r="V146" i="30"/>
  <c r="V134" i="30"/>
  <c r="V126" i="30"/>
  <c r="V106" i="30"/>
  <c r="V102" i="30"/>
  <c r="T89" i="30"/>
  <c r="V89" i="30" s="1"/>
  <c r="V167" i="30"/>
  <c r="V161" i="30"/>
  <c r="V141" i="30"/>
  <c r="V125" i="30"/>
  <c r="V117" i="30"/>
  <c r="V97" i="30"/>
  <c r="V93" i="30"/>
  <c r="V166" i="30"/>
  <c r="V160" i="30"/>
  <c r="V152" i="30"/>
  <c r="V148" i="30"/>
  <c r="V116" i="30"/>
  <c r="V108" i="30"/>
  <c r="V84" i="30"/>
  <c r="V80" i="30"/>
  <c r="V76" i="30"/>
  <c r="V72" i="30"/>
  <c r="V165" i="30"/>
  <c r="V135" i="30"/>
  <c r="V127" i="30"/>
  <c r="V119" i="30"/>
  <c r="V107" i="30"/>
  <c r="V103" i="30"/>
  <c r="V171" i="30"/>
  <c r="V153" i="30"/>
  <c r="V149" i="30"/>
  <c r="V137" i="30"/>
  <c r="V129" i="30"/>
  <c r="V109" i="30"/>
  <c r="V85" i="30"/>
  <c r="V81" i="30"/>
  <c r="V77" i="30"/>
  <c r="V73" i="30"/>
  <c r="V69" i="30"/>
  <c r="V65" i="30"/>
  <c r="V61" i="30"/>
  <c r="V57" i="30"/>
  <c r="V82" i="30"/>
  <c r="V74" i="30"/>
  <c r="V70" i="30"/>
  <c r="V66" i="30"/>
  <c r="V144" i="30"/>
  <c r="V142" i="30"/>
  <c r="V111" i="30"/>
  <c r="V86" i="30"/>
  <c r="V78" i="30"/>
  <c r="V62" i="30"/>
  <c r="V60" i="30"/>
  <c r="V136" i="30"/>
  <c r="V99" i="30"/>
  <c r="V94" i="30"/>
  <c r="V164" i="30"/>
  <c r="V128" i="30"/>
  <c r="V118" i="30"/>
  <c r="V110" i="30"/>
  <c r="V58" i="30"/>
  <c r="V155" i="30"/>
  <c r="V120" i="30"/>
  <c r="V112" i="30"/>
  <c r="V154" i="30"/>
  <c r="V104" i="30"/>
  <c r="V95" i="30"/>
  <c r="V131" i="30"/>
  <c r="V156" i="30"/>
  <c r="V68" i="30"/>
  <c r="V162" i="30"/>
  <c r="V143" i="30"/>
  <c r="V98" i="30"/>
  <c r="V64" i="30"/>
  <c r="N16" i="6"/>
  <c r="H22" i="6"/>
  <c r="Z16" i="6"/>
  <c r="T22" i="6"/>
  <c r="X16" i="6"/>
  <c r="L205" i="3"/>
  <c r="N205" i="3" s="1"/>
  <c r="D324" i="3"/>
  <c r="X18" i="53"/>
  <c r="P27" i="53"/>
  <c r="T27" i="43"/>
  <c r="Z18" i="43"/>
  <c r="T27" i="40"/>
  <c r="Z18" i="40"/>
  <c r="L18" i="41"/>
  <c r="D27" i="41"/>
  <c r="L18" i="40"/>
  <c r="D27" i="40"/>
  <c r="T27" i="34"/>
  <c r="Z18" i="34"/>
  <c r="X18" i="38"/>
  <c r="P27" i="38"/>
  <c r="H27" i="34"/>
  <c r="N18" i="34"/>
  <c r="H27" i="31"/>
  <c r="N18" i="31"/>
  <c r="L18" i="29"/>
  <c r="D27" i="29"/>
  <c r="T27" i="20"/>
  <c r="Z18" i="20"/>
  <c r="X18" i="17"/>
  <c r="P27" i="17"/>
  <c r="P27" i="16"/>
  <c r="X18" i="16"/>
  <c r="L18" i="8"/>
  <c r="D27" i="8"/>
  <c r="P27" i="14"/>
  <c r="X18" i="14"/>
  <c r="L16" i="9"/>
  <c r="D91" i="9"/>
  <c r="H36" i="96"/>
  <c r="N16" i="96"/>
  <c r="D73" i="97"/>
  <c r="V66" i="94"/>
  <c r="V85" i="94"/>
  <c r="V77" i="94"/>
  <c r="V73" i="94"/>
  <c r="V67" i="94"/>
  <c r="V88" i="94"/>
  <c r="V86" i="94"/>
  <c r="V78" i="94"/>
  <c r="V74" i="94"/>
  <c r="V70" i="94"/>
  <c r="V69" i="94"/>
  <c r="V80" i="94"/>
  <c r="V64" i="94"/>
  <c r="V79" i="94"/>
  <c r="V75" i="94"/>
  <c r="V71" i="94"/>
  <c r="V84" i="94"/>
  <c r="V76" i="94"/>
  <c r="V72" i="94"/>
  <c r="V58" i="94"/>
  <c r="V46" i="94"/>
  <c r="V38" i="94"/>
  <c r="V34" i="94"/>
  <c r="T21" i="94"/>
  <c r="V21" i="94" s="1"/>
  <c r="V49" i="94"/>
  <c r="V33" i="94"/>
  <c r="V29" i="94"/>
  <c r="V25" i="94"/>
  <c r="V60" i="94"/>
  <c r="V48" i="94"/>
  <c r="V82" i="94"/>
  <c r="V68" i="94"/>
  <c r="V51" i="94"/>
  <c r="V39" i="94"/>
  <c r="V35" i="94"/>
  <c r="V50" i="94"/>
  <c r="V30" i="94"/>
  <c r="V26" i="94"/>
  <c r="V53" i="94"/>
  <c r="V41" i="94"/>
  <c r="V17" i="94"/>
  <c r="V61" i="94"/>
  <c r="V52" i="94"/>
  <c r="V40" i="94"/>
  <c r="V36" i="94"/>
  <c r="Z12" i="94"/>
  <c r="V55" i="94"/>
  <c r="V43" i="94"/>
  <c r="V31" i="94"/>
  <c r="V27" i="94"/>
  <c r="V92" i="94"/>
  <c r="V65" i="94"/>
  <c r="V62" i="94"/>
  <c r="V56" i="94"/>
  <c r="V44" i="94"/>
  <c r="V32" i="94"/>
  <c r="V28" i="94"/>
  <c r="V24" i="94"/>
  <c r="V59" i="94"/>
  <c r="V63" i="94"/>
  <c r="V37" i="94"/>
  <c r="V18" i="94"/>
  <c r="V81" i="94"/>
  <c r="V83" i="94"/>
  <c r="V57" i="94"/>
  <c r="V23" i="94"/>
  <c r="V42" i="94"/>
  <c r="V45" i="94"/>
  <c r="V47" i="94"/>
  <c r="V54" i="94"/>
  <c r="V19" i="94"/>
  <c r="D46" i="91"/>
  <c r="L16" i="91"/>
  <c r="T67" i="89"/>
  <c r="X20" i="89"/>
  <c r="Z20" i="89" s="1"/>
  <c r="P63" i="89"/>
  <c r="H53" i="87"/>
  <c r="N20" i="87"/>
  <c r="T87" i="86"/>
  <c r="H77" i="84"/>
  <c r="H31" i="78"/>
  <c r="N19" i="78"/>
  <c r="H71" i="73"/>
  <c r="J131" i="69"/>
  <c r="J109" i="69"/>
  <c r="J101" i="69"/>
  <c r="J95" i="69"/>
  <c r="J132" i="69"/>
  <c r="J118" i="69"/>
  <c r="J110" i="69"/>
  <c r="J102" i="69"/>
  <c r="J90" i="69"/>
  <c r="J86" i="69"/>
  <c r="J133" i="69"/>
  <c r="J125" i="69"/>
  <c r="J119" i="69"/>
  <c r="J77" i="69"/>
  <c r="J73" i="69"/>
  <c r="J69" i="69"/>
  <c r="J65" i="69"/>
  <c r="J61" i="69"/>
  <c r="J57" i="69"/>
  <c r="J120" i="69"/>
  <c r="J139" i="69"/>
  <c r="J111" i="69"/>
  <c r="J103" i="69"/>
  <c r="J91" i="69"/>
  <c r="J87" i="69"/>
  <c r="J138" i="69"/>
  <c r="J134" i="69"/>
  <c r="J126" i="69"/>
  <c r="J112" i="69"/>
  <c r="J104" i="69"/>
  <c r="J92" i="69"/>
  <c r="J78" i="69"/>
  <c r="J74" i="69"/>
  <c r="J70" i="69"/>
  <c r="J66" i="69"/>
  <c r="J62" i="69"/>
  <c r="J58" i="69"/>
  <c r="J54" i="69"/>
  <c r="J143" i="69"/>
  <c r="J137" i="69"/>
  <c r="J121" i="69"/>
  <c r="J113" i="69"/>
  <c r="J105" i="69"/>
  <c r="J97" i="69"/>
  <c r="J93" i="69"/>
  <c r="J83" i="69"/>
  <c r="J136" i="69"/>
  <c r="J122" i="69"/>
  <c r="J114" i="69"/>
  <c r="J106" i="69"/>
  <c r="J88" i="69"/>
  <c r="J84" i="69"/>
  <c r="J82" i="69"/>
  <c r="J80" i="69"/>
  <c r="J127" i="69"/>
  <c r="J123" i="69"/>
  <c r="J115" i="69"/>
  <c r="J107" i="69"/>
  <c r="H80" i="69"/>
  <c r="J75" i="69"/>
  <c r="J71" i="69"/>
  <c r="J67" i="69"/>
  <c r="J63" i="69"/>
  <c r="J59" i="69"/>
  <c r="J55" i="69"/>
  <c r="J117" i="69"/>
  <c r="J99" i="69"/>
  <c r="J129" i="69"/>
  <c r="J108" i="69"/>
  <c r="J53" i="69"/>
  <c r="J85" i="69"/>
  <c r="J89" i="69"/>
  <c r="J60" i="69"/>
  <c r="J98" i="69"/>
  <c r="J72" i="69"/>
  <c r="J64" i="69"/>
  <c r="J128" i="69"/>
  <c r="J116" i="69"/>
  <c r="J56" i="69"/>
  <c r="J130" i="69"/>
  <c r="J94" i="69"/>
  <c r="J96" i="69"/>
  <c r="J76" i="69"/>
  <c r="J100" i="69"/>
  <c r="J68" i="69"/>
  <c r="J124" i="69"/>
  <c r="F81" i="70"/>
  <c r="F80" i="70"/>
  <c r="F49" i="70"/>
  <c r="F68" i="70"/>
  <c r="F67" i="70"/>
  <c r="F60" i="70"/>
  <c r="F44" i="70"/>
  <c r="F40" i="70"/>
  <c r="F83" i="70"/>
  <c r="F82" i="70"/>
  <c r="F75" i="70"/>
  <c r="F51" i="70"/>
  <c r="F50" i="70"/>
  <c r="F90" i="70"/>
  <c r="F85" i="70"/>
  <c r="F76" i="70"/>
  <c r="F72" i="70"/>
  <c r="F71" i="70"/>
  <c r="F64" i="70"/>
  <c r="F63" i="70"/>
  <c r="F35" i="70"/>
  <c r="F33" i="70"/>
  <c r="F31" i="70"/>
  <c r="F55" i="70"/>
  <c r="F54" i="70"/>
  <c r="F47" i="70"/>
  <c r="F42" i="70"/>
  <c r="F38" i="70"/>
  <c r="F79" i="70"/>
  <c r="F78" i="70"/>
  <c r="F59" i="70"/>
  <c r="F58" i="70"/>
  <c r="F43" i="70"/>
  <c r="F39" i="70"/>
  <c r="F86" i="70"/>
  <c r="F62" i="70"/>
  <c r="F46" i="70"/>
  <c r="F48" i="70"/>
  <c r="F70" i="70"/>
  <c r="F65" i="70"/>
  <c r="F36" i="70"/>
  <c r="F53" i="70"/>
  <c r="F73" i="70"/>
  <c r="F56" i="70"/>
  <c r="F77" i="70"/>
  <c r="F61" i="70"/>
  <c r="F45" i="70"/>
  <c r="L12" i="70"/>
  <c r="F41" i="70"/>
  <c r="F57" i="70"/>
  <c r="F66" i="70"/>
  <c r="F37" i="70"/>
  <c r="F74" i="70"/>
  <c r="F69" i="70"/>
  <c r="D33" i="70"/>
  <c r="F52" i="70"/>
  <c r="J61" i="67"/>
  <c r="J69" i="67"/>
  <c r="J53" i="67"/>
  <c r="J33" i="67"/>
  <c r="J29" i="67"/>
  <c r="J27" i="67"/>
  <c r="J25" i="67"/>
  <c r="J67" i="67"/>
  <c r="H25" i="67"/>
  <c r="J72" i="67"/>
  <c r="J59" i="67"/>
  <c r="J54" i="67"/>
  <c r="J43" i="67"/>
  <c r="J39" i="67"/>
  <c r="J64" i="67"/>
  <c r="J44" i="67"/>
  <c r="J34" i="67"/>
  <c r="J30" i="67"/>
  <c r="J60" i="67"/>
  <c r="J45" i="67"/>
  <c r="J74" i="67"/>
  <c r="J55" i="67"/>
  <c r="J46" i="67"/>
  <c r="J40" i="67"/>
  <c r="J68" i="67"/>
  <c r="J65" i="67"/>
  <c r="J56" i="67"/>
  <c r="J47" i="67"/>
  <c r="J35" i="67"/>
  <c r="J31" i="67"/>
  <c r="J21" i="67"/>
  <c r="J57" i="67"/>
  <c r="J48" i="67"/>
  <c r="J22" i="67"/>
  <c r="J70" i="67"/>
  <c r="J66" i="67"/>
  <c r="J51" i="67"/>
  <c r="J37" i="67"/>
  <c r="J23" i="67"/>
  <c r="J63" i="67"/>
  <c r="J36" i="67"/>
  <c r="J38" i="67"/>
  <c r="J71" i="67"/>
  <c r="J42" i="67"/>
  <c r="J28" i="67"/>
  <c r="J62" i="67"/>
  <c r="J49" i="67"/>
  <c r="J78" i="67"/>
  <c r="J58" i="67"/>
  <c r="J41" i="67"/>
  <c r="J32" i="67"/>
  <c r="J52" i="67"/>
  <c r="J50" i="67"/>
  <c r="R115" i="64"/>
  <c r="R114" i="64"/>
  <c r="R109" i="64"/>
  <c r="R102" i="64"/>
  <c r="R101" i="64"/>
  <c r="R86" i="64"/>
  <c r="R85" i="64"/>
  <c r="R81" i="64"/>
  <c r="R110" i="64"/>
  <c r="R95" i="64"/>
  <c r="R94" i="64"/>
  <c r="R123" i="64"/>
  <c r="R98" i="64"/>
  <c r="R97" i="64"/>
  <c r="R89" i="64"/>
  <c r="R118" i="64"/>
  <c r="R106" i="64"/>
  <c r="R65" i="64"/>
  <c r="R55" i="64"/>
  <c r="R62" i="64"/>
  <c r="R52" i="64"/>
  <c r="R83" i="64"/>
  <c r="R80" i="64"/>
  <c r="R74" i="64"/>
  <c r="R69" i="64"/>
  <c r="R59" i="64"/>
  <c r="R113" i="64"/>
  <c r="R107" i="64"/>
  <c r="R87" i="64"/>
  <c r="P74" i="64"/>
  <c r="R66" i="64"/>
  <c r="R56" i="64"/>
  <c r="R119" i="64"/>
  <c r="R108" i="64"/>
  <c r="R103" i="64"/>
  <c r="R90" i="64"/>
  <c r="R77" i="64"/>
  <c r="R76" i="64"/>
  <c r="R63" i="64"/>
  <c r="R111" i="64"/>
  <c r="R99" i="64"/>
  <c r="R70" i="64"/>
  <c r="R60" i="64"/>
  <c r="R116" i="64"/>
  <c r="R100" i="64"/>
  <c r="R91" i="64"/>
  <c r="R84" i="64"/>
  <c r="R78" i="64"/>
  <c r="R67" i="64"/>
  <c r="R53" i="64"/>
  <c r="R88" i="64"/>
  <c r="R64" i="64"/>
  <c r="R104" i="64"/>
  <c r="R96" i="64"/>
  <c r="R71" i="64"/>
  <c r="R57" i="64"/>
  <c r="X12" i="64"/>
  <c r="R82" i="64"/>
  <c r="R58" i="64"/>
  <c r="R51" i="64"/>
  <c r="R112" i="64"/>
  <c r="R92" i="64"/>
  <c r="R105" i="64"/>
  <c r="R68" i="64"/>
  <c r="R79" i="64"/>
  <c r="R93" i="64"/>
  <c r="R61" i="64"/>
  <c r="R54" i="64"/>
  <c r="R72" i="64"/>
  <c r="N100" i="62"/>
  <c r="H105" i="62"/>
  <c r="X100" i="62"/>
  <c r="H65" i="59"/>
  <c r="X17" i="62"/>
  <c r="Z127" i="39"/>
  <c r="X17" i="48"/>
  <c r="Z17" i="48" s="1"/>
  <c r="L122" i="36"/>
  <c r="N122" i="36" s="1"/>
  <c r="V126" i="42"/>
  <c r="V112" i="42"/>
  <c r="V104" i="42"/>
  <c r="V100" i="42"/>
  <c r="V111" i="42"/>
  <c r="V95" i="42"/>
  <c r="V83" i="42"/>
  <c r="V90" i="42"/>
  <c r="V78" i="42"/>
  <c r="V66" i="42"/>
  <c r="V114" i="42"/>
  <c r="V106" i="42"/>
  <c r="V102" i="42"/>
  <c r="V98" i="42"/>
  <c r="V86" i="42"/>
  <c r="V81" i="42"/>
  <c r="V122" i="42"/>
  <c r="V116" i="42"/>
  <c r="V108" i="42"/>
  <c r="V92" i="42"/>
  <c r="V88" i="42"/>
  <c r="V72" i="42"/>
  <c r="V60" i="42"/>
  <c r="V96" i="42"/>
  <c r="V91" i="42"/>
  <c r="V63" i="42"/>
  <c r="V47" i="42"/>
  <c r="V43" i="42"/>
  <c r="V120" i="42"/>
  <c r="V101" i="42"/>
  <c r="V94" i="42"/>
  <c r="V38" i="42"/>
  <c r="V34" i="42"/>
  <c r="V99" i="42"/>
  <c r="V97" i="42"/>
  <c r="V89" i="42"/>
  <c r="V57" i="42"/>
  <c r="V49" i="42"/>
  <c r="V25" i="42"/>
  <c r="V84" i="42"/>
  <c r="V70" i="42"/>
  <c r="V65" i="42"/>
  <c r="V48" i="42"/>
  <c r="V44" i="42"/>
  <c r="V121" i="42"/>
  <c r="V117" i="42"/>
  <c r="V109" i="42"/>
  <c r="V82" i="42"/>
  <c r="V79" i="42"/>
  <c r="V75" i="42"/>
  <c r="V64" i="42"/>
  <c r="V59" i="42"/>
  <c r="V51" i="42"/>
  <c r="V39" i="42"/>
  <c r="V35" i="42"/>
  <c r="V31" i="42"/>
  <c r="V87" i="42"/>
  <c r="V85" i="42"/>
  <c r="V80" i="42"/>
  <c r="V76" i="42"/>
  <c r="V58" i="42"/>
  <c r="V50" i="42"/>
  <c r="V30" i="42"/>
  <c r="V26" i="42"/>
  <c r="V110" i="42"/>
  <c r="V67" i="42"/>
  <c r="V53" i="42"/>
  <c r="V45" i="42"/>
  <c r="V41" i="42"/>
  <c r="T28" i="42"/>
  <c r="V115" i="42"/>
  <c r="V107" i="42"/>
  <c r="V71" i="42"/>
  <c r="V61" i="42"/>
  <c r="V52" i="42"/>
  <c r="V40" i="42"/>
  <c r="V36" i="42"/>
  <c r="V32" i="42"/>
  <c r="V55" i="42"/>
  <c r="V113" i="42"/>
  <c r="V105" i="42"/>
  <c r="V77" i="42"/>
  <c r="V54" i="42"/>
  <c r="V46" i="42"/>
  <c r="V42" i="42"/>
  <c r="V68" i="42"/>
  <c r="V37" i="42"/>
  <c r="V33" i="42"/>
  <c r="V24" i="42"/>
  <c r="V119" i="42"/>
  <c r="V103" i="42"/>
  <c r="V69" i="42"/>
  <c r="V93" i="42"/>
  <c r="V73" i="42"/>
  <c r="V56" i="42"/>
  <c r="V62" i="42"/>
  <c r="V74" i="42"/>
  <c r="X29" i="36"/>
  <c r="P127" i="36"/>
  <c r="R123" i="27"/>
  <c r="R117" i="27"/>
  <c r="R116" i="27"/>
  <c r="R85" i="27"/>
  <c r="R84" i="27"/>
  <c r="R80" i="27"/>
  <c r="R45" i="27"/>
  <c r="X12" i="27"/>
  <c r="Z12" i="27" s="1"/>
  <c r="R122" i="27"/>
  <c r="R103" i="27"/>
  <c r="R95" i="27"/>
  <c r="R75" i="27"/>
  <c r="R71" i="27"/>
  <c r="R121" i="27"/>
  <c r="R118" i="27"/>
  <c r="R110" i="27"/>
  <c r="R87" i="27"/>
  <c r="R86" i="27"/>
  <c r="R67" i="27"/>
  <c r="R62" i="27"/>
  <c r="R58" i="27"/>
  <c r="R54" i="27"/>
  <c r="R50" i="27"/>
  <c r="R46" i="27"/>
  <c r="R127" i="27"/>
  <c r="R120" i="27"/>
  <c r="R81" i="27"/>
  <c r="R66" i="27"/>
  <c r="R105" i="27"/>
  <c r="R104" i="27"/>
  <c r="R97" i="27"/>
  <c r="R96" i="27"/>
  <c r="R88" i="27"/>
  <c r="R77" i="27"/>
  <c r="R76" i="27"/>
  <c r="R72" i="27"/>
  <c r="R68" i="27"/>
  <c r="P64" i="27"/>
  <c r="R112" i="27"/>
  <c r="R111" i="27"/>
  <c r="R59" i="27"/>
  <c r="R55" i="27"/>
  <c r="R51" i="27"/>
  <c r="R47" i="27"/>
  <c r="R106" i="27"/>
  <c r="R99" i="27"/>
  <c r="R98" i="27"/>
  <c r="R82" i="27"/>
  <c r="R78" i="27"/>
  <c r="R115" i="27"/>
  <c r="R114" i="27"/>
  <c r="R74" i="27"/>
  <c r="R70" i="27"/>
  <c r="R113" i="27"/>
  <c r="R102" i="27"/>
  <c r="R93" i="27"/>
  <c r="R57" i="27"/>
  <c r="R53" i="27"/>
  <c r="R49" i="27"/>
  <c r="R73" i="27"/>
  <c r="R109" i="27"/>
  <c r="R89" i="27"/>
  <c r="R79" i="27"/>
  <c r="R107" i="27"/>
  <c r="R94" i="27"/>
  <c r="R92" i="27"/>
  <c r="R69" i="27"/>
  <c r="R56" i="27"/>
  <c r="R48" i="27"/>
  <c r="R100" i="27"/>
  <c r="R91" i="27"/>
  <c r="R61" i="27"/>
  <c r="R108" i="27"/>
  <c r="R90" i="27"/>
  <c r="R52" i="27"/>
  <c r="R60" i="27"/>
  <c r="R101" i="27"/>
  <c r="R83" i="27"/>
  <c r="T281" i="12"/>
  <c r="H27" i="53"/>
  <c r="N18" i="53"/>
  <c r="X18" i="47"/>
  <c r="P27" i="47"/>
  <c r="L18" i="50"/>
  <c r="D27" i="50"/>
  <c r="T27" i="41"/>
  <c r="Z18" i="41"/>
  <c r="T27" i="46"/>
  <c r="Z18" i="46"/>
  <c r="L18" i="35"/>
  <c r="D27" i="35"/>
  <c r="T27" i="29"/>
  <c r="Z18" i="29"/>
  <c r="Z18" i="31"/>
  <c r="T27" i="31"/>
  <c r="H27" i="29"/>
  <c r="N18" i="29"/>
  <c r="X18" i="23"/>
  <c r="P27" i="23"/>
  <c r="L18" i="23"/>
  <c r="D27" i="23"/>
  <c r="X18" i="4"/>
  <c r="P27" i="4"/>
  <c r="D55" i="93"/>
  <c r="J82" i="76"/>
  <c r="J80" i="76"/>
  <c r="J64" i="76"/>
  <c r="J48" i="76"/>
  <c r="J38" i="76"/>
  <c r="J28" i="76"/>
  <c r="J24" i="76"/>
  <c r="J22" i="76"/>
  <c r="J20" i="76"/>
  <c r="J71" i="76"/>
  <c r="J65" i="76"/>
  <c r="J59" i="76"/>
  <c r="J49" i="76"/>
  <c r="J39" i="76"/>
  <c r="H20" i="76"/>
  <c r="L20" i="76" s="1"/>
  <c r="J84" i="76"/>
  <c r="J66" i="76"/>
  <c r="J50" i="76"/>
  <c r="J40" i="76"/>
  <c r="J34" i="76"/>
  <c r="J67" i="76"/>
  <c r="J51" i="76"/>
  <c r="J41" i="76"/>
  <c r="J29" i="76"/>
  <c r="J25" i="76"/>
  <c r="J89" i="76"/>
  <c r="J86" i="76"/>
  <c r="J72" i="76"/>
  <c r="J68" i="76"/>
  <c r="J60" i="76"/>
  <c r="J52" i="76"/>
  <c r="J42" i="76"/>
  <c r="J73" i="76"/>
  <c r="J61" i="76"/>
  <c r="J53" i="76"/>
  <c r="J43" i="76"/>
  <c r="J35" i="76"/>
  <c r="J74" i="76"/>
  <c r="J62" i="76"/>
  <c r="J54" i="76"/>
  <c r="J44" i="76"/>
  <c r="J30" i="76"/>
  <c r="J26" i="76"/>
  <c r="J16" i="76"/>
  <c r="J75" i="76"/>
  <c r="J69" i="76"/>
  <c r="J55" i="76"/>
  <c r="J45" i="76"/>
  <c r="J17" i="76"/>
  <c r="J76" i="76"/>
  <c r="J56" i="76"/>
  <c r="J36" i="76"/>
  <c r="N12" i="76"/>
  <c r="J78" i="76"/>
  <c r="J70" i="76"/>
  <c r="J58" i="76"/>
  <c r="J46" i="76"/>
  <c r="J32" i="76"/>
  <c r="J18" i="76"/>
  <c r="J23" i="76"/>
  <c r="J27" i="76"/>
  <c r="J33" i="76"/>
  <c r="J31" i="76"/>
  <c r="J57" i="76"/>
  <c r="L12" i="76"/>
  <c r="J37" i="76"/>
  <c r="J63" i="76"/>
  <c r="J47" i="76"/>
  <c r="J77" i="76"/>
  <c r="V66" i="73"/>
  <c r="V54" i="73"/>
  <c r="V69" i="73"/>
  <c r="V67" i="73"/>
  <c r="V55" i="73"/>
  <c r="V47" i="73"/>
  <c r="V61" i="73"/>
  <c r="V56" i="73"/>
  <c r="V62" i="73"/>
  <c r="V58" i="73"/>
  <c r="V50" i="73"/>
  <c r="V65" i="73"/>
  <c r="V51" i="73"/>
  <c r="V44" i="73"/>
  <c r="V16" i="73"/>
  <c r="V73" i="73"/>
  <c r="V43" i="73"/>
  <c r="V35" i="73"/>
  <c r="V52" i="73"/>
  <c r="V49" i="73"/>
  <c r="V30" i="73"/>
  <c r="V26" i="73"/>
  <c r="V63" i="73"/>
  <c r="V17" i="73"/>
  <c r="V36" i="73"/>
  <c r="V32" i="73"/>
  <c r="Z12" i="73"/>
  <c r="V64" i="73"/>
  <c r="V59" i="73"/>
  <c r="V46" i="73"/>
  <c r="V45" i="73"/>
  <c r="V31" i="73"/>
  <c r="V27" i="73"/>
  <c r="V23" i="73"/>
  <c r="V38" i="73"/>
  <c r="V22" i="73"/>
  <c r="V18" i="73"/>
  <c r="V53" i="73"/>
  <c r="V37" i="73"/>
  <c r="V33" i="73"/>
  <c r="T20" i="73"/>
  <c r="V60" i="73"/>
  <c r="V57" i="73"/>
  <c r="V48" i="73"/>
  <c r="V42" i="73"/>
  <c r="V34" i="73"/>
  <c r="V24" i="73"/>
  <c r="V40" i="73"/>
  <c r="V28" i="73"/>
  <c r="V25" i="73"/>
  <c r="V39" i="73"/>
  <c r="V29" i="73"/>
  <c r="V41" i="73"/>
  <c r="P301" i="18"/>
  <c r="P90" i="94"/>
  <c r="X21" i="94"/>
  <c r="V79" i="92"/>
  <c r="V78" i="92"/>
  <c r="V84" i="92"/>
  <c r="V82" i="92"/>
  <c r="V77" i="92"/>
  <c r="V69" i="92"/>
  <c r="V66" i="92"/>
  <c r="V52" i="92"/>
  <c r="V40" i="92"/>
  <c r="V36" i="92"/>
  <c r="Z12" i="92"/>
  <c r="V81" i="92"/>
  <c r="V51" i="92"/>
  <c r="V31" i="92"/>
  <c r="V27" i="92"/>
  <c r="V72" i="92"/>
  <c r="V62" i="92"/>
  <c r="V54" i="92"/>
  <c r="V42" i="92"/>
  <c r="V18" i="92"/>
  <c r="V88" i="92"/>
  <c r="V53" i="92"/>
  <c r="V41" i="92"/>
  <c r="V37" i="92"/>
  <c r="V75" i="92"/>
  <c r="V70" i="92"/>
  <c r="V64" i="92"/>
  <c r="V56" i="92"/>
  <c r="V44" i="92"/>
  <c r="V32" i="92"/>
  <c r="V28" i="92"/>
  <c r="V67" i="92"/>
  <c r="V63" i="92"/>
  <c r="V55" i="92"/>
  <c r="V43" i="92"/>
  <c r="V19" i="92"/>
  <c r="V58" i="92"/>
  <c r="V46" i="92"/>
  <c r="V38" i="92"/>
  <c r="V73" i="92"/>
  <c r="V68" i="92"/>
  <c r="V57" i="92"/>
  <c r="V45" i="92"/>
  <c r="V33" i="92"/>
  <c r="V29" i="92"/>
  <c r="V25" i="92"/>
  <c r="V65" i="92"/>
  <c r="V60" i="92"/>
  <c r="V48" i="92"/>
  <c r="V24" i="92"/>
  <c r="V22" i="92"/>
  <c r="V20" i="92"/>
  <c r="V80" i="92"/>
  <c r="V35" i="92"/>
  <c r="V49" i="92"/>
  <c r="V74" i="92"/>
  <c r="V47" i="92"/>
  <c r="V26" i="92"/>
  <c r="V76" i="92"/>
  <c r="V39" i="92"/>
  <c r="V71" i="92"/>
  <c r="V50" i="92"/>
  <c r="V30" i="92"/>
  <c r="T22" i="92"/>
  <c r="V61" i="92"/>
  <c r="V59" i="92"/>
  <c r="V34" i="92"/>
  <c r="P53" i="88"/>
  <c r="T77" i="84"/>
  <c r="H128" i="77"/>
  <c r="D82" i="76"/>
  <c r="F110" i="71"/>
  <c r="F93" i="71"/>
  <c r="F92" i="71"/>
  <c r="F69" i="71"/>
  <c r="F65" i="71"/>
  <c r="F61" i="71"/>
  <c r="F60" i="71"/>
  <c r="F109" i="71"/>
  <c r="F84" i="71"/>
  <c r="F59" i="71"/>
  <c r="F57" i="71"/>
  <c r="F52" i="71"/>
  <c r="F48" i="71"/>
  <c r="F44" i="71"/>
  <c r="F40" i="71"/>
  <c r="F39" i="71"/>
  <c r="F108" i="71"/>
  <c r="F99" i="71"/>
  <c r="F75" i="71"/>
  <c r="F71" i="71"/>
  <c r="F70" i="71"/>
  <c r="D57" i="71"/>
  <c r="F94" i="71"/>
  <c r="F86" i="71"/>
  <c r="F85" i="71"/>
  <c r="F66" i="71"/>
  <c r="F62" i="71"/>
  <c r="F77" i="71"/>
  <c r="F76" i="71"/>
  <c r="F100" i="71"/>
  <c r="F96" i="71"/>
  <c r="F95" i="71"/>
  <c r="F88" i="71"/>
  <c r="F87" i="71"/>
  <c r="F72" i="71"/>
  <c r="L12" i="71"/>
  <c r="F79" i="71"/>
  <c r="F78" i="71"/>
  <c r="F67" i="71"/>
  <c r="F63" i="71"/>
  <c r="F102" i="71"/>
  <c r="F101" i="71"/>
  <c r="F90" i="71"/>
  <c r="F89" i="71"/>
  <c r="F54" i="71"/>
  <c r="F50" i="71"/>
  <c r="F46" i="71"/>
  <c r="F42" i="71"/>
  <c r="F112" i="71"/>
  <c r="F91" i="71"/>
  <c r="F83" i="71"/>
  <c r="F82" i="71"/>
  <c r="F55" i="71"/>
  <c r="F51" i="71"/>
  <c r="F47" i="71"/>
  <c r="F43" i="71"/>
  <c r="F68" i="71"/>
  <c r="F104" i="71"/>
  <c r="F80" i="71"/>
  <c r="F74" i="71"/>
  <c r="F97" i="71"/>
  <c r="F116" i="71"/>
  <c r="F105" i="71"/>
  <c r="F53" i="71"/>
  <c r="F103" i="71"/>
  <c r="F49" i="71"/>
  <c r="F81" i="71"/>
  <c r="F64" i="71"/>
  <c r="F106" i="71"/>
  <c r="F41" i="71"/>
  <c r="F111" i="71"/>
  <c r="F45" i="71"/>
  <c r="F73" i="71"/>
  <c r="F98" i="71"/>
  <c r="R44" i="72"/>
  <c r="R43" i="72"/>
  <c r="R28" i="72"/>
  <c r="R23" i="72"/>
  <c r="R19" i="72"/>
  <c r="R54" i="72"/>
  <c r="R38" i="72"/>
  <c r="R27" i="72"/>
  <c r="R25" i="72"/>
  <c r="R66" i="72"/>
  <c r="R64" i="72"/>
  <c r="R46" i="72"/>
  <c r="R45" i="72"/>
  <c r="R33" i="72"/>
  <c r="R29" i="72"/>
  <c r="P25" i="72"/>
  <c r="R63" i="72"/>
  <c r="R20" i="72"/>
  <c r="R62" i="72"/>
  <c r="R56" i="72"/>
  <c r="R55" i="72"/>
  <c r="R47" i="72"/>
  <c r="R39" i="72"/>
  <c r="R68" i="72"/>
  <c r="R61" i="72"/>
  <c r="R34" i="72"/>
  <c r="R30" i="72"/>
  <c r="R73" i="72"/>
  <c r="R70" i="72"/>
  <c r="R60" i="72"/>
  <c r="R57" i="72"/>
  <c r="R21" i="72"/>
  <c r="R59" i="72"/>
  <c r="R49" i="72"/>
  <c r="R48" i="72"/>
  <c r="R40" i="72"/>
  <c r="X12" i="72"/>
  <c r="Z12" i="72" s="1"/>
  <c r="R42" i="72"/>
  <c r="R41" i="72"/>
  <c r="R37" i="72"/>
  <c r="R18" i="72"/>
  <c r="R53" i="72"/>
  <c r="R36" i="72"/>
  <c r="R22" i="72"/>
  <c r="R32" i="72"/>
  <c r="R52" i="72"/>
  <c r="R50" i="72"/>
  <c r="R31" i="72"/>
  <c r="R51" i="72"/>
  <c r="R35" i="72"/>
  <c r="X12" i="73"/>
  <c r="J108" i="71"/>
  <c r="J84" i="71"/>
  <c r="J70" i="71"/>
  <c r="H57" i="71"/>
  <c r="J52" i="71"/>
  <c r="J48" i="71"/>
  <c r="J44" i="71"/>
  <c r="J40" i="71"/>
  <c r="J99" i="71"/>
  <c r="J85" i="71"/>
  <c r="J75" i="71"/>
  <c r="J71" i="71"/>
  <c r="J94" i="71"/>
  <c r="J86" i="71"/>
  <c r="J76" i="71"/>
  <c r="J66" i="71"/>
  <c r="J62" i="71"/>
  <c r="J95" i="71"/>
  <c r="J87" i="71"/>
  <c r="J77" i="71"/>
  <c r="J100" i="71"/>
  <c r="J96" i="71"/>
  <c r="J88" i="71"/>
  <c r="J78" i="71"/>
  <c r="J72" i="71"/>
  <c r="J101" i="71"/>
  <c r="J89" i="71"/>
  <c r="J79" i="71"/>
  <c r="J67" i="71"/>
  <c r="J63" i="71"/>
  <c r="J102" i="71"/>
  <c r="J90" i="71"/>
  <c r="J80" i="71"/>
  <c r="J54" i="71"/>
  <c r="J50" i="71"/>
  <c r="J46" i="71"/>
  <c r="J42" i="71"/>
  <c r="J103" i="71"/>
  <c r="J97" i="71"/>
  <c r="J81" i="71"/>
  <c r="J73" i="71"/>
  <c r="J116" i="71"/>
  <c r="J110" i="71"/>
  <c r="J106" i="71"/>
  <c r="J98" i="71"/>
  <c r="J92" i="71"/>
  <c r="J74" i="71"/>
  <c r="J60" i="71"/>
  <c r="J112" i="71"/>
  <c r="J104" i="71"/>
  <c r="J57" i="71"/>
  <c r="J61" i="71"/>
  <c r="J82" i="71"/>
  <c r="J105" i="71"/>
  <c r="J65" i="71"/>
  <c r="J59" i="71"/>
  <c r="J55" i="71"/>
  <c r="J53" i="71"/>
  <c r="J93" i="71"/>
  <c r="J69" i="71"/>
  <c r="J51" i="71"/>
  <c r="J111" i="71"/>
  <c r="J91" i="71"/>
  <c r="J49" i="71"/>
  <c r="J47" i="71"/>
  <c r="J45" i="71"/>
  <c r="J41" i="71"/>
  <c r="J64" i="71"/>
  <c r="J83" i="71"/>
  <c r="J39" i="71"/>
  <c r="N12" i="71"/>
  <c r="J68" i="71"/>
  <c r="J43" i="71"/>
  <c r="J109" i="71"/>
  <c r="V79" i="68"/>
  <c r="V71" i="68"/>
  <c r="V63" i="68"/>
  <c r="V59" i="68"/>
  <c r="V55" i="68"/>
  <c r="V81" i="68"/>
  <c r="V65" i="68"/>
  <c r="T52" i="68"/>
  <c r="V82" i="68"/>
  <c r="V74" i="68"/>
  <c r="V66" i="68"/>
  <c r="V73" i="68"/>
  <c r="V86" i="68"/>
  <c r="V84" i="68"/>
  <c r="V76" i="68"/>
  <c r="V48" i="68"/>
  <c r="V75" i="68"/>
  <c r="V67" i="68"/>
  <c r="V61" i="68"/>
  <c r="V49" i="68"/>
  <c r="V45" i="68"/>
  <c r="V43" i="68"/>
  <c r="V72" i="68"/>
  <c r="V54" i="68"/>
  <c r="V41" i="68"/>
  <c r="V39" i="68"/>
  <c r="V70" i="68"/>
  <c r="V37" i="68"/>
  <c r="V64" i="68"/>
  <c r="V62" i="68"/>
  <c r="V57" i="68"/>
  <c r="V35" i="68"/>
  <c r="V50" i="68"/>
  <c r="V46" i="68"/>
  <c r="V44" i="68"/>
  <c r="V77" i="68"/>
  <c r="V42" i="68"/>
  <c r="V52" i="68"/>
  <c r="V36" i="68"/>
  <c r="V83" i="68"/>
  <c r="V69" i="68"/>
  <c r="V56" i="68"/>
  <c r="V38" i="68"/>
  <c r="V78" i="68"/>
  <c r="V58" i="68"/>
  <c r="V40" i="68"/>
  <c r="V60" i="68"/>
  <c r="V90" i="68"/>
  <c r="V68" i="68"/>
  <c r="V47" i="68"/>
  <c r="V80" i="68"/>
  <c r="N119" i="66"/>
  <c r="D72" i="65"/>
  <c r="F66" i="67"/>
  <c r="F68" i="67"/>
  <c r="F64" i="67"/>
  <c r="F63" i="67"/>
  <c r="F58" i="67"/>
  <c r="F42" i="67"/>
  <c r="F38" i="67"/>
  <c r="F37" i="67"/>
  <c r="F71" i="67"/>
  <c r="F53" i="67"/>
  <c r="F52" i="67"/>
  <c r="F33" i="67"/>
  <c r="F29" i="67"/>
  <c r="F28" i="67"/>
  <c r="F67" i="67"/>
  <c r="F27" i="67"/>
  <c r="F25" i="67"/>
  <c r="F80" i="67"/>
  <c r="F72" i="67"/>
  <c r="F59" i="67"/>
  <c r="F43" i="67"/>
  <c r="F39" i="67"/>
  <c r="D25" i="67"/>
  <c r="F54" i="67"/>
  <c r="F34" i="67"/>
  <c r="F30" i="67"/>
  <c r="F45" i="67"/>
  <c r="F44" i="67"/>
  <c r="F83" i="67"/>
  <c r="F61" i="67"/>
  <c r="F60" i="67"/>
  <c r="F55" i="67"/>
  <c r="F40" i="67"/>
  <c r="L12" i="67"/>
  <c r="N12" i="67" s="1"/>
  <c r="F76" i="67"/>
  <c r="F74" i="67"/>
  <c r="F65" i="67"/>
  <c r="F47" i="67"/>
  <c r="F46" i="67"/>
  <c r="F35" i="67"/>
  <c r="F31" i="67"/>
  <c r="F78" i="67"/>
  <c r="F62" i="67"/>
  <c r="F36" i="67"/>
  <c r="F32" i="67"/>
  <c r="F57" i="67"/>
  <c r="F50" i="67"/>
  <c r="F48" i="67"/>
  <c r="F22" i="67"/>
  <c r="F69" i="67"/>
  <c r="F51" i="67"/>
  <c r="F56" i="67"/>
  <c r="F49" i="67"/>
  <c r="F21" i="67"/>
  <c r="F41" i="67"/>
  <c r="F23" i="67"/>
  <c r="F70" i="67"/>
  <c r="V90" i="70"/>
  <c r="V76" i="70"/>
  <c r="V72" i="70"/>
  <c r="V64" i="70"/>
  <c r="V56" i="70"/>
  <c r="V55" i="70"/>
  <c r="V47" i="70"/>
  <c r="V78" i="70"/>
  <c r="V58" i="70"/>
  <c r="V79" i="70"/>
  <c r="V67" i="70"/>
  <c r="V59" i="70"/>
  <c r="V43" i="70"/>
  <c r="V39" i="70"/>
  <c r="V82" i="70"/>
  <c r="V74" i="70"/>
  <c r="V66" i="70"/>
  <c r="V50" i="70"/>
  <c r="V81" i="70"/>
  <c r="V69" i="70"/>
  <c r="V61" i="70"/>
  <c r="V49" i="70"/>
  <c r="V45" i="70"/>
  <c r="V70" i="70"/>
  <c r="V62" i="70"/>
  <c r="V54" i="70"/>
  <c r="V46" i="70"/>
  <c r="T33" i="70"/>
  <c r="V65" i="70"/>
  <c r="V63" i="70"/>
  <c r="V60" i="70"/>
  <c r="V44" i="70"/>
  <c r="V40" i="70"/>
  <c r="V31" i="70"/>
  <c r="V75" i="70"/>
  <c r="V73" i="70"/>
  <c r="V71" i="70"/>
  <c r="V53" i="70"/>
  <c r="V77" i="70"/>
  <c r="V68" i="70"/>
  <c r="V51" i="70"/>
  <c r="V85" i="70"/>
  <c r="Z12" i="70"/>
  <c r="V33" i="70"/>
  <c r="V80" i="70"/>
  <c r="V41" i="70"/>
  <c r="V37" i="70"/>
  <c r="V52" i="70"/>
  <c r="V86" i="70"/>
  <c r="V57" i="70"/>
  <c r="V35" i="70"/>
  <c r="V48" i="70"/>
  <c r="V42" i="70"/>
  <c r="V38" i="70"/>
  <c r="V83" i="70"/>
  <c r="V36" i="70"/>
  <c r="H62" i="63"/>
  <c r="X16" i="58"/>
  <c r="P73" i="58"/>
  <c r="X16" i="54"/>
  <c r="P22" i="54"/>
  <c r="P105" i="62"/>
  <c r="H58" i="60"/>
  <c r="T68" i="59"/>
  <c r="J105" i="39"/>
  <c r="J99" i="39"/>
  <c r="J93" i="39"/>
  <c r="J87" i="39"/>
  <c r="J77" i="39"/>
  <c r="J67" i="39"/>
  <c r="J59" i="39"/>
  <c r="J47" i="39"/>
  <c r="J43" i="39"/>
  <c r="J39" i="39"/>
  <c r="J37" i="39"/>
  <c r="J122" i="39"/>
  <c r="J114" i="39"/>
  <c r="J110" i="39"/>
  <c r="J106" i="39"/>
  <c r="J94" i="39"/>
  <c r="J88" i="39"/>
  <c r="J78" i="39"/>
  <c r="J68" i="39"/>
  <c r="J60" i="39"/>
  <c r="J48" i="39"/>
  <c r="H35" i="39"/>
  <c r="J89" i="39"/>
  <c r="J69" i="39"/>
  <c r="J61" i="39"/>
  <c r="J53" i="39"/>
  <c r="J49" i="39"/>
  <c r="J100" i="39"/>
  <c r="J70" i="39"/>
  <c r="J62" i="39"/>
  <c r="J44" i="39"/>
  <c r="J40" i="39"/>
  <c r="J123" i="39"/>
  <c r="J115" i="39"/>
  <c r="J111" i="39"/>
  <c r="J107" i="39"/>
  <c r="J95" i="39"/>
  <c r="J79" i="39"/>
  <c r="J71" i="39"/>
  <c r="J63" i="39"/>
  <c r="J130" i="39"/>
  <c r="J124" i="39"/>
  <c r="J116" i="39"/>
  <c r="J96" i="39"/>
  <c r="J90" i="39"/>
  <c r="J80" i="39"/>
  <c r="J72" i="39"/>
  <c r="J54" i="39"/>
  <c r="J50" i="39"/>
  <c r="J129" i="39"/>
  <c r="J125" i="39"/>
  <c r="J117" i="39"/>
  <c r="J101" i="39"/>
  <c r="J97" i="39"/>
  <c r="J81" i="39"/>
  <c r="J73" i="39"/>
  <c r="J45" i="39"/>
  <c r="J41" i="39"/>
  <c r="J31" i="39"/>
  <c r="J120" i="39"/>
  <c r="J98" i="39"/>
  <c r="J84" i="39"/>
  <c r="J56" i="39"/>
  <c r="J46" i="39"/>
  <c r="J42" i="39"/>
  <c r="J108" i="39"/>
  <c r="J66" i="39"/>
  <c r="J57" i="39"/>
  <c r="J127" i="39"/>
  <c r="J112" i="39"/>
  <c r="J86" i="39"/>
  <c r="J64" i="39"/>
  <c r="J102" i="39"/>
  <c r="J92" i="39"/>
  <c r="J75" i="39"/>
  <c r="J104" i="39"/>
  <c r="J55" i="39"/>
  <c r="J51" i="39"/>
  <c r="J82" i="39"/>
  <c r="J58" i="39"/>
  <c r="J121" i="39"/>
  <c r="J33" i="39"/>
  <c r="J128" i="39"/>
  <c r="J119" i="39"/>
  <c r="J113" i="39"/>
  <c r="J109" i="39"/>
  <c r="J91" i="39"/>
  <c r="J74" i="39"/>
  <c r="N12" i="39"/>
  <c r="J76" i="39"/>
  <c r="J65" i="39"/>
  <c r="J52" i="39"/>
  <c r="J32" i="39"/>
  <c r="J85" i="39"/>
  <c r="J83" i="39"/>
  <c r="J118" i="39"/>
  <c r="J134" i="39"/>
  <c r="J38" i="39"/>
  <c r="J103" i="39"/>
  <c r="J102" i="21"/>
  <c r="J82" i="21"/>
  <c r="J76" i="21"/>
  <c r="J68" i="21"/>
  <c r="J56" i="21"/>
  <c r="J46" i="21"/>
  <c r="J42" i="21"/>
  <c r="J93" i="21"/>
  <c r="J89" i="21"/>
  <c r="J83" i="21"/>
  <c r="J77" i="21"/>
  <c r="J69" i="21"/>
  <c r="J57" i="21"/>
  <c r="J47" i="21"/>
  <c r="J37" i="21"/>
  <c r="J33" i="21"/>
  <c r="J104" i="21"/>
  <c r="J84" i="21"/>
  <c r="J78" i="21"/>
  <c r="J70" i="21"/>
  <c r="J58" i="21"/>
  <c r="J48" i="21"/>
  <c r="J85" i="21"/>
  <c r="J79" i="21"/>
  <c r="J71" i="21"/>
  <c r="J59" i="21"/>
  <c r="J49" i="21"/>
  <c r="J43" i="21"/>
  <c r="J108" i="21"/>
  <c r="J94" i="21"/>
  <c r="J90" i="21"/>
  <c r="J86" i="21"/>
  <c r="J72" i="21"/>
  <c r="J60" i="21"/>
  <c r="J50" i="21"/>
  <c r="J38" i="21"/>
  <c r="J34" i="21"/>
  <c r="J24" i="21"/>
  <c r="J95" i="21"/>
  <c r="J73" i="21"/>
  <c r="J61" i="21"/>
  <c r="J51" i="21"/>
  <c r="J25" i="21"/>
  <c r="J96" i="21"/>
  <c r="J80" i="21"/>
  <c r="J62" i="21"/>
  <c r="J52" i="21"/>
  <c r="J44" i="21"/>
  <c r="N12" i="21"/>
  <c r="J97" i="21"/>
  <c r="J91" i="21"/>
  <c r="J87" i="21"/>
  <c r="J63" i="21"/>
  <c r="J53" i="21"/>
  <c r="J39" i="21"/>
  <c r="J35" i="21"/>
  <c r="J98" i="21"/>
  <c r="J74" i="21"/>
  <c r="J64" i="21"/>
  <c r="J54" i="21"/>
  <c r="J40" i="21"/>
  <c r="J26" i="21"/>
  <c r="J99" i="21"/>
  <c r="J81" i="21"/>
  <c r="J65" i="21"/>
  <c r="J45" i="21"/>
  <c r="J41" i="21"/>
  <c r="J31" i="21"/>
  <c r="J100" i="21"/>
  <c r="J92" i="21"/>
  <c r="J88" i="21"/>
  <c r="J66" i="21"/>
  <c r="J36" i="21"/>
  <c r="J32" i="21"/>
  <c r="J30" i="21"/>
  <c r="J28" i="21"/>
  <c r="J55" i="21"/>
  <c r="J101" i="21"/>
  <c r="J75" i="21"/>
  <c r="J67" i="21"/>
  <c r="H28" i="21"/>
  <c r="T91" i="9"/>
  <c r="Z16" i="9"/>
  <c r="T27" i="99"/>
  <c r="Z18" i="99"/>
  <c r="X18" i="44"/>
  <c r="P27" i="44"/>
  <c r="T27" i="49"/>
  <c r="Z18" i="49"/>
  <c r="H27" i="40"/>
  <c r="N18" i="40"/>
  <c r="X18" i="25"/>
  <c r="P27" i="25"/>
  <c r="L18" i="16"/>
  <c r="D27" i="16"/>
  <c r="N18" i="13"/>
  <c r="H27" i="13"/>
  <c r="H27" i="8"/>
  <c r="N18" i="8"/>
  <c r="L18" i="5"/>
  <c r="D27" i="5"/>
  <c r="T27" i="5"/>
  <c r="Z18" i="5"/>
  <c r="N18" i="4"/>
  <c r="H27" i="4"/>
  <c r="X16" i="91"/>
  <c r="P46" i="91"/>
  <c r="V66" i="97"/>
  <c r="L31" i="96"/>
  <c r="N31" i="96" s="1"/>
  <c r="X12" i="94"/>
  <c r="R51" i="87"/>
  <c r="R41" i="87"/>
  <c r="R40" i="87"/>
  <c r="R28" i="87"/>
  <c r="R24" i="87"/>
  <c r="P20" i="87"/>
  <c r="R43" i="87"/>
  <c r="R42" i="87"/>
  <c r="R34" i="87"/>
  <c r="R55" i="87"/>
  <c r="R29" i="87"/>
  <c r="R25" i="87"/>
  <c r="R45" i="87"/>
  <c r="R44" i="87"/>
  <c r="R35" i="87"/>
  <c r="R16" i="87"/>
  <c r="R46" i="87"/>
  <c r="R30" i="87"/>
  <c r="R17" i="87"/>
  <c r="R37" i="87"/>
  <c r="R36" i="87"/>
  <c r="X12" i="87"/>
  <c r="Z12" i="87" s="1"/>
  <c r="R39" i="87"/>
  <c r="R38" i="87"/>
  <c r="R23" i="87"/>
  <c r="R18" i="87"/>
  <c r="R27" i="87"/>
  <c r="R47" i="87"/>
  <c r="R31" i="87"/>
  <c r="R20" i="87"/>
  <c r="R32" i="87"/>
  <c r="R48" i="87"/>
  <c r="R26" i="87"/>
  <c r="R22" i="87"/>
  <c r="R33" i="87"/>
  <c r="R49" i="87"/>
  <c r="P96" i="85"/>
  <c r="V20" i="82"/>
  <c r="P83" i="79"/>
  <c r="X20" i="79"/>
  <c r="V68" i="83"/>
  <c r="H75" i="82"/>
  <c r="N20" i="82"/>
  <c r="V72" i="76"/>
  <c r="V68" i="76"/>
  <c r="V60" i="76"/>
  <c r="V52" i="76"/>
  <c r="V44" i="76"/>
  <c r="V16" i="76"/>
  <c r="V75" i="76"/>
  <c r="V55" i="76"/>
  <c r="V43" i="76"/>
  <c r="V35" i="76"/>
  <c r="V74" i="76"/>
  <c r="V62" i="76"/>
  <c r="V54" i="76"/>
  <c r="V30" i="76"/>
  <c r="V26" i="76"/>
  <c r="V77" i="76"/>
  <c r="V69" i="76"/>
  <c r="V57" i="76"/>
  <c r="V45" i="76"/>
  <c r="V17" i="76"/>
  <c r="V76" i="76"/>
  <c r="V56" i="76"/>
  <c r="V36" i="76"/>
  <c r="V32" i="76"/>
  <c r="V63" i="76"/>
  <c r="V47" i="76"/>
  <c r="V31" i="76"/>
  <c r="V27" i="76"/>
  <c r="V23" i="76"/>
  <c r="V80" i="76"/>
  <c r="V78" i="76"/>
  <c r="V70" i="76"/>
  <c r="V58" i="76"/>
  <c r="V46" i="76"/>
  <c r="V38" i="76"/>
  <c r="V22" i="76"/>
  <c r="V18" i="76"/>
  <c r="V65" i="76"/>
  <c r="V49" i="76"/>
  <c r="V37" i="76"/>
  <c r="V33" i="76"/>
  <c r="T20" i="76"/>
  <c r="V64" i="76"/>
  <c r="V48" i="76"/>
  <c r="V40" i="76"/>
  <c r="V28" i="76"/>
  <c r="V24" i="76"/>
  <c r="V84" i="76"/>
  <c r="V66" i="76"/>
  <c r="V50" i="76"/>
  <c r="V42" i="76"/>
  <c r="V34" i="76"/>
  <c r="V29" i="76"/>
  <c r="V67" i="76"/>
  <c r="V61" i="76"/>
  <c r="V51" i="76"/>
  <c r="Z12" i="76"/>
  <c r="V59" i="76"/>
  <c r="V53" i="76"/>
  <c r="V39" i="76"/>
  <c r="V71" i="76"/>
  <c r="V41" i="76"/>
  <c r="V25" i="76"/>
  <c r="V73" i="76"/>
  <c r="N25" i="72"/>
  <c r="H66" i="72"/>
  <c r="H74" i="74"/>
  <c r="N20" i="74"/>
  <c r="R59" i="77"/>
  <c r="X85" i="70"/>
  <c r="X108" i="71"/>
  <c r="T66" i="72"/>
  <c r="D105" i="62"/>
  <c r="L17" i="62"/>
  <c r="H73" i="58"/>
  <c r="N16" i="58"/>
  <c r="V63" i="66"/>
  <c r="D73" i="48"/>
  <c r="L69" i="48"/>
  <c r="X16" i="55"/>
  <c r="R24" i="45"/>
  <c r="D70" i="72"/>
  <c r="L12" i="39"/>
  <c r="X127" i="39"/>
  <c r="R29" i="36"/>
  <c r="F95" i="36"/>
  <c r="F63" i="36"/>
  <c r="F62" i="36"/>
  <c r="F55" i="36"/>
  <c r="F54" i="36"/>
  <c r="F47" i="36"/>
  <c r="F43" i="36"/>
  <c r="F42" i="36"/>
  <c r="D29" i="36"/>
  <c r="F118" i="36"/>
  <c r="F110" i="36"/>
  <c r="F106" i="36"/>
  <c r="F102" i="36"/>
  <c r="F90" i="36"/>
  <c r="F74" i="36"/>
  <c r="F73" i="36"/>
  <c r="F38" i="36"/>
  <c r="F34" i="36"/>
  <c r="F85" i="36"/>
  <c r="F65" i="36"/>
  <c r="F64" i="36"/>
  <c r="F57" i="36"/>
  <c r="F56" i="36"/>
  <c r="F125" i="36"/>
  <c r="F120" i="36"/>
  <c r="F119" i="36"/>
  <c r="F112" i="36"/>
  <c r="F111" i="36"/>
  <c r="F96" i="36"/>
  <c r="F92" i="36"/>
  <c r="F91" i="36"/>
  <c r="F76" i="36"/>
  <c r="F75" i="36"/>
  <c r="F48" i="36"/>
  <c r="F44" i="36"/>
  <c r="L12" i="36"/>
  <c r="N12" i="36" s="1"/>
  <c r="F129" i="36"/>
  <c r="F124" i="36"/>
  <c r="F107" i="36"/>
  <c r="F103" i="36"/>
  <c r="F67" i="36"/>
  <c r="F66" i="36"/>
  <c r="F39" i="36"/>
  <c r="F35" i="36"/>
  <c r="F123" i="36"/>
  <c r="F114" i="36"/>
  <c r="F113" i="36"/>
  <c r="F98" i="36"/>
  <c r="F97" i="36"/>
  <c r="F86" i="36"/>
  <c r="F78" i="36"/>
  <c r="F77" i="36"/>
  <c r="F58" i="36"/>
  <c r="F26" i="36"/>
  <c r="F25" i="36"/>
  <c r="F122" i="36"/>
  <c r="F93" i="36"/>
  <c r="F69" i="36"/>
  <c r="F68" i="36"/>
  <c r="F49" i="36"/>
  <c r="F45" i="36"/>
  <c r="F116" i="36"/>
  <c r="F115" i="36"/>
  <c r="F108" i="36"/>
  <c r="F104" i="36"/>
  <c r="F80" i="36"/>
  <c r="F79" i="36"/>
  <c r="F40" i="36"/>
  <c r="F36" i="36"/>
  <c r="F117" i="36"/>
  <c r="F109" i="36"/>
  <c r="F105" i="36"/>
  <c r="F101" i="36"/>
  <c r="F100" i="36"/>
  <c r="F89" i="36"/>
  <c r="F88" i="36"/>
  <c r="F61" i="36"/>
  <c r="F60" i="36"/>
  <c r="F53" i="36"/>
  <c r="F52" i="36"/>
  <c r="F41" i="36"/>
  <c r="F37" i="36"/>
  <c r="F33" i="36"/>
  <c r="F32" i="36"/>
  <c r="F82" i="36"/>
  <c r="F94" i="36"/>
  <c r="F31" i="36"/>
  <c r="F51" i="36"/>
  <c r="F70" i="36"/>
  <c r="F59" i="36"/>
  <c r="F83" i="36"/>
  <c r="F72" i="36"/>
  <c r="F99" i="36"/>
  <c r="F87" i="36"/>
  <c r="F29" i="36"/>
  <c r="F81" i="36"/>
  <c r="F84" i="36"/>
  <c r="F50" i="36"/>
  <c r="F27" i="36"/>
  <c r="F46" i="36"/>
  <c r="F71" i="36"/>
  <c r="N287" i="18"/>
  <c r="X28" i="21"/>
  <c r="P106" i="21"/>
  <c r="R269" i="15"/>
  <c r="R254" i="15"/>
  <c r="R253" i="15"/>
  <c r="R225" i="15"/>
  <c r="R217" i="15"/>
  <c r="R209" i="15"/>
  <c r="R185" i="15"/>
  <c r="R181" i="15"/>
  <c r="R265" i="15"/>
  <c r="R262" i="15"/>
  <c r="R261" i="15"/>
  <c r="R237" i="15"/>
  <c r="R236" i="15"/>
  <c r="R200" i="15"/>
  <c r="R193" i="15"/>
  <c r="R192" i="15"/>
  <c r="R176" i="15"/>
  <c r="R172" i="15"/>
  <c r="R268" i="15"/>
  <c r="R267" i="15"/>
  <c r="R266" i="15"/>
  <c r="R264" i="15"/>
  <c r="R263" i="15"/>
  <c r="R255" i="15"/>
  <c r="R247" i="15"/>
  <c r="R243" i="15"/>
  <c r="R232" i="15"/>
  <c r="R231" i="15"/>
  <c r="R163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270" i="15"/>
  <c r="R238" i="15"/>
  <c r="R226" i="15"/>
  <c r="R219" i="15"/>
  <c r="R218" i="15"/>
  <c r="R211" i="15"/>
  <c r="R210" i="15"/>
  <c r="R195" i="15"/>
  <c r="R194" i="15"/>
  <c r="R186" i="15"/>
  <c r="R182" i="15"/>
  <c r="R233" i="15"/>
  <c r="R202" i="15"/>
  <c r="R201" i="15"/>
  <c r="R177" i="15"/>
  <c r="R173" i="15"/>
  <c r="R256" i="15"/>
  <c r="R249" i="15"/>
  <c r="R248" i="15"/>
  <c r="R244" i="15"/>
  <c r="R221" i="15"/>
  <c r="R220" i="15"/>
  <c r="R213" i="15"/>
  <c r="R212" i="15"/>
  <c r="R196" i="15"/>
  <c r="R169" i="15"/>
  <c r="R164" i="15"/>
  <c r="R160" i="15"/>
  <c r="R156" i="15"/>
  <c r="R152" i="15"/>
  <c r="R148" i="15"/>
  <c r="R144" i="15"/>
  <c r="R140" i="15"/>
  <c r="R136" i="15"/>
  <c r="R132" i="15"/>
  <c r="R128" i="15"/>
  <c r="R124" i="15"/>
  <c r="R120" i="15"/>
  <c r="R116" i="15"/>
  <c r="R240" i="15"/>
  <c r="R239" i="15"/>
  <c r="R228" i="15"/>
  <c r="R227" i="15"/>
  <c r="R204" i="15"/>
  <c r="R203" i="15"/>
  <c r="R188" i="15"/>
  <c r="R187" i="15"/>
  <c r="R183" i="15"/>
  <c r="R168" i="15"/>
  <c r="R250" i="15"/>
  <c r="R234" i="15"/>
  <c r="R223" i="15"/>
  <c r="R222" i="15"/>
  <c r="R215" i="15"/>
  <c r="R214" i="15"/>
  <c r="R178" i="15"/>
  <c r="R174" i="15"/>
  <c r="R170" i="15"/>
  <c r="R258" i="15"/>
  <c r="R257" i="15"/>
  <c r="R274" i="15"/>
  <c r="R259" i="15"/>
  <c r="R252" i="15"/>
  <c r="R251" i="15"/>
  <c r="R235" i="15"/>
  <c r="R208" i="15"/>
  <c r="R207" i="15"/>
  <c r="R191" i="15"/>
  <c r="R180" i="15"/>
  <c r="R179" i="15"/>
  <c r="R175" i="15"/>
  <c r="R171" i="15"/>
  <c r="R246" i="15"/>
  <c r="R242" i="15"/>
  <c r="R230" i="15"/>
  <c r="R199" i="15"/>
  <c r="R198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114" i="15"/>
  <c r="R133" i="15"/>
  <c r="R125" i="15"/>
  <c r="R149" i="15"/>
  <c r="R145" i="15"/>
  <c r="R141" i="15"/>
  <c r="R137" i="15"/>
  <c r="R129" i="15"/>
  <c r="R121" i="15"/>
  <c r="R117" i="15"/>
  <c r="R153" i="15"/>
  <c r="R206" i="15"/>
  <c r="R241" i="15"/>
  <c r="R157" i="15"/>
  <c r="R189" i="15"/>
  <c r="R229" i="15"/>
  <c r="R161" i="15"/>
  <c r="X12" i="15"/>
  <c r="R245" i="15"/>
  <c r="R224" i="15"/>
  <c r="R216" i="15"/>
  <c r="R184" i="15"/>
  <c r="P166" i="15"/>
  <c r="R205" i="15"/>
  <c r="R190" i="15"/>
  <c r="R197" i="15"/>
  <c r="R113" i="15"/>
  <c r="F294" i="18"/>
  <c r="F265" i="18"/>
  <c r="F253" i="18"/>
  <c r="F229" i="18"/>
  <c r="F228" i="18"/>
  <c r="F213" i="18"/>
  <c r="F209" i="18"/>
  <c r="F293" i="18"/>
  <c r="F276" i="18"/>
  <c r="F275" i="18"/>
  <c r="F260" i="18"/>
  <c r="F248" i="18"/>
  <c r="F247" i="18"/>
  <c r="F240" i="18"/>
  <c r="F239" i="18"/>
  <c r="F204" i="18"/>
  <c r="F200" i="18"/>
  <c r="F196" i="18"/>
  <c r="F195" i="18"/>
  <c r="F292" i="18"/>
  <c r="F283" i="18"/>
  <c r="F271" i="18"/>
  <c r="F267" i="18"/>
  <c r="F266" i="18"/>
  <c r="F255" i="18"/>
  <c r="F254" i="18"/>
  <c r="F231" i="18"/>
  <c r="F230" i="18"/>
  <c r="F223" i="18"/>
  <c r="F215" i="18"/>
  <c r="F214" i="18"/>
  <c r="F194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290" i="18"/>
  <c r="F285" i="18"/>
  <c r="F284" i="18"/>
  <c r="F277" i="18"/>
  <c r="F261" i="18"/>
  <c r="F233" i="18"/>
  <c r="F232" i="18"/>
  <c r="F217" i="18"/>
  <c r="F216" i="18"/>
  <c r="F205" i="18"/>
  <c r="F201" i="18"/>
  <c r="F197" i="18"/>
  <c r="F289" i="18"/>
  <c r="F272" i="18"/>
  <c r="F268" i="18"/>
  <c r="F256" i="18"/>
  <c r="F224" i="18"/>
  <c r="F188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31" i="18"/>
  <c r="F288" i="18"/>
  <c r="F279" i="18"/>
  <c r="F278" i="18"/>
  <c r="F251" i="18"/>
  <c r="F243" i="18"/>
  <c r="F235" i="18"/>
  <c r="F234" i="18"/>
  <c r="F211" i="18"/>
  <c r="F207" i="18"/>
  <c r="F206" i="18"/>
  <c r="F299" i="18"/>
  <c r="F287" i="18"/>
  <c r="F262" i="18"/>
  <c r="F226" i="18"/>
  <c r="F225" i="18"/>
  <c r="F218" i="18"/>
  <c r="F202" i="18"/>
  <c r="F198" i="18"/>
  <c r="F303" i="18"/>
  <c r="F298" i="18"/>
  <c r="F281" i="18"/>
  <c r="F280" i="18"/>
  <c r="F273" i="18"/>
  <c r="F269" i="18"/>
  <c r="F257" i="18"/>
  <c r="F189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297" i="18"/>
  <c r="F264" i="18"/>
  <c r="F263" i="18"/>
  <c r="F252" i="18"/>
  <c r="F244" i="18"/>
  <c r="F236" i="18"/>
  <c r="F220" i="18"/>
  <c r="F219" i="18"/>
  <c r="F212" i="18"/>
  <c r="F208" i="18"/>
  <c r="F296" i="18"/>
  <c r="F259" i="18"/>
  <c r="F258" i="18"/>
  <c r="F227" i="18"/>
  <c r="F203" i="18"/>
  <c r="F199" i="18"/>
  <c r="F295" i="18"/>
  <c r="F250" i="18"/>
  <c r="F222" i="18"/>
  <c r="D192" i="18"/>
  <c r="F174" i="18"/>
  <c r="F166" i="18"/>
  <c r="F146" i="18"/>
  <c r="F282" i="18"/>
  <c r="F237" i="18"/>
  <c r="F246" i="18"/>
  <c r="F154" i="18"/>
  <c r="F242" i="18"/>
  <c r="F182" i="18"/>
  <c r="F134" i="18"/>
  <c r="F270" i="18"/>
  <c r="F190" i="18"/>
  <c r="F142" i="18"/>
  <c r="F238" i="18"/>
  <c r="F162" i="18"/>
  <c r="F291" i="18"/>
  <c r="F170" i="18"/>
  <c r="F150" i="18"/>
  <c r="L12" i="18"/>
  <c r="N12" i="18" s="1"/>
  <c r="F249" i="18"/>
  <c r="F221" i="18"/>
  <c r="F178" i="18"/>
  <c r="F241" i="18"/>
  <c r="F186" i="18"/>
  <c r="F158" i="18"/>
  <c r="F138" i="18"/>
  <c r="F274" i="18"/>
  <c r="F210" i="18"/>
  <c r="F245" i="18"/>
  <c r="V270" i="12"/>
  <c r="X270" i="12"/>
  <c r="Z270" i="12" s="1"/>
  <c r="T27" i="98"/>
  <c r="Z18" i="98"/>
  <c r="L18" i="52"/>
  <c r="D27" i="52"/>
  <c r="T27" i="50"/>
  <c r="Z18" i="50"/>
  <c r="X18" i="40"/>
  <c r="P27" i="40"/>
  <c r="X18" i="43"/>
  <c r="P27" i="43"/>
  <c r="N18" i="32"/>
  <c r="H27" i="32"/>
  <c r="H27" i="20"/>
  <c r="N18" i="20"/>
  <c r="R90" i="68"/>
  <c r="R69" i="68"/>
  <c r="R68" i="68"/>
  <c r="X12" i="68"/>
  <c r="Z12" i="68" s="1"/>
  <c r="R95" i="68"/>
  <c r="R92" i="68"/>
  <c r="R71" i="68"/>
  <c r="R70" i="68"/>
  <c r="R55" i="68"/>
  <c r="R50" i="68"/>
  <c r="R46" i="68"/>
  <c r="R42" i="68"/>
  <c r="R38" i="68"/>
  <c r="R47" i="68"/>
  <c r="R43" i="68"/>
  <c r="R39" i="68"/>
  <c r="R83" i="68"/>
  <c r="R82" i="68"/>
  <c r="R74" i="68"/>
  <c r="R73" i="68"/>
  <c r="R61" i="68"/>
  <c r="R57" i="68"/>
  <c r="R84" i="68"/>
  <c r="R48" i="68"/>
  <c r="R44" i="68"/>
  <c r="R40" i="68"/>
  <c r="R36" i="68"/>
  <c r="R75" i="68"/>
  <c r="R56" i="68"/>
  <c r="P52" i="68"/>
  <c r="R81" i="68"/>
  <c r="R49" i="68"/>
  <c r="R45" i="68"/>
  <c r="R88" i="68"/>
  <c r="R76" i="68"/>
  <c r="R72" i="68"/>
  <c r="R59" i="68"/>
  <c r="R41" i="68"/>
  <c r="R54" i="68"/>
  <c r="R79" i="68"/>
  <c r="R67" i="68"/>
  <c r="R37" i="68"/>
  <c r="R64" i="68"/>
  <c r="R62" i="68"/>
  <c r="R35" i="68"/>
  <c r="R65" i="68"/>
  <c r="R80" i="68"/>
  <c r="R63" i="68"/>
  <c r="R77" i="68"/>
  <c r="R86" i="68"/>
  <c r="R58" i="68"/>
  <c r="R78" i="68"/>
  <c r="R60" i="68"/>
  <c r="R66" i="68"/>
  <c r="R52" i="68"/>
  <c r="F69" i="97"/>
  <c r="X12" i="95"/>
  <c r="Z12" i="95" s="1"/>
  <c r="J58" i="93"/>
  <c r="J55" i="93"/>
  <c r="J33" i="93"/>
  <c r="J44" i="93"/>
  <c r="J34" i="93"/>
  <c r="N12" i="93"/>
  <c r="J35" i="93"/>
  <c r="J27" i="93"/>
  <c r="J17" i="93"/>
  <c r="L12" i="93"/>
  <c r="J36" i="93"/>
  <c r="J28" i="93"/>
  <c r="J18" i="93"/>
  <c r="J45" i="93"/>
  <c r="J37" i="93"/>
  <c r="J29" i="93"/>
  <c r="J46" i="93"/>
  <c r="J38" i="93"/>
  <c r="J47" i="93"/>
  <c r="J39" i="93"/>
  <c r="J40" i="93"/>
  <c r="J30" i="93"/>
  <c r="J24" i="93"/>
  <c r="J53" i="93"/>
  <c r="J43" i="93"/>
  <c r="J31" i="93"/>
  <c r="J51" i="93"/>
  <c r="J42" i="93"/>
  <c r="J25" i="93"/>
  <c r="J19" i="93"/>
  <c r="J23" i="93"/>
  <c r="J49" i="93"/>
  <c r="J32" i="93"/>
  <c r="J26" i="93"/>
  <c r="J21" i="93"/>
  <c r="J41" i="93"/>
  <c r="H21" i="93"/>
  <c r="L17" i="88"/>
  <c r="D46" i="88"/>
  <c r="D83" i="79"/>
  <c r="L20" i="79"/>
  <c r="V119" i="77"/>
  <c r="V107" i="77"/>
  <c r="V118" i="77"/>
  <c r="V106" i="77"/>
  <c r="V109" i="77"/>
  <c r="V97" i="77"/>
  <c r="V98" i="77"/>
  <c r="V124" i="77"/>
  <c r="V112" i="77"/>
  <c r="V102" i="77"/>
  <c r="V95" i="77"/>
  <c r="V86" i="77"/>
  <c r="V78" i="77"/>
  <c r="V54" i="77"/>
  <c r="V50" i="77"/>
  <c r="V46" i="77"/>
  <c r="V42" i="77"/>
  <c r="V110" i="77"/>
  <c r="V89" i="77"/>
  <c r="V77" i="77"/>
  <c r="V73" i="77"/>
  <c r="V103" i="77"/>
  <c r="V100" i="77"/>
  <c r="V88" i="77"/>
  <c r="V80" i="77"/>
  <c r="V68" i="77"/>
  <c r="V64" i="77"/>
  <c r="V126" i="77"/>
  <c r="V91" i="77"/>
  <c r="V79" i="77"/>
  <c r="V55" i="77"/>
  <c r="V51" i="77"/>
  <c r="V47" i="77"/>
  <c r="V43" i="77"/>
  <c r="V122" i="77"/>
  <c r="V115" i="77"/>
  <c r="V113" i="77"/>
  <c r="V96" i="77"/>
  <c r="V90" i="77"/>
  <c r="V82" i="77"/>
  <c r="V74" i="77"/>
  <c r="V130" i="77"/>
  <c r="V81" i="77"/>
  <c r="V69" i="77"/>
  <c r="V65" i="77"/>
  <c r="V123" i="77"/>
  <c r="V104" i="77"/>
  <c r="V101" i="77"/>
  <c r="V93" i="77"/>
  <c r="V92" i="77"/>
  <c r="V84" i="77"/>
  <c r="V56" i="77"/>
  <c r="V52" i="77"/>
  <c r="V48" i="77"/>
  <c r="V44" i="77"/>
  <c r="V40" i="77"/>
  <c r="V111" i="77"/>
  <c r="V108" i="77"/>
  <c r="V83" i="77"/>
  <c r="V75" i="77"/>
  <c r="V71" i="77"/>
  <c r="V70" i="77"/>
  <c r="V66" i="77"/>
  <c r="V62" i="77"/>
  <c r="V114" i="77"/>
  <c r="V105" i="77"/>
  <c r="V76" i="77"/>
  <c r="V72" i="77"/>
  <c r="T59" i="77"/>
  <c r="Z12" i="77"/>
  <c r="V121" i="77"/>
  <c r="V117" i="77"/>
  <c r="V85" i="77"/>
  <c r="V63" i="77"/>
  <c r="V49" i="77"/>
  <c r="V53" i="77"/>
  <c r="V41" i="77"/>
  <c r="V99" i="77"/>
  <c r="V67" i="77"/>
  <c r="V94" i="77"/>
  <c r="V120" i="77"/>
  <c r="V116" i="77"/>
  <c r="V45" i="77"/>
  <c r="V57" i="77"/>
  <c r="V87" i="77"/>
  <c r="V61" i="77"/>
  <c r="X12" i="77"/>
  <c r="P71" i="73"/>
  <c r="X20" i="73"/>
  <c r="V100" i="71"/>
  <c r="V96" i="71"/>
  <c r="V88" i="71"/>
  <c r="V80" i="71"/>
  <c r="V72" i="71"/>
  <c r="Z12" i="71"/>
  <c r="V103" i="71"/>
  <c r="V79" i="71"/>
  <c r="V67" i="71"/>
  <c r="V63" i="71"/>
  <c r="V112" i="71"/>
  <c r="V102" i="71"/>
  <c r="V90" i="71"/>
  <c r="V82" i="71"/>
  <c r="V54" i="71"/>
  <c r="V50" i="71"/>
  <c r="V46" i="71"/>
  <c r="V42" i="71"/>
  <c r="V111" i="71"/>
  <c r="V105" i="71"/>
  <c r="V97" i="71"/>
  <c r="V81" i="71"/>
  <c r="V73" i="71"/>
  <c r="V110" i="71"/>
  <c r="V104" i="71"/>
  <c r="V92" i="71"/>
  <c r="V68" i="71"/>
  <c r="V64" i="71"/>
  <c r="V109" i="71"/>
  <c r="V91" i="71"/>
  <c r="V83" i="71"/>
  <c r="V59" i="71"/>
  <c r="V57" i="71"/>
  <c r="V55" i="71"/>
  <c r="V51" i="71"/>
  <c r="V47" i="71"/>
  <c r="V43" i="71"/>
  <c r="V39" i="71"/>
  <c r="V116" i="71"/>
  <c r="V108" i="71"/>
  <c r="V106" i="71"/>
  <c r="V98" i="71"/>
  <c r="V74" i="71"/>
  <c r="V70" i="71"/>
  <c r="T57" i="71"/>
  <c r="V93" i="71"/>
  <c r="V85" i="71"/>
  <c r="V69" i="71"/>
  <c r="V65" i="71"/>
  <c r="V61" i="71"/>
  <c r="V94" i="71"/>
  <c r="V86" i="71"/>
  <c r="V78" i="71"/>
  <c r="V66" i="71"/>
  <c r="V62" i="71"/>
  <c r="V76" i="71"/>
  <c r="V48" i="71"/>
  <c r="V95" i="71"/>
  <c r="V44" i="71"/>
  <c r="V40" i="71"/>
  <c r="V84" i="71"/>
  <c r="V53" i="71"/>
  <c r="V101" i="71"/>
  <c r="V99" i="71"/>
  <c r="V89" i="71"/>
  <c r="V71" i="71"/>
  <c r="V60" i="71"/>
  <c r="V49" i="71"/>
  <c r="V87" i="71"/>
  <c r="V45" i="71"/>
  <c r="V41" i="71"/>
  <c r="V75" i="71"/>
  <c r="V77" i="71"/>
  <c r="V52" i="71"/>
  <c r="P80" i="67"/>
  <c r="F128" i="64"/>
  <c r="F125" i="64"/>
  <c r="F97" i="64"/>
  <c r="F89" i="64"/>
  <c r="F114" i="64"/>
  <c r="F113" i="64"/>
  <c r="F90" i="64"/>
  <c r="F116" i="64"/>
  <c r="F115" i="64"/>
  <c r="F123" i="64"/>
  <c r="F118" i="64"/>
  <c r="F76" i="64"/>
  <c r="F74" i="64"/>
  <c r="F69" i="64"/>
  <c r="F65" i="64"/>
  <c r="F61" i="64"/>
  <c r="F57" i="64"/>
  <c r="F53" i="64"/>
  <c r="F121" i="64"/>
  <c r="F71" i="64"/>
  <c r="F101" i="64"/>
  <c r="F92" i="64"/>
  <c r="F68" i="64"/>
  <c r="F54" i="64"/>
  <c r="F112" i="64"/>
  <c r="F105" i="64"/>
  <c r="F85" i="64"/>
  <c r="F82" i="64"/>
  <c r="F79" i="64"/>
  <c r="L12" i="64"/>
  <c r="F72" i="64"/>
  <c r="F58" i="64"/>
  <c r="F110" i="64"/>
  <c r="F106" i="64"/>
  <c r="F93" i="64"/>
  <c r="F55" i="64"/>
  <c r="F51" i="64"/>
  <c r="F102" i="64"/>
  <c r="F94" i="64"/>
  <c r="F86" i="64"/>
  <c r="F80" i="64"/>
  <c r="F62" i="64"/>
  <c r="F52" i="64"/>
  <c r="F83" i="64"/>
  <c r="F59" i="64"/>
  <c r="F119" i="64"/>
  <c r="F107" i="64"/>
  <c r="F98" i="64"/>
  <c r="F87" i="64"/>
  <c r="F66" i="64"/>
  <c r="F56" i="64"/>
  <c r="F103" i="64"/>
  <c r="D74" i="64"/>
  <c r="F63" i="64"/>
  <c r="F99" i="64"/>
  <c r="F95" i="64"/>
  <c r="F91" i="64"/>
  <c r="F108" i="64"/>
  <c r="F104" i="64"/>
  <c r="F67" i="64"/>
  <c r="F78" i="64"/>
  <c r="F100" i="64"/>
  <c r="F84" i="64"/>
  <c r="F96" i="64"/>
  <c r="F88" i="64"/>
  <c r="F60" i="64"/>
  <c r="F64" i="64"/>
  <c r="F70" i="64"/>
  <c r="F77" i="64"/>
  <c r="F109" i="64"/>
  <c r="F81" i="64"/>
  <c r="F111" i="64"/>
  <c r="J112" i="64"/>
  <c r="J98" i="64"/>
  <c r="J84" i="64"/>
  <c r="J80" i="64"/>
  <c r="J115" i="64"/>
  <c r="J109" i="64"/>
  <c r="J101" i="64"/>
  <c r="J91" i="64"/>
  <c r="J116" i="64"/>
  <c r="J121" i="64"/>
  <c r="J119" i="64"/>
  <c r="J104" i="64"/>
  <c r="J96" i="64"/>
  <c r="J88" i="64"/>
  <c r="N12" i="64"/>
  <c r="J105" i="64"/>
  <c r="J92" i="64"/>
  <c r="J68" i="64"/>
  <c r="J54" i="64"/>
  <c r="J125" i="64"/>
  <c r="J118" i="64"/>
  <c r="J85" i="64"/>
  <c r="J82" i="64"/>
  <c r="J79" i="64"/>
  <c r="J61" i="64"/>
  <c r="J93" i="64"/>
  <c r="J89" i="64"/>
  <c r="J72" i="64"/>
  <c r="J58" i="64"/>
  <c r="J51" i="64"/>
  <c r="J110" i="64"/>
  <c r="J106" i="64"/>
  <c r="J102" i="64"/>
  <c r="J97" i="64"/>
  <c r="J86" i="64"/>
  <c r="J65" i="64"/>
  <c r="J55" i="64"/>
  <c r="J94" i="64"/>
  <c r="J62" i="64"/>
  <c r="J52" i="64"/>
  <c r="J113" i="64"/>
  <c r="J83" i="64"/>
  <c r="J69" i="64"/>
  <c r="J59" i="64"/>
  <c r="J123" i="64"/>
  <c r="J107" i="64"/>
  <c r="J87" i="64"/>
  <c r="J74" i="64"/>
  <c r="J66" i="64"/>
  <c r="J56" i="64"/>
  <c r="J128" i="64"/>
  <c r="J108" i="64"/>
  <c r="J103" i="64"/>
  <c r="J95" i="64"/>
  <c r="J90" i="64"/>
  <c r="H74" i="64"/>
  <c r="J63" i="64"/>
  <c r="J111" i="64"/>
  <c r="J99" i="64"/>
  <c r="J77" i="64"/>
  <c r="J76" i="64"/>
  <c r="J70" i="64"/>
  <c r="J60" i="64"/>
  <c r="J67" i="64"/>
  <c r="J100" i="64"/>
  <c r="J78" i="64"/>
  <c r="J71" i="64"/>
  <c r="J114" i="64"/>
  <c r="J64" i="64"/>
  <c r="J53" i="64"/>
  <c r="J81" i="64"/>
  <c r="J57" i="64"/>
  <c r="X16" i="60"/>
  <c r="P51" i="60"/>
  <c r="N20" i="65"/>
  <c r="H68" i="65"/>
  <c r="Z100" i="62"/>
  <c r="L16" i="54"/>
  <c r="P65" i="59"/>
  <c r="X61" i="59"/>
  <c r="Z61" i="59" s="1"/>
  <c r="P37" i="55"/>
  <c r="X33" i="55"/>
  <c r="J87" i="45"/>
  <c r="J71" i="45"/>
  <c r="J65" i="45"/>
  <c r="J53" i="45"/>
  <c r="J43" i="45"/>
  <c r="J39" i="45"/>
  <c r="J88" i="45"/>
  <c r="J82" i="45"/>
  <c r="J78" i="45"/>
  <c r="J66" i="45"/>
  <c r="J54" i="45"/>
  <c r="J34" i="45"/>
  <c r="J30" i="45"/>
  <c r="J20" i="45"/>
  <c r="J89" i="45"/>
  <c r="J55" i="45"/>
  <c r="J21" i="45"/>
  <c r="J90" i="45"/>
  <c r="J72" i="45"/>
  <c r="J56" i="45"/>
  <c r="J44" i="45"/>
  <c r="J91" i="45"/>
  <c r="J83" i="45"/>
  <c r="J79" i="45"/>
  <c r="J67" i="45"/>
  <c r="J57" i="45"/>
  <c r="J45" i="45"/>
  <c r="J35" i="45"/>
  <c r="J31" i="45"/>
  <c r="J58" i="45"/>
  <c r="J46" i="45"/>
  <c r="J22" i="45"/>
  <c r="J73" i="45"/>
  <c r="J59" i="45"/>
  <c r="J47" i="45"/>
  <c r="J41" i="45"/>
  <c r="J27" i="45"/>
  <c r="J92" i="45"/>
  <c r="J84" i="45"/>
  <c r="J80" i="45"/>
  <c r="J74" i="45"/>
  <c r="J68" i="45"/>
  <c r="J60" i="45"/>
  <c r="J48" i="45"/>
  <c r="J36" i="45"/>
  <c r="J32" i="45"/>
  <c r="J28" i="45"/>
  <c r="J26" i="45"/>
  <c r="J75" i="45"/>
  <c r="J69" i="45"/>
  <c r="J61" i="45"/>
  <c r="J49" i="45"/>
  <c r="J37" i="45"/>
  <c r="H24" i="45"/>
  <c r="J85" i="45"/>
  <c r="J81" i="45"/>
  <c r="J77" i="45"/>
  <c r="J63" i="45"/>
  <c r="J51" i="45"/>
  <c r="J33" i="45"/>
  <c r="J29" i="45"/>
  <c r="J94" i="45"/>
  <c r="J70" i="45"/>
  <c r="J86" i="45"/>
  <c r="J98" i="45"/>
  <c r="J52" i="45"/>
  <c r="J42" i="45"/>
  <c r="J38" i="45"/>
  <c r="J64" i="45"/>
  <c r="J50" i="45"/>
  <c r="J40" i="45"/>
  <c r="J62" i="45"/>
  <c r="J76" i="45"/>
  <c r="T114" i="51"/>
  <c r="L96" i="33"/>
  <c r="N96" i="33" s="1"/>
  <c r="F96" i="33"/>
  <c r="D104" i="33"/>
  <c r="J89" i="33"/>
  <c r="J53" i="33"/>
  <c r="J39" i="33"/>
  <c r="J35" i="33"/>
  <c r="J102" i="33"/>
  <c r="J90" i="33"/>
  <c r="J58" i="33"/>
  <c r="J54" i="33"/>
  <c r="J44" i="33"/>
  <c r="J99" i="33"/>
  <c r="J93" i="33"/>
  <c r="J79" i="33"/>
  <c r="J71" i="33"/>
  <c r="J61" i="33"/>
  <c r="J55" i="33"/>
  <c r="J98" i="33"/>
  <c r="J94" i="33"/>
  <c r="J86" i="33"/>
  <c r="J80" i="33"/>
  <c r="J72" i="33"/>
  <c r="J62" i="33"/>
  <c r="J50" i="33"/>
  <c r="J46" i="33"/>
  <c r="J97" i="33"/>
  <c r="J81" i="33"/>
  <c r="J73" i="33"/>
  <c r="J63" i="33"/>
  <c r="J96" i="33"/>
  <c r="J82" i="33"/>
  <c r="J74" i="33"/>
  <c r="J64" i="33"/>
  <c r="J56" i="33"/>
  <c r="J67" i="33"/>
  <c r="J57" i="33"/>
  <c r="J91" i="33"/>
  <c r="J76" i="33"/>
  <c r="J66" i="33"/>
  <c r="J100" i="33"/>
  <c r="J59" i="33"/>
  <c r="J84" i="33"/>
  <c r="J48" i="33"/>
  <c r="J43" i="33"/>
  <c r="J101" i="33"/>
  <c r="J69" i="33"/>
  <c r="J87" i="33"/>
  <c r="J51" i="33"/>
  <c r="J37" i="33"/>
  <c r="J77" i="33"/>
  <c r="J65" i="33"/>
  <c r="J85" i="33"/>
  <c r="J75" i="33"/>
  <c r="J70" i="33"/>
  <c r="J92" i="33"/>
  <c r="J49" i="33"/>
  <c r="J83" i="33"/>
  <c r="J78" i="33"/>
  <c r="J60" i="33"/>
  <c r="J47" i="33"/>
  <c r="L12" i="33"/>
  <c r="N12" i="33" s="1"/>
  <c r="J38" i="33"/>
  <c r="J45" i="33"/>
  <c r="J68" i="33"/>
  <c r="J52" i="33"/>
  <c r="J88" i="33"/>
  <c r="H41" i="33"/>
  <c r="L41" i="33" s="1"/>
  <c r="J34" i="33"/>
  <c r="J106" i="33"/>
  <c r="J36" i="33"/>
  <c r="R156" i="30"/>
  <c r="R155" i="30"/>
  <c r="R144" i="30"/>
  <c r="R143" i="30"/>
  <c r="R112" i="30"/>
  <c r="R111" i="30"/>
  <c r="R99" i="30"/>
  <c r="R95" i="30"/>
  <c r="R150" i="30"/>
  <c r="R138" i="30"/>
  <c r="R131" i="30"/>
  <c r="R130" i="30"/>
  <c r="R86" i="30"/>
  <c r="R82" i="30"/>
  <c r="R78" i="30"/>
  <c r="R74" i="30"/>
  <c r="R70" i="30"/>
  <c r="R66" i="30"/>
  <c r="R62" i="30"/>
  <c r="R58" i="30"/>
  <c r="R158" i="30"/>
  <c r="R157" i="30"/>
  <c r="R145" i="30"/>
  <c r="R122" i="30"/>
  <c r="R121" i="30"/>
  <c r="R114" i="30"/>
  <c r="R113" i="30"/>
  <c r="R105" i="30"/>
  <c r="R133" i="30"/>
  <c r="R132" i="30"/>
  <c r="R101" i="30"/>
  <c r="R100" i="30"/>
  <c r="R96" i="30"/>
  <c r="R159" i="30"/>
  <c r="R151" i="30"/>
  <c r="R140" i="30"/>
  <c r="R139" i="30"/>
  <c r="R124" i="30"/>
  <c r="R123" i="30"/>
  <c r="R115" i="30"/>
  <c r="R92" i="30"/>
  <c r="R87" i="30"/>
  <c r="R83" i="30"/>
  <c r="R79" i="30"/>
  <c r="R75" i="30"/>
  <c r="R71" i="30"/>
  <c r="R67" i="30"/>
  <c r="R147" i="30"/>
  <c r="R146" i="30"/>
  <c r="R134" i="30"/>
  <c r="R106" i="30"/>
  <c r="R102" i="30"/>
  <c r="R91" i="30"/>
  <c r="R89" i="30"/>
  <c r="R141" i="30"/>
  <c r="R126" i="30"/>
  <c r="R125" i="30"/>
  <c r="R97" i="30"/>
  <c r="R93" i="30"/>
  <c r="P89" i="30"/>
  <c r="R167" i="30"/>
  <c r="R161" i="30"/>
  <c r="R160" i="30"/>
  <c r="R152" i="30"/>
  <c r="R148" i="30"/>
  <c r="R117" i="30"/>
  <c r="R116" i="30"/>
  <c r="R84" i="30"/>
  <c r="R80" i="30"/>
  <c r="R76" i="30"/>
  <c r="R72" i="30"/>
  <c r="R68" i="30"/>
  <c r="R64" i="30"/>
  <c r="R60" i="30"/>
  <c r="R165" i="30"/>
  <c r="R162" i="30"/>
  <c r="R142" i="30"/>
  <c r="R119" i="30"/>
  <c r="R118" i="30"/>
  <c r="R98" i="30"/>
  <c r="R94" i="30"/>
  <c r="R154" i="30"/>
  <c r="R57" i="30"/>
  <c r="R171" i="30"/>
  <c r="R166" i="30"/>
  <c r="R109" i="30"/>
  <c r="R136" i="30"/>
  <c r="R164" i="30"/>
  <c r="R107" i="30"/>
  <c r="R103" i="30"/>
  <c r="R73" i="30"/>
  <c r="R69" i="30"/>
  <c r="R65" i="30"/>
  <c r="R128" i="30"/>
  <c r="R85" i="30"/>
  <c r="R81" i="30"/>
  <c r="R77" i="30"/>
  <c r="R135" i="30"/>
  <c r="R59" i="30"/>
  <c r="X12" i="30"/>
  <c r="Z12" i="30" s="1"/>
  <c r="R61" i="30"/>
  <c r="R104" i="30"/>
  <c r="R63" i="30"/>
  <c r="R149" i="30"/>
  <c r="R137" i="30"/>
  <c r="R110" i="30"/>
  <c r="R108" i="30"/>
  <c r="R129" i="30"/>
  <c r="R127" i="30"/>
  <c r="R153" i="30"/>
  <c r="R120" i="30"/>
  <c r="D169" i="30"/>
  <c r="L89" i="30"/>
  <c r="F129" i="24"/>
  <c r="F128" i="24"/>
  <c r="F106" i="24"/>
  <c r="F138" i="24"/>
  <c r="F133" i="24"/>
  <c r="F124" i="24"/>
  <c r="F127" i="24"/>
  <c r="F126" i="24"/>
  <c r="F122" i="24"/>
  <c r="F125" i="24"/>
  <c r="F118" i="24"/>
  <c r="F114" i="24"/>
  <c r="F108" i="24"/>
  <c r="F90" i="24"/>
  <c r="F86" i="24"/>
  <c r="F101" i="24"/>
  <c r="F100" i="24"/>
  <c r="F140" i="24"/>
  <c r="F134" i="24"/>
  <c r="F119" i="24"/>
  <c r="F109" i="24"/>
  <c r="F103" i="24"/>
  <c r="F102" i="24"/>
  <c r="F91" i="24"/>
  <c r="F87" i="24"/>
  <c r="F143" i="24"/>
  <c r="F116" i="24"/>
  <c r="F79" i="24"/>
  <c r="F75" i="24"/>
  <c r="F71" i="24"/>
  <c r="F67" i="24"/>
  <c r="F63" i="24"/>
  <c r="F59" i="24"/>
  <c r="F131" i="24"/>
  <c r="F121" i="24"/>
  <c r="F117" i="24"/>
  <c r="F111" i="24"/>
  <c r="F98" i="24"/>
  <c r="F130" i="24"/>
  <c r="F93" i="24"/>
  <c r="F88" i="24"/>
  <c r="F115" i="24"/>
  <c r="F104" i="24"/>
  <c r="F77" i="24"/>
  <c r="F57" i="24"/>
  <c r="F112" i="24"/>
  <c r="F107" i="24"/>
  <c r="F69" i="24"/>
  <c r="F66" i="24"/>
  <c r="F60" i="24"/>
  <c r="F99" i="24"/>
  <c r="F94" i="24"/>
  <c r="F72" i="24"/>
  <c r="F105" i="24"/>
  <c r="F97" i="24"/>
  <c r="F89" i="24"/>
  <c r="F81" i="24"/>
  <c r="L12" i="24"/>
  <c r="N12" i="24" s="1"/>
  <c r="F120" i="24"/>
  <c r="F113" i="24"/>
  <c r="F95" i="24"/>
  <c r="D81" i="24"/>
  <c r="F78" i="24"/>
  <c r="F58" i="24"/>
  <c r="F110" i="24"/>
  <c r="F73" i="24"/>
  <c r="F70" i="24"/>
  <c r="F61" i="24"/>
  <c r="F83" i="24"/>
  <c r="F64" i="24"/>
  <c r="F123" i="24"/>
  <c r="F92" i="24"/>
  <c r="F84" i="24"/>
  <c r="F76" i="24"/>
  <c r="F55" i="24"/>
  <c r="F74" i="24"/>
  <c r="F65" i="24"/>
  <c r="F62" i="24"/>
  <c r="F56" i="24"/>
  <c r="F68" i="24"/>
  <c r="F96" i="24"/>
  <c r="F136" i="24"/>
  <c r="F85" i="24"/>
  <c r="Z287" i="18"/>
  <c r="V270" i="15"/>
  <c r="V267" i="15"/>
  <c r="V268" i="15"/>
  <c r="V266" i="15"/>
  <c r="V264" i="15"/>
  <c r="V263" i="15"/>
  <c r="V236" i="15"/>
  <c r="V232" i="15"/>
  <c r="V200" i="15"/>
  <c r="V192" i="15"/>
  <c r="V176" i="15"/>
  <c r="V172" i="15"/>
  <c r="V269" i="15"/>
  <c r="V255" i="15"/>
  <c r="V247" i="15"/>
  <c r="V243" i="15"/>
  <c r="V231" i="15"/>
  <c r="V219" i="15"/>
  <c r="V211" i="15"/>
  <c r="V195" i="15"/>
  <c r="V163" i="15"/>
  <c r="V159" i="15"/>
  <c r="V155" i="15"/>
  <c r="V151" i="15"/>
  <c r="V238" i="15"/>
  <c r="V226" i="15"/>
  <c r="V218" i="15"/>
  <c r="V210" i="15"/>
  <c r="V202" i="15"/>
  <c r="V194" i="15"/>
  <c r="V186" i="15"/>
  <c r="V182" i="15"/>
  <c r="V249" i="15"/>
  <c r="V233" i="15"/>
  <c r="V221" i="15"/>
  <c r="V213" i="15"/>
  <c r="V201" i="15"/>
  <c r="V177" i="15"/>
  <c r="V173" i="15"/>
  <c r="V169" i="15"/>
  <c r="V256" i="15"/>
  <c r="V248" i="15"/>
  <c r="V244" i="15"/>
  <c r="V240" i="15"/>
  <c r="V228" i="15"/>
  <c r="V220" i="15"/>
  <c r="V212" i="15"/>
  <c r="V204" i="15"/>
  <c r="V196" i="15"/>
  <c r="V188" i="15"/>
  <c r="V168" i="15"/>
  <c r="V164" i="15"/>
  <c r="V160" i="15"/>
  <c r="V156" i="15"/>
  <c r="V152" i="15"/>
  <c r="V148" i="15"/>
  <c r="V144" i="15"/>
  <c r="V140" i="15"/>
  <c r="V136" i="15"/>
  <c r="V132" i="15"/>
  <c r="V128" i="15"/>
  <c r="V124" i="15"/>
  <c r="V120" i="15"/>
  <c r="V116" i="15"/>
  <c r="V239" i="15"/>
  <c r="V227" i="15"/>
  <c r="V223" i="15"/>
  <c r="V215" i="15"/>
  <c r="V203" i="15"/>
  <c r="V187" i="15"/>
  <c r="V183" i="15"/>
  <c r="T166" i="15"/>
  <c r="V258" i="15"/>
  <c r="V250" i="15"/>
  <c r="V234" i="15"/>
  <c r="V222" i="15"/>
  <c r="V214" i="15"/>
  <c r="V206" i="15"/>
  <c r="V190" i="15"/>
  <c r="V178" i="15"/>
  <c r="V174" i="15"/>
  <c r="V170" i="15"/>
  <c r="V257" i="15"/>
  <c r="V245" i="15"/>
  <c r="V241" i="15"/>
  <c r="V229" i="15"/>
  <c r="V205" i="15"/>
  <c r="V197" i="15"/>
  <c r="V189" i="15"/>
  <c r="V254" i="15"/>
  <c r="V246" i="15"/>
  <c r="V242" i="15"/>
  <c r="V230" i="15"/>
  <c r="V198" i="15"/>
  <c r="V162" i="15"/>
  <c r="V158" i="15"/>
  <c r="V154" i="15"/>
  <c r="V150" i="15"/>
  <c r="V146" i="15"/>
  <c r="V142" i="15"/>
  <c r="V138" i="15"/>
  <c r="V134" i="15"/>
  <c r="V130" i="15"/>
  <c r="V126" i="15"/>
  <c r="V122" i="15"/>
  <c r="V118" i="15"/>
  <c r="V114" i="15"/>
  <c r="V265" i="15"/>
  <c r="V262" i="15"/>
  <c r="V261" i="15"/>
  <c r="V253" i="15"/>
  <c r="V237" i="15"/>
  <c r="V225" i="15"/>
  <c r="V217" i="15"/>
  <c r="V209" i="15"/>
  <c r="V193" i="15"/>
  <c r="V185" i="15"/>
  <c r="V181" i="15"/>
  <c r="V251" i="15"/>
  <c r="V235" i="15"/>
  <c r="V180" i="15"/>
  <c r="V149" i="15"/>
  <c r="V145" i="15"/>
  <c r="V141" i="15"/>
  <c r="V137" i="15"/>
  <c r="V129" i="15"/>
  <c r="V121" i="15"/>
  <c r="V117" i="15"/>
  <c r="V274" i="15"/>
  <c r="V153" i="15"/>
  <c r="V143" i="15"/>
  <c r="V135" i="15"/>
  <c r="V131" i="15"/>
  <c r="V123" i="15"/>
  <c r="V115" i="15"/>
  <c r="V147" i="15"/>
  <c r="V139" i="15"/>
  <c r="V127" i="15"/>
  <c r="V119" i="15"/>
  <c r="V208" i="15"/>
  <c r="V175" i="15"/>
  <c r="V157" i="15"/>
  <c r="V252" i="15"/>
  <c r="V161" i="15"/>
  <c r="V191" i="15"/>
  <c r="Z12" i="15"/>
  <c r="V259" i="15"/>
  <c r="V224" i="15"/>
  <c r="V216" i="15"/>
  <c r="V184" i="15"/>
  <c r="V199" i="15"/>
  <c r="V179" i="15"/>
  <c r="V113" i="15"/>
  <c r="V171" i="15"/>
  <c r="V133" i="15"/>
  <c r="V125" i="15"/>
  <c r="V207" i="15"/>
  <c r="F205" i="3"/>
  <c r="V205" i="3"/>
  <c r="L18" i="98"/>
  <c r="D27" i="98"/>
  <c r="X18" i="99"/>
  <c r="P27" i="99"/>
  <c r="X18" i="98"/>
  <c r="P27" i="98"/>
  <c r="X18" i="49"/>
  <c r="P27" i="49"/>
  <c r="H27" i="46"/>
  <c r="N18" i="46"/>
  <c r="T27" i="35"/>
  <c r="Z18" i="35"/>
  <c r="N18" i="38"/>
  <c r="H27" i="38"/>
  <c r="D27" i="25"/>
  <c r="L18" i="25"/>
  <c r="T27" i="19"/>
  <c r="Z18" i="19"/>
  <c r="Z18" i="17"/>
  <c r="T27" i="17"/>
  <c r="H27" i="5"/>
  <c r="N18" i="5"/>
  <c r="T27" i="11"/>
  <c r="Z18" i="11"/>
  <c r="H27" i="17"/>
  <c r="N18" i="17"/>
  <c r="H27" i="11"/>
  <c r="N18" i="11"/>
  <c r="L18" i="7"/>
  <c r="D27" i="7"/>
  <c r="D63" i="89"/>
  <c r="T80" i="80"/>
  <c r="N59" i="72"/>
  <c r="J59" i="72"/>
  <c r="J113" i="66"/>
  <c r="J114" i="66"/>
  <c r="J108" i="66"/>
  <c r="J100" i="66"/>
  <c r="J92" i="66"/>
  <c r="J60" i="66"/>
  <c r="J56" i="66"/>
  <c r="J52" i="66"/>
  <c r="J48" i="66"/>
  <c r="J115" i="66"/>
  <c r="J101" i="66"/>
  <c r="J93" i="66"/>
  <c r="J83" i="66"/>
  <c r="J79" i="66"/>
  <c r="J122" i="66"/>
  <c r="J116" i="66"/>
  <c r="J102" i="66"/>
  <c r="J94" i="66"/>
  <c r="J84" i="66"/>
  <c r="J74" i="66"/>
  <c r="J70" i="66"/>
  <c r="J44" i="66"/>
  <c r="J121" i="66"/>
  <c r="J117" i="66"/>
  <c r="J109" i="66"/>
  <c r="J85" i="66"/>
  <c r="J61" i="66"/>
  <c r="J57" i="66"/>
  <c r="J53" i="66"/>
  <c r="J49" i="66"/>
  <c r="J45" i="66"/>
  <c r="J126" i="66"/>
  <c r="J120" i="66"/>
  <c r="J86" i="66"/>
  <c r="J80" i="66"/>
  <c r="J66" i="66"/>
  <c r="J119" i="66"/>
  <c r="J103" i="66"/>
  <c r="J95" i="66"/>
  <c r="J87" i="66"/>
  <c r="J75" i="66"/>
  <c r="J71" i="66"/>
  <c r="J67" i="66"/>
  <c r="J65" i="66"/>
  <c r="J63" i="66"/>
  <c r="J110" i="66"/>
  <c r="J104" i="66"/>
  <c r="J96" i="66"/>
  <c r="J76" i="66"/>
  <c r="H63" i="66"/>
  <c r="J58" i="66"/>
  <c r="J54" i="66"/>
  <c r="J50" i="66"/>
  <c r="J46" i="66"/>
  <c r="J99" i="66"/>
  <c r="J89" i="66"/>
  <c r="J59" i="66"/>
  <c r="J55" i="66"/>
  <c r="J51" i="66"/>
  <c r="J47" i="66"/>
  <c r="J107" i="66"/>
  <c r="J111" i="66"/>
  <c r="J105" i="66"/>
  <c r="J81" i="66"/>
  <c r="J77" i="66"/>
  <c r="J69" i="66"/>
  <c r="J90" i="66"/>
  <c r="J73" i="66"/>
  <c r="J97" i="66"/>
  <c r="J78" i="66"/>
  <c r="J68" i="66"/>
  <c r="J106" i="66"/>
  <c r="J88" i="66"/>
  <c r="J91" i="66"/>
  <c r="J82" i="66"/>
  <c r="J72" i="66"/>
  <c r="J112" i="66"/>
  <c r="J98" i="66"/>
  <c r="T58" i="63"/>
  <c r="Z16" i="63"/>
  <c r="D51" i="60"/>
  <c r="L16" i="60"/>
  <c r="T70" i="57"/>
  <c r="Z16" i="57"/>
  <c r="F73" i="84"/>
  <c r="F72" i="84"/>
  <c r="F61" i="84"/>
  <c r="F60" i="84"/>
  <c r="F52" i="84"/>
  <c r="F51" i="84"/>
  <c r="F67" i="84"/>
  <c r="F63" i="84"/>
  <c r="F62" i="84"/>
  <c r="F77" i="84"/>
  <c r="F75" i="84"/>
  <c r="F54" i="84"/>
  <c r="F53" i="84"/>
  <c r="F42" i="84"/>
  <c r="F41" i="84"/>
  <c r="F30" i="84"/>
  <c r="F26" i="84"/>
  <c r="F68" i="84"/>
  <c r="F64" i="84"/>
  <c r="F44" i="84"/>
  <c r="F43" i="84"/>
  <c r="F36" i="84"/>
  <c r="L12" i="84"/>
  <c r="F55" i="84"/>
  <c r="F31" i="84"/>
  <c r="F27" i="84"/>
  <c r="F84" i="84"/>
  <c r="F81" i="84"/>
  <c r="F46" i="84"/>
  <c r="F45" i="84"/>
  <c r="F18" i="84"/>
  <c r="F69" i="84"/>
  <c r="F65" i="84"/>
  <c r="F57" i="84"/>
  <c r="F56" i="84"/>
  <c r="F37" i="84"/>
  <c r="F33" i="84"/>
  <c r="F32" i="84"/>
  <c r="F48" i="84"/>
  <c r="F47" i="84"/>
  <c r="F28" i="84"/>
  <c r="F24" i="84"/>
  <c r="F23" i="84"/>
  <c r="F71" i="84"/>
  <c r="F70" i="84"/>
  <c r="F59" i="84"/>
  <c r="F58" i="84"/>
  <c r="F22" i="84"/>
  <c r="F20" i="84"/>
  <c r="F50" i="84"/>
  <c r="D20" i="84"/>
  <c r="F35" i="84"/>
  <c r="F17" i="84"/>
  <c r="F79" i="84"/>
  <c r="F40" i="84"/>
  <c r="F66" i="84"/>
  <c r="F49" i="84"/>
  <c r="F38" i="84"/>
  <c r="F29" i="84"/>
  <c r="F34" i="84"/>
  <c r="F16" i="84"/>
  <c r="F25" i="84"/>
  <c r="F39" i="84"/>
  <c r="Z17" i="97"/>
  <c r="T69" i="97"/>
  <c r="P69" i="97"/>
  <c r="X17" i="97"/>
  <c r="J71" i="97"/>
  <c r="J51" i="97"/>
  <c r="J41" i="97"/>
  <c r="J33" i="97"/>
  <c r="J52" i="97"/>
  <c r="J42" i="97"/>
  <c r="J59" i="97"/>
  <c r="J43" i="97"/>
  <c r="J53" i="97"/>
  <c r="J29" i="97"/>
  <c r="J25" i="97"/>
  <c r="J21" i="97"/>
  <c r="J19" i="97"/>
  <c r="J15" i="97"/>
  <c r="J61" i="97"/>
  <c r="J45" i="97"/>
  <c r="J35" i="97"/>
  <c r="J31" i="97"/>
  <c r="J62" i="97"/>
  <c r="J54" i="97"/>
  <c r="J46" i="97"/>
  <c r="J36" i="97"/>
  <c r="J26" i="97"/>
  <c r="J22" i="97"/>
  <c r="J63" i="97"/>
  <c r="J55" i="97"/>
  <c r="J47" i="97"/>
  <c r="J37" i="97"/>
  <c r="J64" i="97"/>
  <c r="J67" i="97"/>
  <c r="J57" i="97"/>
  <c r="J49" i="97"/>
  <c r="J39" i="97"/>
  <c r="J27" i="97"/>
  <c r="J23" i="97"/>
  <c r="J66" i="97"/>
  <c r="J58" i="97"/>
  <c r="J50" i="97"/>
  <c r="J40" i="97"/>
  <c r="J56" i="97"/>
  <c r="J60" i="97"/>
  <c r="N12" i="97"/>
  <c r="J38" i="97"/>
  <c r="J20" i="97"/>
  <c r="J24" i="97"/>
  <c r="J34" i="97"/>
  <c r="J32" i="97"/>
  <c r="J44" i="97"/>
  <c r="H17" i="97"/>
  <c r="J17" i="97" s="1"/>
  <c r="J48" i="97"/>
  <c r="J28" i="97"/>
  <c r="J30" i="97"/>
  <c r="T40" i="96"/>
  <c r="R18" i="93"/>
  <c r="R46" i="93"/>
  <c r="R45" i="93"/>
  <c r="R38" i="93"/>
  <c r="R37" i="93"/>
  <c r="R29" i="93"/>
  <c r="R47" i="93"/>
  <c r="R40" i="93"/>
  <c r="R39" i="93"/>
  <c r="R24" i="93"/>
  <c r="R19" i="93"/>
  <c r="R51" i="93"/>
  <c r="R49" i="93"/>
  <c r="R30" i="93"/>
  <c r="R23" i="93"/>
  <c r="R21" i="93"/>
  <c r="R42" i="93"/>
  <c r="R41" i="93"/>
  <c r="R25" i="93"/>
  <c r="P21" i="93"/>
  <c r="R53" i="93"/>
  <c r="R43" i="93"/>
  <c r="R32" i="93"/>
  <c r="R31" i="93"/>
  <c r="R44" i="93"/>
  <c r="R17" i="93"/>
  <c r="X12" i="93"/>
  <c r="Z12" i="93" s="1"/>
  <c r="R33" i="93"/>
  <c r="R27" i="93"/>
  <c r="R58" i="93"/>
  <c r="R36" i="93"/>
  <c r="R34" i="93"/>
  <c r="R55" i="93"/>
  <c r="R28" i="93"/>
  <c r="R26" i="93"/>
  <c r="R35" i="93"/>
  <c r="N21" i="94"/>
  <c r="H90" i="94"/>
  <c r="L20" i="87"/>
  <c r="D53" i="87"/>
  <c r="F89" i="86"/>
  <c r="F84" i="86"/>
  <c r="F77" i="86"/>
  <c r="F73" i="86"/>
  <c r="F61" i="86"/>
  <c r="F53" i="86"/>
  <c r="F52" i="86"/>
  <c r="F94" i="86"/>
  <c r="F91" i="86"/>
  <c r="F68" i="86"/>
  <c r="F67" i="86"/>
  <c r="F78" i="86"/>
  <c r="F74" i="86"/>
  <c r="F62" i="86"/>
  <c r="F80" i="86"/>
  <c r="F79" i="86"/>
  <c r="F64" i="86"/>
  <c r="F63" i="86"/>
  <c r="F75" i="86"/>
  <c r="F71" i="86"/>
  <c r="F70" i="86"/>
  <c r="F57" i="86"/>
  <c r="F37" i="86"/>
  <c r="F33" i="86"/>
  <c r="F32" i="86"/>
  <c r="F60" i="86"/>
  <c r="F28" i="86"/>
  <c r="F24" i="86"/>
  <c r="F23" i="86"/>
  <c r="F87" i="86"/>
  <c r="F47" i="86"/>
  <c r="F22" i="86"/>
  <c r="F20" i="86"/>
  <c r="F76" i="86"/>
  <c r="F69" i="86"/>
  <c r="F66" i="86"/>
  <c r="F38" i="86"/>
  <c r="F34" i="86"/>
  <c r="D20" i="86"/>
  <c r="F48" i="86"/>
  <c r="F29" i="86"/>
  <c r="F25" i="86"/>
  <c r="F81" i="86"/>
  <c r="F72" i="86"/>
  <c r="F58" i="86"/>
  <c r="F54" i="86"/>
  <c r="F49" i="86"/>
  <c r="F35" i="86"/>
  <c r="F42" i="86"/>
  <c r="F41" i="86"/>
  <c r="F30" i="86"/>
  <c r="F26" i="86"/>
  <c r="F85" i="86"/>
  <c r="F55" i="86"/>
  <c r="F50" i="86"/>
  <c r="F17" i="86"/>
  <c r="F16" i="86"/>
  <c r="F82" i="86"/>
  <c r="F59" i="86"/>
  <c r="F51" i="86"/>
  <c r="F44" i="86"/>
  <c r="F43" i="86"/>
  <c r="F36" i="86"/>
  <c r="L12" i="86"/>
  <c r="F56" i="86"/>
  <c r="F65" i="86"/>
  <c r="F27" i="86"/>
  <c r="F46" i="86"/>
  <c r="F39" i="86"/>
  <c r="F18" i="86"/>
  <c r="F31" i="86"/>
  <c r="F40" i="86"/>
  <c r="F45" i="86"/>
  <c r="T71" i="83"/>
  <c r="Z20" i="83"/>
  <c r="D97" i="81"/>
  <c r="L16" i="81"/>
  <c r="T27" i="75"/>
  <c r="F84" i="68"/>
  <c r="F83" i="68"/>
  <c r="F48" i="68"/>
  <c r="F44" i="68"/>
  <c r="F40" i="68"/>
  <c r="F36" i="68"/>
  <c r="F35" i="68"/>
  <c r="F62" i="68"/>
  <c r="F58" i="68"/>
  <c r="F79" i="68"/>
  <c r="F78" i="68"/>
  <c r="F63" i="68"/>
  <c r="F59" i="68"/>
  <c r="F95" i="68"/>
  <c r="F92" i="68"/>
  <c r="F80" i="68"/>
  <c r="F72" i="68"/>
  <c r="F71" i="68"/>
  <c r="F64" i="68"/>
  <c r="F60" i="68"/>
  <c r="F56" i="68"/>
  <c r="F55" i="68"/>
  <c r="F68" i="68"/>
  <c r="F38" i="68"/>
  <c r="F90" i="68"/>
  <c r="F86" i="68"/>
  <c r="F74" i="68"/>
  <c r="F52" i="68"/>
  <c r="F47" i="68"/>
  <c r="F75" i="68"/>
  <c r="F69" i="68"/>
  <c r="F66" i="68"/>
  <c r="D52" i="68"/>
  <c r="F49" i="68"/>
  <c r="F45" i="68"/>
  <c r="F43" i="68"/>
  <c r="F81" i="68"/>
  <c r="F61" i="68"/>
  <c r="F88" i="68"/>
  <c r="F41" i="68"/>
  <c r="F39" i="68"/>
  <c r="L12" i="68"/>
  <c r="N12" i="68" s="1"/>
  <c r="F70" i="68"/>
  <c r="F76" i="68"/>
  <c r="F67" i="68"/>
  <c r="F57" i="68"/>
  <c r="F54" i="68"/>
  <c r="F37" i="68"/>
  <c r="F82" i="68"/>
  <c r="F42" i="68"/>
  <c r="F50" i="68"/>
  <c r="F77" i="68"/>
  <c r="F46" i="68"/>
  <c r="F65" i="68"/>
  <c r="F73" i="68"/>
  <c r="T72" i="65"/>
  <c r="V68" i="65"/>
  <c r="D26" i="54"/>
  <c r="L22" i="54"/>
  <c r="L17" i="48"/>
  <c r="N17" i="48" s="1"/>
  <c r="D70" i="56"/>
  <c r="L16" i="56"/>
  <c r="V108" i="51"/>
  <c r="J100" i="51"/>
  <c r="J96" i="51"/>
  <c r="J88" i="51"/>
  <c r="J78" i="51"/>
  <c r="J72" i="51"/>
  <c r="N12" i="51"/>
  <c r="J101" i="51"/>
  <c r="J89" i="51"/>
  <c r="J79" i="51"/>
  <c r="J67" i="51"/>
  <c r="J63" i="51"/>
  <c r="J102" i="51"/>
  <c r="J103" i="51"/>
  <c r="J97" i="51"/>
  <c r="J112" i="51"/>
  <c r="J104" i="51"/>
  <c r="J82" i="51"/>
  <c r="J68" i="51"/>
  <c r="J64" i="51"/>
  <c r="J111" i="51"/>
  <c r="J105" i="51"/>
  <c r="J91" i="51"/>
  <c r="J83" i="51"/>
  <c r="J55" i="51"/>
  <c r="J51" i="51"/>
  <c r="J47" i="51"/>
  <c r="J43" i="51"/>
  <c r="J116" i="51"/>
  <c r="J110" i="51"/>
  <c r="J106" i="51"/>
  <c r="J98" i="51"/>
  <c r="J92" i="51"/>
  <c r="J74" i="51"/>
  <c r="J60" i="51"/>
  <c r="J109" i="51"/>
  <c r="J93" i="51"/>
  <c r="J69" i="51"/>
  <c r="J65" i="51"/>
  <c r="J61" i="51"/>
  <c r="J59" i="51"/>
  <c r="J39" i="51"/>
  <c r="J99" i="51"/>
  <c r="J85" i="51"/>
  <c r="J75" i="51"/>
  <c r="J71" i="51"/>
  <c r="J41" i="51"/>
  <c r="J95" i="51"/>
  <c r="J70" i="51"/>
  <c r="J66" i="51"/>
  <c r="H57" i="51"/>
  <c r="J108" i="51"/>
  <c r="J90" i="51"/>
  <c r="J81" i="51"/>
  <c r="J76" i="51"/>
  <c r="J54" i="51"/>
  <c r="J86" i="51"/>
  <c r="J52" i="51"/>
  <c r="J48" i="51"/>
  <c r="J50" i="51"/>
  <c r="J46" i="51"/>
  <c r="J44" i="51"/>
  <c r="J84" i="51"/>
  <c r="J42" i="51"/>
  <c r="J40" i="51"/>
  <c r="J77" i="51"/>
  <c r="J87" i="51"/>
  <c r="J80" i="51"/>
  <c r="J73" i="51"/>
  <c r="J94" i="51"/>
  <c r="J62" i="51"/>
  <c r="J49" i="51"/>
  <c r="J53" i="51"/>
  <c r="J45" i="51"/>
  <c r="L108" i="51"/>
  <c r="T96" i="45"/>
  <c r="Z24" i="45"/>
  <c r="F98" i="45"/>
  <c r="F64" i="45"/>
  <c r="F63" i="45"/>
  <c r="F52" i="45"/>
  <c r="F51" i="45"/>
  <c r="F87" i="45"/>
  <c r="F86" i="45"/>
  <c r="F71" i="45"/>
  <c r="F43" i="45"/>
  <c r="F39" i="45"/>
  <c r="F82" i="45"/>
  <c r="F78" i="45"/>
  <c r="F66" i="45"/>
  <c r="F65" i="45"/>
  <c r="F54" i="45"/>
  <c r="F53" i="45"/>
  <c r="F34" i="45"/>
  <c r="F30" i="45"/>
  <c r="F89" i="45"/>
  <c r="F88" i="45"/>
  <c r="F72" i="45"/>
  <c r="F56" i="45"/>
  <c r="F55" i="45"/>
  <c r="F44" i="45"/>
  <c r="F40" i="45"/>
  <c r="L12" i="45"/>
  <c r="N12" i="45" s="1"/>
  <c r="F91" i="45"/>
  <c r="F90" i="45"/>
  <c r="F83" i="45"/>
  <c r="F79" i="45"/>
  <c r="F67" i="45"/>
  <c r="F35" i="45"/>
  <c r="F31" i="45"/>
  <c r="F58" i="45"/>
  <c r="F57" i="45"/>
  <c r="F46" i="45"/>
  <c r="F45" i="45"/>
  <c r="F22" i="45"/>
  <c r="F73" i="45"/>
  <c r="F41" i="45"/>
  <c r="F92" i="45"/>
  <c r="F84" i="45"/>
  <c r="F80" i="45"/>
  <c r="F68" i="45"/>
  <c r="F60" i="45"/>
  <c r="F59" i="45"/>
  <c r="F48" i="45"/>
  <c r="F47" i="45"/>
  <c r="F36" i="45"/>
  <c r="F32" i="45"/>
  <c r="F28" i="45"/>
  <c r="F27" i="45"/>
  <c r="F70" i="45"/>
  <c r="F69" i="45"/>
  <c r="F62" i="45"/>
  <c r="F61" i="45"/>
  <c r="F50" i="45"/>
  <c r="F49" i="45"/>
  <c r="F42" i="45"/>
  <c r="F38" i="45"/>
  <c r="F37" i="45"/>
  <c r="F20" i="45"/>
  <c r="F76" i="45"/>
  <c r="F26" i="45"/>
  <c r="F94" i="45"/>
  <c r="F85" i="45"/>
  <c r="F74" i="45"/>
  <c r="F21" i="45"/>
  <c r="F29" i="45"/>
  <c r="D24" i="45"/>
  <c r="F77" i="45"/>
  <c r="F75" i="45"/>
  <c r="F33" i="45"/>
  <c r="F81" i="45"/>
  <c r="L119" i="42"/>
  <c r="N119" i="42" s="1"/>
  <c r="X12" i="42"/>
  <c r="Z12" i="42" s="1"/>
  <c r="L127" i="39"/>
  <c r="N127" i="39" s="1"/>
  <c r="F127" i="39"/>
  <c r="Z164" i="30"/>
  <c r="F164" i="30"/>
  <c r="L270" i="12"/>
  <c r="N270" i="12" s="1"/>
  <c r="X18" i="100"/>
  <c r="P27" i="100"/>
  <c r="T27" i="53"/>
  <c r="Z18" i="53"/>
  <c r="T27" i="44"/>
  <c r="Z18" i="44"/>
  <c r="L18" i="44"/>
  <c r="D27" i="44"/>
  <c r="H27" i="50"/>
  <c r="N18" i="50"/>
  <c r="X18" i="41"/>
  <c r="P27" i="41"/>
  <c r="T27" i="37"/>
  <c r="Z18" i="37"/>
  <c r="X18" i="31"/>
  <c r="P27" i="31"/>
  <c r="L18" i="26"/>
  <c r="D27" i="26"/>
  <c r="X18" i="19"/>
  <c r="P27" i="19"/>
  <c r="N18" i="19"/>
  <c r="H27" i="19"/>
  <c r="H27" i="7"/>
  <c r="N18" i="7"/>
  <c r="L18" i="4"/>
  <c r="D27" i="4"/>
  <c r="X18" i="5"/>
  <c r="P27" i="5"/>
  <c r="V119" i="64"/>
  <c r="V118" i="64"/>
  <c r="V116" i="64"/>
  <c r="V92" i="64"/>
  <c r="V76" i="64"/>
  <c r="V72" i="64"/>
  <c r="V68" i="64"/>
  <c r="V64" i="64"/>
  <c r="V60" i="64"/>
  <c r="V56" i="64"/>
  <c r="V52" i="64"/>
  <c r="V123" i="64"/>
  <c r="V105" i="64"/>
  <c r="V111" i="64"/>
  <c r="V112" i="64"/>
  <c r="V108" i="64"/>
  <c r="V100" i="64"/>
  <c r="V84" i="64"/>
  <c r="V80" i="64"/>
  <c r="V110" i="64"/>
  <c r="V97" i="64"/>
  <c r="V62" i="64"/>
  <c r="V113" i="64"/>
  <c r="V98" i="64"/>
  <c r="V94" i="64"/>
  <c r="V83" i="64"/>
  <c r="T74" i="64"/>
  <c r="V69" i="64"/>
  <c r="V59" i="64"/>
  <c r="V107" i="64"/>
  <c r="V95" i="64"/>
  <c r="V87" i="64"/>
  <c r="V77" i="64"/>
  <c r="V66" i="64"/>
  <c r="V103" i="64"/>
  <c r="V90" i="64"/>
  <c r="V63" i="64"/>
  <c r="V99" i="64"/>
  <c r="V91" i="64"/>
  <c r="V70" i="64"/>
  <c r="V78" i="64"/>
  <c r="V67" i="64"/>
  <c r="V53" i="64"/>
  <c r="V88" i="64"/>
  <c r="V81" i="64"/>
  <c r="V104" i="64"/>
  <c r="V96" i="64"/>
  <c r="V71" i="64"/>
  <c r="V57" i="64"/>
  <c r="V114" i="64"/>
  <c r="V109" i="64"/>
  <c r="V54" i="64"/>
  <c r="V51" i="64"/>
  <c r="V106" i="64"/>
  <c r="V65" i="64"/>
  <c r="Z12" i="64"/>
  <c r="V82" i="64"/>
  <c r="V86" i="64"/>
  <c r="V58" i="64"/>
  <c r="V101" i="64"/>
  <c r="V55" i="64"/>
  <c r="V79" i="64"/>
  <c r="V93" i="64"/>
  <c r="V115" i="64"/>
  <c r="V89" i="64"/>
  <c r="V102" i="64"/>
  <c r="V85" i="64"/>
  <c r="V61" i="64"/>
  <c r="X57" i="51"/>
  <c r="Z57" i="51" s="1"/>
  <c r="P114" i="51"/>
  <c r="P71" i="83"/>
  <c r="X20" i="83"/>
  <c r="D36" i="96"/>
  <c r="L16" i="96"/>
  <c r="D94" i="94"/>
  <c r="L90" i="94"/>
  <c r="J86" i="95"/>
  <c r="J52" i="95"/>
  <c r="J40" i="95"/>
  <c r="J36" i="95"/>
  <c r="N12" i="95"/>
  <c r="J63" i="95"/>
  <c r="J53" i="95"/>
  <c r="J41" i="95"/>
  <c r="J31" i="95"/>
  <c r="J27" i="95"/>
  <c r="J17" i="95"/>
  <c r="J74" i="95"/>
  <c r="J70" i="95"/>
  <c r="J64" i="95"/>
  <c r="J54" i="95"/>
  <c r="J42" i="95"/>
  <c r="J75" i="95"/>
  <c r="J65" i="95"/>
  <c r="J55" i="95"/>
  <c r="J43" i="95"/>
  <c r="J37" i="95"/>
  <c r="J76" i="95"/>
  <c r="J56" i="95"/>
  <c r="J44" i="95"/>
  <c r="J32" i="95"/>
  <c r="J28" i="95"/>
  <c r="J77" i="95"/>
  <c r="J71" i="95"/>
  <c r="J57" i="95"/>
  <c r="J45" i="95"/>
  <c r="J19" i="95"/>
  <c r="J78" i="95"/>
  <c r="J66" i="95"/>
  <c r="J58" i="95"/>
  <c r="J46" i="95"/>
  <c r="J38" i="95"/>
  <c r="J24" i="95"/>
  <c r="J79" i="95"/>
  <c r="J59" i="95"/>
  <c r="J47" i="95"/>
  <c r="J33" i="95"/>
  <c r="J29" i="95"/>
  <c r="J25" i="95"/>
  <c r="J23" i="95"/>
  <c r="J21" i="95"/>
  <c r="J82" i="95"/>
  <c r="J68" i="95"/>
  <c r="J62" i="95"/>
  <c r="J50" i="95"/>
  <c r="J30" i="95"/>
  <c r="J26" i="95"/>
  <c r="J61" i="95"/>
  <c r="J35" i="95"/>
  <c r="J69" i="95"/>
  <c r="J67" i="95"/>
  <c r="J39" i="95"/>
  <c r="J18" i="95"/>
  <c r="J73" i="95"/>
  <c r="J34" i="95"/>
  <c r="H21" i="95"/>
  <c r="J48" i="95"/>
  <c r="J51" i="95"/>
  <c r="J80" i="95"/>
  <c r="J60" i="95"/>
  <c r="J49" i="95"/>
  <c r="J72" i="95"/>
  <c r="J75" i="92"/>
  <c r="J88" i="92"/>
  <c r="J66" i="92"/>
  <c r="J77" i="92"/>
  <c r="J80" i="92"/>
  <c r="J76" i="92"/>
  <c r="J71" i="92"/>
  <c r="J58" i="92"/>
  <c r="J46" i="92"/>
  <c r="J20" i="92"/>
  <c r="J59" i="92"/>
  <c r="J47" i="92"/>
  <c r="J39" i="92"/>
  <c r="J25" i="92"/>
  <c r="J60" i="92"/>
  <c r="J48" i="92"/>
  <c r="J34" i="92"/>
  <c r="J30" i="92"/>
  <c r="J26" i="92"/>
  <c r="J24" i="92"/>
  <c r="J22" i="92"/>
  <c r="J84" i="92"/>
  <c r="J74" i="92"/>
  <c r="J69" i="92"/>
  <c r="J61" i="92"/>
  <c r="J49" i="92"/>
  <c r="J35" i="92"/>
  <c r="H22" i="92"/>
  <c r="J50" i="92"/>
  <c r="J40" i="92"/>
  <c r="J36" i="92"/>
  <c r="N12" i="92"/>
  <c r="J81" i="92"/>
  <c r="J72" i="92"/>
  <c r="J51" i="92"/>
  <c r="J31" i="92"/>
  <c r="J27" i="92"/>
  <c r="J78" i="92"/>
  <c r="J62" i="92"/>
  <c r="J52" i="92"/>
  <c r="J70" i="92"/>
  <c r="J53" i="92"/>
  <c r="J41" i="92"/>
  <c r="J37" i="92"/>
  <c r="J79" i="92"/>
  <c r="J67" i="92"/>
  <c r="J54" i="92"/>
  <c r="J42" i="92"/>
  <c r="J32" i="92"/>
  <c r="J28" i="92"/>
  <c r="J18" i="92"/>
  <c r="J65" i="92"/>
  <c r="J63" i="92"/>
  <c r="J29" i="92"/>
  <c r="J57" i="92"/>
  <c r="J55" i="92"/>
  <c r="J82" i="92"/>
  <c r="J33" i="92"/>
  <c r="J64" i="92"/>
  <c r="J45" i="92"/>
  <c r="J43" i="92"/>
  <c r="J19" i="92"/>
  <c r="J56" i="92"/>
  <c r="J73" i="92"/>
  <c r="J44" i="92"/>
  <c r="J68" i="92"/>
  <c r="J38" i="92"/>
  <c r="F84" i="92"/>
  <c r="F75" i="92"/>
  <c r="F71" i="92"/>
  <c r="F76" i="92"/>
  <c r="F72" i="92"/>
  <c r="F73" i="92"/>
  <c r="F69" i="92"/>
  <c r="F68" i="92"/>
  <c r="F82" i="92"/>
  <c r="F81" i="92"/>
  <c r="F74" i="92"/>
  <c r="F65" i="92"/>
  <c r="F64" i="92"/>
  <c r="F57" i="92"/>
  <c r="F56" i="92"/>
  <c r="F45" i="92"/>
  <c r="F44" i="92"/>
  <c r="F33" i="92"/>
  <c r="F29" i="92"/>
  <c r="F80" i="92"/>
  <c r="F20" i="92"/>
  <c r="F59" i="92"/>
  <c r="F58" i="92"/>
  <c r="F47" i="92"/>
  <c r="F46" i="92"/>
  <c r="F39" i="92"/>
  <c r="F34" i="92"/>
  <c r="F30" i="92"/>
  <c r="F26" i="92"/>
  <c r="F25" i="92"/>
  <c r="F77" i="92"/>
  <c r="F66" i="92"/>
  <c r="F61" i="92"/>
  <c r="F60" i="92"/>
  <c r="F49" i="92"/>
  <c r="F48" i="92"/>
  <c r="F24" i="92"/>
  <c r="F22" i="92"/>
  <c r="F40" i="92"/>
  <c r="F36" i="92"/>
  <c r="F35" i="92"/>
  <c r="D22" i="92"/>
  <c r="L12" i="92"/>
  <c r="F88" i="92"/>
  <c r="F51" i="92"/>
  <c r="F50" i="92"/>
  <c r="F31" i="92"/>
  <c r="F27" i="92"/>
  <c r="F78" i="92"/>
  <c r="F62" i="92"/>
  <c r="F70" i="92"/>
  <c r="F53" i="92"/>
  <c r="F52" i="92"/>
  <c r="F41" i="92"/>
  <c r="F37" i="92"/>
  <c r="F42" i="92"/>
  <c r="F38" i="92"/>
  <c r="F18" i="92"/>
  <c r="F63" i="92"/>
  <c r="F67" i="92"/>
  <c r="F55" i="92"/>
  <c r="F43" i="92"/>
  <c r="F28" i="92"/>
  <c r="F19" i="92"/>
  <c r="F32" i="92"/>
  <c r="F79" i="92"/>
  <c r="F54" i="92"/>
  <c r="R77" i="92"/>
  <c r="R76" i="92"/>
  <c r="R68" i="92"/>
  <c r="R67" i="92"/>
  <c r="R81" i="92"/>
  <c r="R80" i="92"/>
  <c r="R84" i="92"/>
  <c r="R65" i="92"/>
  <c r="R88" i="92"/>
  <c r="R74" i="92"/>
  <c r="R61" i="92"/>
  <c r="R50" i="92"/>
  <c r="R49" i="92"/>
  <c r="R69" i="92"/>
  <c r="R66" i="92"/>
  <c r="R40" i="92"/>
  <c r="R36" i="92"/>
  <c r="X12" i="92"/>
  <c r="R52" i="92"/>
  <c r="R51" i="92"/>
  <c r="R31" i="92"/>
  <c r="R27" i="92"/>
  <c r="R78" i="92"/>
  <c r="R72" i="92"/>
  <c r="R62" i="92"/>
  <c r="R54" i="92"/>
  <c r="R53" i="92"/>
  <c r="R42" i="92"/>
  <c r="R41" i="92"/>
  <c r="R37" i="92"/>
  <c r="R18" i="92"/>
  <c r="R79" i="92"/>
  <c r="R75" i="92"/>
  <c r="R70" i="92"/>
  <c r="R32" i="92"/>
  <c r="R28" i="92"/>
  <c r="R64" i="92"/>
  <c r="R63" i="92"/>
  <c r="R56" i="92"/>
  <c r="R55" i="92"/>
  <c r="R44" i="92"/>
  <c r="R43" i="92"/>
  <c r="R19" i="92"/>
  <c r="R38" i="92"/>
  <c r="R82" i="92"/>
  <c r="R73" i="92"/>
  <c r="R58" i="92"/>
  <c r="R57" i="92"/>
  <c r="R46" i="92"/>
  <c r="R45" i="92"/>
  <c r="R33" i="92"/>
  <c r="R29" i="92"/>
  <c r="R35" i="92"/>
  <c r="R24" i="92"/>
  <c r="R60" i="92"/>
  <c r="R47" i="92"/>
  <c r="R26" i="92"/>
  <c r="R39" i="92"/>
  <c r="R71" i="92"/>
  <c r="R48" i="92"/>
  <c r="R30" i="92"/>
  <c r="R25" i="92"/>
  <c r="R22" i="92"/>
  <c r="P22" i="92"/>
  <c r="R59" i="92"/>
  <c r="R34" i="92"/>
  <c r="R20" i="92"/>
  <c r="H46" i="91"/>
  <c r="N16" i="91"/>
  <c r="J60" i="89"/>
  <c r="J34" i="89"/>
  <c r="J28" i="89"/>
  <c r="N12" i="89"/>
  <c r="J65" i="89"/>
  <c r="J35" i="89"/>
  <c r="J54" i="89"/>
  <c r="J46" i="89"/>
  <c r="J36" i="89"/>
  <c r="J18" i="89"/>
  <c r="J70" i="89"/>
  <c r="J67" i="89"/>
  <c r="J47" i="89"/>
  <c r="J37" i="89"/>
  <c r="J29" i="89"/>
  <c r="J48" i="89"/>
  <c r="J38" i="89"/>
  <c r="J24" i="89"/>
  <c r="J22" i="89"/>
  <c r="J20" i="89"/>
  <c r="J55" i="89"/>
  <c r="J49" i="89"/>
  <c r="J39" i="89"/>
  <c r="H20" i="89"/>
  <c r="J50" i="89"/>
  <c r="J40" i="89"/>
  <c r="J30" i="89"/>
  <c r="J51" i="89"/>
  <c r="J41" i="89"/>
  <c r="J25" i="89"/>
  <c r="J58" i="89"/>
  <c r="J44" i="89"/>
  <c r="J32" i="89"/>
  <c r="J16" i="89"/>
  <c r="J61" i="89"/>
  <c r="J43" i="89"/>
  <c r="J52" i="89"/>
  <c r="J56" i="89"/>
  <c r="J33" i="89"/>
  <c r="J42" i="89"/>
  <c r="J27" i="89"/>
  <c r="J31" i="89"/>
  <c r="J23" i="89"/>
  <c r="J57" i="89"/>
  <c r="J63" i="89"/>
  <c r="J53" i="89"/>
  <c r="J26" i="89"/>
  <c r="J45" i="89"/>
  <c r="J17" i="89"/>
  <c r="V73" i="90"/>
  <c r="V69" i="90"/>
  <c r="V75" i="90"/>
  <c r="V74" i="90"/>
  <c r="V77" i="90"/>
  <c r="V65" i="90"/>
  <c r="V85" i="90"/>
  <c r="V78" i="90"/>
  <c r="V70" i="90"/>
  <c r="V53" i="90"/>
  <c r="V41" i="90"/>
  <c r="V37" i="90"/>
  <c r="V61" i="90"/>
  <c r="V60" i="90"/>
  <c r="V52" i="90"/>
  <c r="V32" i="90"/>
  <c r="V28" i="90"/>
  <c r="V76" i="90"/>
  <c r="V68" i="90"/>
  <c r="V55" i="90"/>
  <c r="V43" i="90"/>
  <c r="V19" i="90"/>
  <c r="V54" i="90"/>
  <c r="V42" i="90"/>
  <c r="V38" i="90"/>
  <c r="V71" i="90"/>
  <c r="V57" i="90"/>
  <c r="V45" i="90"/>
  <c r="V33" i="90"/>
  <c r="V29" i="90"/>
  <c r="V62" i="90"/>
  <c r="V56" i="90"/>
  <c r="V44" i="90"/>
  <c r="V20" i="90"/>
  <c r="V80" i="90"/>
  <c r="V63" i="90"/>
  <c r="V47" i="90"/>
  <c r="V39" i="90"/>
  <c r="V58" i="90"/>
  <c r="V46" i="90"/>
  <c r="V34" i="90"/>
  <c r="V30" i="90"/>
  <c r="V26" i="90"/>
  <c r="V64" i="90"/>
  <c r="V59" i="90"/>
  <c r="V51" i="90"/>
  <c r="V35" i="90"/>
  <c r="V31" i="90"/>
  <c r="V27" i="90"/>
  <c r="V81" i="90"/>
  <c r="T23" i="90"/>
  <c r="X23" i="90" s="1"/>
  <c r="V66" i="90"/>
  <c r="V36" i="90"/>
  <c r="V21" i="90"/>
  <c r="Z12" i="90"/>
  <c r="V72" i="90"/>
  <c r="V25" i="90"/>
  <c r="V67" i="90"/>
  <c r="V50" i="90"/>
  <c r="V48" i="90"/>
  <c r="V40" i="90"/>
  <c r="V49" i="90"/>
  <c r="V23" i="90"/>
  <c r="T46" i="88"/>
  <c r="X17" i="88"/>
  <c r="Z17" i="88" s="1"/>
  <c r="V20" i="86"/>
  <c r="R70" i="86"/>
  <c r="R69" i="86"/>
  <c r="R57" i="86"/>
  <c r="R81" i="86"/>
  <c r="R80" i="86"/>
  <c r="R64" i="86"/>
  <c r="R87" i="86"/>
  <c r="R85" i="86"/>
  <c r="R82" i="86"/>
  <c r="R59" i="86"/>
  <c r="R58" i="86"/>
  <c r="R76" i="86"/>
  <c r="R72" i="86"/>
  <c r="R60" i="86"/>
  <c r="R89" i="86"/>
  <c r="R77" i="86"/>
  <c r="R73" i="86"/>
  <c r="R84" i="86"/>
  <c r="R29" i="86"/>
  <c r="R25" i="86"/>
  <c r="R74" i="86"/>
  <c r="R67" i="86"/>
  <c r="R54" i="86"/>
  <c r="R41" i="86"/>
  <c r="R40" i="86"/>
  <c r="R91" i="86"/>
  <c r="R61" i="86"/>
  <c r="R50" i="86"/>
  <c r="R49" i="86"/>
  <c r="R35" i="86"/>
  <c r="R16" i="86"/>
  <c r="R43" i="86"/>
  <c r="R42" i="86"/>
  <c r="R30" i="86"/>
  <c r="R26" i="86"/>
  <c r="R79" i="86"/>
  <c r="R17" i="86"/>
  <c r="R55" i="86"/>
  <c r="R51" i="86"/>
  <c r="R65" i="86"/>
  <c r="R56" i="86"/>
  <c r="R32" i="86"/>
  <c r="R31" i="86"/>
  <c r="R27" i="86"/>
  <c r="R75" i="86"/>
  <c r="R68" i="86"/>
  <c r="R62" i="86"/>
  <c r="R52" i="86"/>
  <c r="R46" i="86"/>
  <c r="R23" i="86"/>
  <c r="R18" i="86"/>
  <c r="R37" i="86"/>
  <c r="R33" i="86"/>
  <c r="R22" i="86"/>
  <c r="R20" i="86"/>
  <c r="R94" i="86"/>
  <c r="R71" i="86"/>
  <c r="R28" i="86"/>
  <c r="R24" i="86"/>
  <c r="P20" i="86"/>
  <c r="R39" i="86"/>
  <c r="R48" i="86"/>
  <c r="R44" i="86"/>
  <c r="R78" i="86"/>
  <c r="R66" i="86"/>
  <c r="R53" i="86"/>
  <c r="R45" i="86"/>
  <c r="X12" i="86"/>
  <c r="Z12" i="86" s="1"/>
  <c r="R47" i="86"/>
  <c r="R36" i="86"/>
  <c r="R63" i="86"/>
  <c r="R38" i="86"/>
  <c r="R34" i="86"/>
  <c r="L89" i="85"/>
  <c r="N20" i="80"/>
  <c r="H76" i="80"/>
  <c r="L20" i="82"/>
  <c r="D75" i="82"/>
  <c r="V20" i="83"/>
  <c r="P31" i="78"/>
  <c r="X19" i="78"/>
  <c r="Z19" i="78" s="1"/>
  <c r="D71" i="83"/>
  <c r="L20" i="83"/>
  <c r="X20" i="80"/>
  <c r="Z20" i="80" s="1"/>
  <c r="P76" i="80"/>
  <c r="F124" i="77"/>
  <c r="F123" i="77"/>
  <c r="F104" i="77"/>
  <c r="F103" i="77"/>
  <c r="F96" i="77"/>
  <c r="F95" i="77"/>
  <c r="F115" i="77"/>
  <c r="F111" i="77"/>
  <c r="F110" i="77"/>
  <c r="F130" i="77"/>
  <c r="F118" i="77"/>
  <c r="F117" i="77"/>
  <c r="F106" i="77"/>
  <c r="F119" i="77"/>
  <c r="F108" i="77"/>
  <c r="F83" i="77"/>
  <c r="F82" i="77"/>
  <c r="F75" i="77"/>
  <c r="F116" i="77"/>
  <c r="F114" i="77"/>
  <c r="F98" i="77"/>
  <c r="F93" i="77"/>
  <c r="F70" i="77"/>
  <c r="F66" i="77"/>
  <c r="F120" i="77"/>
  <c r="F105" i="77"/>
  <c r="F85" i="77"/>
  <c r="F84" i="77"/>
  <c r="F57" i="77"/>
  <c r="F53" i="77"/>
  <c r="F49" i="77"/>
  <c r="F45" i="77"/>
  <c r="F41" i="77"/>
  <c r="F40" i="77"/>
  <c r="F102" i="77"/>
  <c r="F94" i="77"/>
  <c r="F76" i="77"/>
  <c r="F72" i="77"/>
  <c r="F71" i="77"/>
  <c r="L12" i="77"/>
  <c r="F112" i="77"/>
  <c r="F109" i="77"/>
  <c r="F99" i="77"/>
  <c r="F67" i="77"/>
  <c r="F63" i="77"/>
  <c r="F62" i="77"/>
  <c r="F121" i="77"/>
  <c r="F86" i="77"/>
  <c r="F61" i="77"/>
  <c r="F54" i="77"/>
  <c r="F50" i="77"/>
  <c r="F46" i="77"/>
  <c r="F42" i="77"/>
  <c r="F100" i="77"/>
  <c r="F77" i="77"/>
  <c r="F73" i="77"/>
  <c r="D59" i="77"/>
  <c r="F122" i="77"/>
  <c r="F88" i="77"/>
  <c r="F87" i="77"/>
  <c r="F68" i="77"/>
  <c r="F64" i="77"/>
  <c r="F126" i="77"/>
  <c r="F113" i="77"/>
  <c r="F79" i="77"/>
  <c r="F78" i="77"/>
  <c r="F55" i="77"/>
  <c r="F51" i="77"/>
  <c r="F47" i="77"/>
  <c r="F43" i="77"/>
  <c r="F107" i="77"/>
  <c r="F101" i="77"/>
  <c r="F81" i="77"/>
  <c r="F80" i="77"/>
  <c r="F69" i="77"/>
  <c r="F65" i="77"/>
  <c r="F97" i="77"/>
  <c r="F52" i="77"/>
  <c r="F89" i="77"/>
  <c r="F91" i="77"/>
  <c r="F56" i="77"/>
  <c r="F74" i="77"/>
  <c r="F44" i="77"/>
  <c r="F48" i="77"/>
  <c r="F90" i="77"/>
  <c r="F92" i="77"/>
  <c r="F124" i="69"/>
  <c r="F108" i="69"/>
  <c r="F100" i="69"/>
  <c r="F99" i="69"/>
  <c r="F76" i="69"/>
  <c r="F72" i="69"/>
  <c r="F68" i="69"/>
  <c r="F64" i="69"/>
  <c r="F60" i="69"/>
  <c r="F56" i="69"/>
  <c r="F131" i="69"/>
  <c r="F130" i="69"/>
  <c r="F95" i="69"/>
  <c r="F118" i="69"/>
  <c r="F110" i="69"/>
  <c r="F109" i="69"/>
  <c r="F102" i="69"/>
  <c r="F101" i="69"/>
  <c r="F90" i="69"/>
  <c r="F86" i="69"/>
  <c r="F133" i="69"/>
  <c r="F132" i="69"/>
  <c r="F125" i="69"/>
  <c r="F120" i="69"/>
  <c r="F119" i="69"/>
  <c r="F96" i="69"/>
  <c r="F111" i="69"/>
  <c r="F103" i="69"/>
  <c r="F91" i="69"/>
  <c r="F87" i="69"/>
  <c r="F139" i="69"/>
  <c r="F134" i="69"/>
  <c r="F126" i="69"/>
  <c r="F78" i="69"/>
  <c r="F74" i="69"/>
  <c r="F70" i="69"/>
  <c r="F66" i="69"/>
  <c r="F62" i="69"/>
  <c r="F58" i="69"/>
  <c r="F54" i="69"/>
  <c r="F53" i="69"/>
  <c r="F143" i="69"/>
  <c r="F138" i="69"/>
  <c r="F121" i="69"/>
  <c r="F113" i="69"/>
  <c r="F112" i="69"/>
  <c r="F105" i="69"/>
  <c r="F104" i="69"/>
  <c r="F97" i="69"/>
  <c r="F93" i="69"/>
  <c r="F92" i="69"/>
  <c r="F137" i="69"/>
  <c r="F88" i="69"/>
  <c r="F84" i="69"/>
  <c r="F83" i="69"/>
  <c r="F114" i="69"/>
  <c r="F94" i="69"/>
  <c r="F136" i="69"/>
  <c r="F82" i="69"/>
  <c r="F123" i="69"/>
  <c r="F61" i="69"/>
  <c r="F59" i="69"/>
  <c r="F117" i="69"/>
  <c r="F63" i="69"/>
  <c r="F57" i="69"/>
  <c r="F115" i="69"/>
  <c r="F106" i="69"/>
  <c r="F73" i="69"/>
  <c r="F65" i="69"/>
  <c r="F55" i="69"/>
  <c r="F129" i="69"/>
  <c r="F127" i="69"/>
  <c r="F75" i="69"/>
  <c r="F71" i="69"/>
  <c r="F67" i="69"/>
  <c r="F85" i="69"/>
  <c r="F77" i="69"/>
  <c r="F69" i="69"/>
  <c r="L12" i="69"/>
  <c r="N12" i="69" s="1"/>
  <c r="D80" i="69"/>
  <c r="F80" i="69" s="1"/>
  <c r="F116" i="69"/>
  <c r="F128" i="69"/>
  <c r="F107" i="69"/>
  <c r="F89" i="69"/>
  <c r="F98" i="69"/>
  <c r="F122" i="69"/>
  <c r="R63" i="66"/>
  <c r="P27" i="75"/>
  <c r="X21" i="75"/>
  <c r="Z21" i="75" s="1"/>
  <c r="J75" i="68"/>
  <c r="J67" i="68"/>
  <c r="J86" i="68"/>
  <c r="J77" i="68"/>
  <c r="J49" i="68"/>
  <c r="J45" i="68"/>
  <c r="J41" i="68"/>
  <c r="J37" i="68"/>
  <c r="J70" i="68"/>
  <c r="J50" i="68"/>
  <c r="J46" i="68"/>
  <c r="J42" i="68"/>
  <c r="J38" i="68"/>
  <c r="J71" i="68"/>
  <c r="J80" i="68"/>
  <c r="J72" i="68"/>
  <c r="J64" i="68"/>
  <c r="J60" i="68"/>
  <c r="J56" i="68"/>
  <c r="J54" i="68"/>
  <c r="J52" i="68"/>
  <c r="J81" i="68"/>
  <c r="J65" i="68"/>
  <c r="H52" i="68"/>
  <c r="J47" i="68"/>
  <c r="J43" i="68"/>
  <c r="J39" i="68"/>
  <c r="J90" i="68"/>
  <c r="J63" i="68"/>
  <c r="J58" i="68"/>
  <c r="J83" i="68"/>
  <c r="J69" i="68"/>
  <c r="J36" i="68"/>
  <c r="J78" i="68"/>
  <c r="J66" i="68"/>
  <c r="J61" i="68"/>
  <c r="J59" i="68"/>
  <c r="J76" i="68"/>
  <c r="J84" i="68"/>
  <c r="J57" i="68"/>
  <c r="J79" i="68"/>
  <c r="J82" i="68"/>
  <c r="J74" i="68"/>
  <c r="J55" i="68"/>
  <c r="J68" i="68"/>
  <c r="J44" i="68"/>
  <c r="J35" i="68"/>
  <c r="J73" i="68"/>
  <c r="J48" i="68"/>
  <c r="J40" i="68"/>
  <c r="J62" i="68"/>
  <c r="X59" i="72"/>
  <c r="Z59" i="72" s="1"/>
  <c r="H70" i="57"/>
  <c r="N16" i="57"/>
  <c r="P51" i="61"/>
  <c r="X16" i="61"/>
  <c r="L16" i="57"/>
  <c r="X119" i="42"/>
  <c r="Z119" i="42" s="1"/>
  <c r="X28" i="42"/>
  <c r="P124" i="42"/>
  <c r="V97" i="33"/>
  <c r="V79" i="33"/>
  <c r="V71" i="33"/>
  <c r="V63" i="33"/>
  <c r="V55" i="33"/>
  <c r="V96" i="33"/>
  <c r="V94" i="33"/>
  <c r="V86" i="33"/>
  <c r="V82" i="33"/>
  <c r="V74" i="33"/>
  <c r="V62" i="33"/>
  <c r="V50" i="33"/>
  <c r="V46" i="33"/>
  <c r="V87" i="33"/>
  <c r="V83" i="33"/>
  <c r="V75" i="33"/>
  <c r="V67" i="33"/>
  <c r="V51" i="33"/>
  <c r="V47" i="33"/>
  <c r="V66" i="33"/>
  <c r="V38" i="33"/>
  <c r="V34" i="33"/>
  <c r="V89" i="33"/>
  <c r="V57" i="33"/>
  <c r="V102" i="33"/>
  <c r="V88" i="33"/>
  <c r="V84" i="33"/>
  <c r="V76" i="33"/>
  <c r="V68" i="33"/>
  <c r="V52" i="33"/>
  <c r="V48" i="33"/>
  <c r="V44" i="33"/>
  <c r="V99" i="33"/>
  <c r="V93" i="33"/>
  <c r="V85" i="33"/>
  <c r="V77" i="33"/>
  <c r="V69" i="33"/>
  <c r="V61" i="33"/>
  <c r="V49" i="33"/>
  <c r="V45" i="33"/>
  <c r="V101" i="33"/>
  <c r="V37" i="33"/>
  <c r="V72" i="33"/>
  <c r="V70" i="33"/>
  <c r="V39" i="33"/>
  <c r="V65" i="33"/>
  <c r="V98" i="33"/>
  <c r="V80" i="33"/>
  <c r="V78" i="33"/>
  <c r="V35" i="33"/>
  <c r="V92" i="33"/>
  <c r="V54" i="33"/>
  <c r="Z12" i="33"/>
  <c r="V90" i="33"/>
  <c r="V60" i="33"/>
  <c r="V58" i="33"/>
  <c r="V56" i="33"/>
  <c r="V73" i="33"/>
  <c r="T41" i="33"/>
  <c r="V106" i="33"/>
  <c r="V100" i="33"/>
  <c r="V36" i="33"/>
  <c r="V91" i="33"/>
  <c r="V81" i="33"/>
  <c r="V53" i="33"/>
  <c r="V59" i="33"/>
  <c r="V64" i="33"/>
  <c r="V43" i="33"/>
  <c r="Z29" i="36"/>
  <c r="T127" i="36"/>
  <c r="J192" i="18"/>
  <c r="F100" i="27"/>
  <c r="F99" i="27"/>
  <c r="F60" i="27"/>
  <c r="F56" i="27"/>
  <c r="F52" i="27"/>
  <c r="F48" i="27"/>
  <c r="F107" i="27"/>
  <c r="F91" i="27"/>
  <c r="F90" i="27"/>
  <c r="F83" i="27"/>
  <c r="F79" i="27"/>
  <c r="F114" i="27"/>
  <c r="F74" i="27"/>
  <c r="F70" i="27"/>
  <c r="F109" i="27"/>
  <c r="F108" i="27"/>
  <c r="F101" i="27"/>
  <c r="F93" i="27"/>
  <c r="F92" i="27"/>
  <c r="F61" i="27"/>
  <c r="F57" i="27"/>
  <c r="F53" i="27"/>
  <c r="F49" i="27"/>
  <c r="F116" i="27"/>
  <c r="F115" i="27"/>
  <c r="F84" i="27"/>
  <c r="F80" i="27"/>
  <c r="F103" i="27"/>
  <c r="F102" i="27"/>
  <c r="F95" i="27"/>
  <c r="F94" i="27"/>
  <c r="F75" i="27"/>
  <c r="F71" i="27"/>
  <c r="F123" i="27"/>
  <c r="F118" i="27"/>
  <c r="F117" i="27"/>
  <c r="F110" i="27"/>
  <c r="F86" i="27"/>
  <c r="F85" i="27"/>
  <c r="F62" i="27"/>
  <c r="F58" i="27"/>
  <c r="F54" i="27"/>
  <c r="F50" i="27"/>
  <c r="F46" i="27"/>
  <c r="F45" i="27"/>
  <c r="F106" i="27"/>
  <c r="F105" i="27"/>
  <c r="F98" i="27"/>
  <c r="F97" i="27"/>
  <c r="F82" i="27"/>
  <c r="F78" i="27"/>
  <c r="F77" i="27"/>
  <c r="D64" i="27"/>
  <c r="F120" i="27"/>
  <c r="F112" i="27"/>
  <c r="F72" i="27"/>
  <c r="L12" i="27"/>
  <c r="N12" i="27" s="1"/>
  <c r="F88" i="27"/>
  <c r="F76" i="27"/>
  <c r="F66" i="27"/>
  <c r="F104" i="27"/>
  <c r="F113" i="27"/>
  <c r="F55" i="27"/>
  <c r="F47" i="27"/>
  <c r="F69" i="27"/>
  <c r="F67" i="27"/>
  <c r="F59" i="27"/>
  <c r="F51" i="27"/>
  <c r="F127" i="27"/>
  <c r="F121" i="27"/>
  <c r="F81" i="27"/>
  <c r="F73" i="27"/>
  <c r="F64" i="27"/>
  <c r="F122" i="27"/>
  <c r="F68" i="27"/>
  <c r="F96" i="27"/>
  <c r="F87" i="27"/>
  <c r="F89" i="27"/>
  <c r="F111" i="27"/>
  <c r="F89" i="30"/>
  <c r="L12" i="30"/>
  <c r="N12" i="30" s="1"/>
  <c r="L261" i="15"/>
  <c r="N261" i="15" s="1"/>
  <c r="Z28" i="21"/>
  <c r="T106" i="21"/>
  <c r="J264" i="15"/>
  <c r="J261" i="15"/>
  <c r="J274" i="15"/>
  <c r="J258" i="15"/>
  <c r="J224" i="15"/>
  <c r="J216" i="15"/>
  <c r="J206" i="15"/>
  <c r="J190" i="15"/>
  <c r="J184" i="15"/>
  <c r="N12" i="15"/>
  <c r="J259" i="15"/>
  <c r="J251" i="15"/>
  <c r="J235" i="15"/>
  <c r="J207" i="15"/>
  <c r="J191" i="15"/>
  <c r="J179" i="15"/>
  <c r="J175" i="15"/>
  <c r="J171" i="15"/>
  <c r="J252" i="15"/>
  <c r="J246" i="15"/>
  <c r="J242" i="15"/>
  <c r="J230" i="15"/>
  <c r="J208" i="15"/>
  <c r="J198" i="15"/>
  <c r="J180" i="15"/>
  <c r="J162" i="15"/>
  <c r="J158" i="15"/>
  <c r="J154" i="15"/>
  <c r="J150" i="15"/>
  <c r="J146" i="15"/>
  <c r="J142" i="15"/>
  <c r="J138" i="15"/>
  <c r="J134" i="15"/>
  <c r="J130" i="15"/>
  <c r="J126" i="15"/>
  <c r="J122" i="15"/>
  <c r="J118" i="15"/>
  <c r="J114" i="15"/>
  <c r="J253" i="15"/>
  <c r="J225" i="15"/>
  <c r="J217" i="15"/>
  <c r="J209" i="15"/>
  <c r="J199" i="15"/>
  <c r="J185" i="15"/>
  <c r="J181" i="15"/>
  <c r="J262" i="15"/>
  <c r="J254" i="15"/>
  <c r="J236" i="15"/>
  <c r="J200" i="15"/>
  <c r="J192" i="15"/>
  <c r="J176" i="15"/>
  <c r="J172" i="15"/>
  <c r="J265" i="15"/>
  <c r="J263" i="15"/>
  <c r="J255" i="15"/>
  <c r="J247" i="15"/>
  <c r="J243" i="15"/>
  <c r="J237" i="15"/>
  <c r="J231" i="15"/>
  <c r="J193" i="15"/>
  <c r="J163" i="15"/>
  <c r="J159" i="15"/>
  <c r="J155" i="15"/>
  <c r="J151" i="15"/>
  <c r="J147" i="15"/>
  <c r="J143" i="15"/>
  <c r="J139" i="15"/>
  <c r="J135" i="15"/>
  <c r="J131" i="15"/>
  <c r="J127" i="15"/>
  <c r="J123" i="15"/>
  <c r="J119" i="15"/>
  <c r="J115" i="15"/>
  <c r="J269" i="15"/>
  <c r="J268" i="15"/>
  <c r="J267" i="15"/>
  <c r="J266" i="15"/>
  <c r="J238" i="15"/>
  <c r="J232" i="15"/>
  <c r="J226" i="15"/>
  <c r="J218" i="15"/>
  <c r="J210" i="15"/>
  <c r="J194" i="15"/>
  <c r="J186" i="15"/>
  <c r="J182" i="15"/>
  <c r="J270" i="15"/>
  <c r="J233" i="15"/>
  <c r="J219" i="15"/>
  <c r="J211" i="15"/>
  <c r="J201" i="15"/>
  <c r="J195" i="15"/>
  <c r="J177" i="15"/>
  <c r="J173" i="15"/>
  <c r="J256" i="15"/>
  <c r="J250" i="15"/>
  <c r="J240" i="15"/>
  <c r="J234" i="15"/>
  <c r="J228" i="15"/>
  <c r="J222" i="15"/>
  <c r="J214" i="15"/>
  <c r="J204" i="15"/>
  <c r="J188" i="15"/>
  <c r="J178" i="15"/>
  <c r="J174" i="15"/>
  <c r="J170" i="15"/>
  <c r="J168" i="15"/>
  <c r="J257" i="15"/>
  <c r="J245" i="15"/>
  <c r="J241" i="15"/>
  <c r="J229" i="15"/>
  <c r="J223" i="15"/>
  <c r="J215" i="15"/>
  <c r="J205" i="15"/>
  <c r="J197" i="15"/>
  <c r="J189" i="15"/>
  <c r="H166" i="15"/>
  <c r="J161" i="15"/>
  <c r="J157" i="15"/>
  <c r="J153" i="15"/>
  <c r="J149" i="15"/>
  <c r="J145" i="15"/>
  <c r="J141" i="15"/>
  <c r="J137" i="15"/>
  <c r="J133" i="15"/>
  <c r="J129" i="15"/>
  <c r="J125" i="15"/>
  <c r="J121" i="15"/>
  <c r="J117" i="15"/>
  <c r="J203" i="15"/>
  <c r="J160" i="15"/>
  <c r="J113" i="15"/>
  <c r="J183" i="15"/>
  <c r="J164" i="15"/>
  <c r="J244" i="15"/>
  <c r="J221" i="15"/>
  <c r="J213" i="15"/>
  <c r="J202" i="15"/>
  <c r="J196" i="15"/>
  <c r="J248" i="15"/>
  <c r="J239" i="15"/>
  <c r="J227" i="15"/>
  <c r="J187" i="15"/>
  <c r="J144" i="15"/>
  <c r="J136" i="15"/>
  <c r="J132" i="15"/>
  <c r="J124" i="15"/>
  <c r="J116" i="15"/>
  <c r="J148" i="15"/>
  <c r="J140" i="15"/>
  <c r="J128" i="15"/>
  <c r="J120" i="15"/>
  <c r="J212" i="15"/>
  <c r="J169" i="15"/>
  <c r="J152" i="15"/>
  <c r="J220" i="15"/>
  <c r="J156" i="15"/>
  <c r="J249" i="15"/>
  <c r="F171" i="12"/>
  <c r="L309" i="3"/>
  <c r="N309" i="3" s="1"/>
  <c r="X205" i="3"/>
  <c r="Z205" i="3" s="1"/>
  <c r="P324" i="3"/>
  <c r="H27" i="49"/>
  <c r="N18" i="49"/>
  <c r="D27" i="47"/>
  <c r="L18" i="47"/>
  <c r="H27" i="44"/>
  <c r="N18" i="44"/>
  <c r="Z18" i="47"/>
  <c r="T27" i="47"/>
  <c r="H27" i="41"/>
  <c r="N18" i="41"/>
  <c r="D27" i="34"/>
  <c r="L18" i="34"/>
  <c r="L18" i="32"/>
  <c r="D27" i="32"/>
  <c r="P27" i="29"/>
  <c r="X18" i="29"/>
  <c r="N18" i="28"/>
  <c r="H27" i="28"/>
  <c r="D27" i="28"/>
  <c r="L18" i="28"/>
  <c r="X18" i="20"/>
  <c r="P27" i="20"/>
  <c r="H27" i="22"/>
  <c r="N18" i="22"/>
  <c r="L18" i="22"/>
  <c r="D27" i="22"/>
  <c r="D27" i="14"/>
  <c r="L18" i="14"/>
  <c r="L18" i="17"/>
  <c r="D27" i="17"/>
  <c r="H27" i="10"/>
  <c r="N18" i="10"/>
  <c r="N18" i="14"/>
  <c r="H27" i="14"/>
  <c r="T27" i="8"/>
  <c r="Z18" i="8"/>
  <c r="P27" i="11"/>
  <c r="X18" i="11"/>
  <c r="D74" i="74"/>
  <c r="L20" i="74"/>
  <c r="L85" i="70"/>
  <c r="N85" i="70" s="1"/>
  <c r="V298" i="18"/>
  <c r="V280" i="18"/>
  <c r="V272" i="18"/>
  <c r="V268" i="18"/>
  <c r="V256" i="18"/>
  <c r="V224" i="18"/>
  <c r="V188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297" i="18"/>
  <c r="V279" i="18"/>
  <c r="V263" i="18"/>
  <c r="V251" i="18"/>
  <c r="V243" i="18"/>
  <c r="V235" i="18"/>
  <c r="V219" i="18"/>
  <c r="V211" i="18"/>
  <c r="V207" i="18"/>
  <c r="V296" i="18"/>
  <c r="V262" i="18"/>
  <c r="V258" i="18"/>
  <c r="V226" i="18"/>
  <c r="V218" i="18"/>
  <c r="V202" i="18"/>
  <c r="V198" i="18"/>
  <c r="V294" i="18"/>
  <c r="V264" i="18"/>
  <c r="V252" i="18"/>
  <c r="V244" i="18"/>
  <c r="V236" i="18"/>
  <c r="V228" i="18"/>
  <c r="V220" i="18"/>
  <c r="V212" i="18"/>
  <c r="V208" i="18"/>
  <c r="Z12" i="18"/>
  <c r="V293" i="18"/>
  <c r="V275" i="18"/>
  <c r="V259" i="18"/>
  <c r="V247" i="18"/>
  <c r="V239" i="18"/>
  <c r="V227" i="18"/>
  <c r="V203" i="18"/>
  <c r="V199" i="18"/>
  <c r="V195" i="18"/>
  <c r="V292" i="18"/>
  <c r="V282" i="18"/>
  <c r="V274" i="18"/>
  <c r="V270" i="18"/>
  <c r="V266" i="18"/>
  <c r="V254" i="18"/>
  <c r="V246" i="18"/>
  <c r="V238" i="18"/>
  <c r="V230" i="18"/>
  <c r="V222" i="18"/>
  <c r="V214" i="18"/>
  <c r="V194" i="18"/>
  <c r="V190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291" i="18"/>
  <c r="V265" i="18"/>
  <c r="V253" i="18"/>
  <c r="V249" i="18"/>
  <c r="V241" i="18"/>
  <c r="V229" i="18"/>
  <c r="V213" i="18"/>
  <c r="V209" i="18"/>
  <c r="T192" i="18"/>
  <c r="X192" i="18" s="1"/>
  <c r="V290" i="18"/>
  <c r="V284" i="18"/>
  <c r="V276" i="18"/>
  <c r="V260" i="18"/>
  <c r="V248" i="18"/>
  <c r="V240" i="18"/>
  <c r="V232" i="18"/>
  <c r="V216" i="18"/>
  <c r="V204" i="18"/>
  <c r="V200" i="18"/>
  <c r="V196" i="18"/>
  <c r="V289" i="18"/>
  <c r="V283" i="18"/>
  <c r="V271" i="18"/>
  <c r="V267" i="18"/>
  <c r="V255" i="18"/>
  <c r="V231" i="18"/>
  <c r="V223" i="18"/>
  <c r="V215" i="18"/>
  <c r="V187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288" i="18"/>
  <c r="V278" i="18"/>
  <c r="V250" i="18"/>
  <c r="V242" i="18"/>
  <c r="V234" i="18"/>
  <c r="V210" i="18"/>
  <c r="V206" i="18"/>
  <c r="V261" i="18"/>
  <c r="V197" i="18"/>
  <c r="V185" i="18"/>
  <c r="V157" i="18"/>
  <c r="V137" i="18"/>
  <c r="V273" i="18"/>
  <c r="V221" i="18"/>
  <c r="V277" i="18"/>
  <c r="V173" i="18"/>
  <c r="V165" i="18"/>
  <c r="V145" i="18"/>
  <c r="V299" i="18"/>
  <c r="V281" i="18"/>
  <c r="V245" i="18"/>
  <c r="V287" i="18"/>
  <c r="V225" i="18"/>
  <c r="V201" i="18"/>
  <c r="V153" i="18"/>
  <c r="V217" i="18"/>
  <c r="V181" i="18"/>
  <c r="V133" i="18"/>
  <c r="V295" i="18"/>
  <c r="V269" i="18"/>
  <c r="V141" i="18"/>
  <c r="V237" i="18"/>
  <c r="V189" i="18"/>
  <c r="V161" i="18"/>
  <c r="V205" i="18"/>
  <c r="V177" i="18"/>
  <c r="V303" i="18"/>
  <c r="V285" i="18"/>
  <c r="V169" i="18"/>
  <c r="V257" i="18"/>
  <c r="V233" i="18"/>
  <c r="V149" i="18"/>
  <c r="J90" i="79"/>
  <c r="J87" i="79"/>
  <c r="J73" i="79"/>
  <c r="J69" i="79"/>
  <c r="J63" i="79"/>
  <c r="J45" i="79"/>
  <c r="J17" i="79"/>
  <c r="J74" i="79"/>
  <c r="J64" i="79"/>
  <c r="J56" i="79"/>
  <c r="J46" i="79"/>
  <c r="J36" i="79"/>
  <c r="N12" i="79"/>
  <c r="J75" i="79"/>
  <c r="J57" i="79"/>
  <c r="J47" i="79"/>
  <c r="J37" i="79"/>
  <c r="J31" i="79"/>
  <c r="J27" i="79"/>
  <c r="J76" i="79"/>
  <c r="J70" i="79"/>
  <c r="J58" i="79"/>
  <c r="J48" i="79"/>
  <c r="J38" i="79"/>
  <c r="J32" i="79"/>
  <c r="J18" i="79"/>
  <c r="J77" i="79"/>
  <c r="J65" i="79"/>
  <c r="J59" i="79"/>
  <c r="J49" i="79"/>
  <c r="J39" i="79"/>
  <c r="J33" i="79"/>
  <c r="J78" i="79"/>
  <c r="J66" i="79"/>
  <c r="J60" i="79"/>
  <c r="J50" i="79"/>
  <c r="J40" i="79"/>
  <c r="J28" i="79"/>
  <c r="J24" i="79"/>
  <c r="J22" i="79"/>
  <c r="J20" i="79"/>
  <c r="J79" i="79"/>
  <c r="J71" i="79"/>
  <c r="J67" i="79"/>
  <c r="J51" i="79"/>
  <c r="J41" i="79"/>
  <c r="H20" i="79"/>
  <c r="J52" i="79"/>
  <c r="J42" i="79"/>
  <c r="J34" i="79"/>
  <c r="J83" i="79"/>
  <c r="J81" i="79"/>
  <c r="J61" i="79"/>
  <c r="J53" i="79"/>
  <c r="J43" i="79"/>
  <c r="J29" i="79"/>
  <c r="J25" i="79"/>
  <c r="J85" i="79"/>
  <c r="J55" i="79"/>
  <c r="J35" i="79"/>
  <c r="J44" i="79"/>
  <c r="J62" i="79"/>
  <c r="J68" i="79"/>
  <c r="J72" i="79"/>
  <c r="J26" i="79"/>
  <c r="J16" i="79"/>
  <c r="J30" i="79"/>
  <c r="J54" i="79"/>
  <c r="J23" i="79"/>
  <c r="J75" i="90"/>
  <c r="J65" i="90"/>
  <c r="J78" i="90"/>
  <c r="J83" i="90"/>
  <c r="J81" i="90"/>
  <c r="J85" i="90"/>
  <c r="J61" i="90"/>
  <c r="J90" i="90"/>
  <c r="J87" i="90"/>
  <c r="J73" i="90"/>
  <c r="J69" i="90"/>
  <c r="J63" i="90"/>
  <c r="J47" i="90"/>
  <c r="J21" i="90"/>
  <c r="J72" i="90"/>
  <c r="J64" i="90"/>
  <c r="J48" i="90"/>
  <c r="J40" i="90"/>
  <c r="J26" i="90"/>
  <c r="N12" i="90"/>
  <c r="J67" i="90"/>
  <c r="J59" i="90"/>
  <c r="J49" i="90"/>
  <c r="J35" i="90"/>
  <c r="J31" i="90"/>
  <c r="J27" i="90"/>
  <c r="J25" i="90"/>
  <c r="J23" i="90"/>
  <c r="J70" i="90"/>
  <c r="J50" i="90"/>
  <c r="J36" i="90"/>
  <c r="H23" i="90"/>
  <c r="L23" i="90" s="1"/>
  <c r="J51" i="90"/>
  <c r="J41" i="90"/>
  <c r="J37" i="90"/>
  <c r="J60" i="90"/>
  <c r="J52" i="90"/>
  <c r="J32" i="90"/>
  <c r="J28" i="90"/>
  <c r="J76" i="90"/>
  <c r="J68" i="90"/>
  <c r="J53" i="90"/>
  <c r="J54" i="90"/>
  <c r="J42" i="90"/>
  <c r="J38" i="90"/>
  <c r="J74" i="90"/>
  <c r="J57" i="90"/>
  <c r="J45" i="90"/>
  <c r="J39" i="90"/>
  <c r="J44" i="90"/>
  <c r="J33" i="90"/>
  <c r="J71" i="90"/>
  <c r="J20" i="90"/>
  <c r="J77" i="90"/>
  <c r="J62" i="90"/>
  <c r="J58" i="90"/>
  <c r="J56" i="90"/>
  <c r="J43" i="90"/>
  <c r="J30" i="90"/>
  <c r="J19" i="90"/>
  <c r="J66" i="90"/>
  <c r="J80" i="90"/>
  <c r="J34" i="90"/>
  <c r="J55" i="90"/>
  <c r="J46" i="90"/>
  <c r="J29" i="90"/>
  <c r="V20" i="84"/>
  <c r="V90" i="85"/>
  <c r="V70" i="85"/>
  <c r="V50" i="85"/>
  <c r="V38" i="85"/>
  <c r="V34" i="85"/>
  <c r="V94" i="85"/>
  <c r="V80" i="85"/>
  <c r="V76" i="85"/>
  <c r="V82" i="85"/>
  <c r="V66" i="85"/>
  <c r="V54" i="85"/>
  <c r="V42" i="85"/>
  <c r="V30" i="85"/>
  <c r="V26" i="85"/>
  <c r="V84" i="85"/>
  <c r="V56" i="85"/>
  <c r="V44" i="85"/>
  <c r="V83" i="85"/>
  <c r="V67" i="85"/>
  <c r="V63" i="85"/>
  <c r="V55" i="85"/>
  <c r="V85" i="85"/>
  <c r="V75" i="85"/>
  <c r="V57" i="85"/>
  <c r="V53" i="85"/>
  <c r="V37" i="85"/>
  <c r="V43" i="85"/>
  <c r="V27" i="85"/>
  <c r="V60" i="85"/>
  <c r="V58" i="85"/>
  <c r="V24" i="85"/>
  <c r="V17" i="85"/>
  <c r="V78" i="85"/>
  <c r="V73" i="85"/>
  <c r="V89" i="85"/>
  <c r="V86" i="85"/>
  <c r="V47" i="85"/>
  <c r="V32" i="85"/>
  <c r="V31" i="85"/>
  <c r="V64" i="85"/>
  <c r="V51" i="85"/>
  <c r="V45" i="85"/>
  <c r="V39" i="85"/>
  <c r="V35" i="85"/>
  <c r="V28" i="85"/>
  <c r="V25" i="85"/>
  <c r="V48" i="85"/>
  <c r="V18" i="85"/>
  <c r="V74" i="85"/>
  <c r="V61" i="85"/>
  <c r="V52" i="85"/>
  <c r="V81" i="85"/>
  <c r="V71" i="85"/>
  <c r="V36" i="85"/>
  <c r="V33" i="85"/>
  <c r="V29" i="85"/>
  <c r="V79" i="85"/>
  <c r="V69" i="85"/>
  <c r="V65" i="85"/>
  <c r="V59" i="85"/>
  <c r="V41" i="85"/>
  <c r="V40" i="85"/>
  <c r="T20" i="85"/>
  <c r="V20" i="85" s="1"/>
  <c r="V72" i="85"/>
  <c r="V68" i="85"/>
  <c r="V49" i="85"/>
  <c r="V46" i="85"/>
  <c r="V23" i="85"/>
  <c r="V22" i="85"/>
  <c r="V16" i="85"/>
  <c r="V87" i="85"/>
  <c r="Z12" i="85"/>
  <c r="V77" i="85"/>
  <c r="V62" i="85"/>
  <c r="Z108" i="71"/>
  <c r="J17" i="75"/>
  <c r="J18" i="75"/>
  <c r="J25" i="75"/>
  <c r="J23" i="75"/>
  <c r="J21" i="75"/>
  <c r="H21" i="75"/>
  <c r="J29" i="75"/>
  <c r="N12" i="75"/>
  <c r="J19" i="75"/>
  <c r="T97" i="81"/>
  <c r="Z16" i="81"/>
  <c r="Z85" i="70"/>
  <c r="Z136" i="69"/>
  <c r="T83" i="79"/>
  <c r="Z20" i="79"/>
  <c r="F113" i="66"/>
  <c r="F73" i="66"/>
  <c r="F69" i="66"/>
  <c r="F108" i="66"/>
  <c r="F107" i="66"/>
  <c r="F100" i="66"/>
  <c r="F92" i="66"/>
  <c r="F91" i="66"/>
  <c r="F60" i="66"/>
  <c r="F56" i="66"/>
  <c r="F52" i="66"/>
  <c r="F48" i="66"/>
  <c r="F115" i="66"/>
  <c r="F114" i="66"/>
  <c r="F83" i="66"/>
  <c r="F79" i="66"/>
  <c r="F102" i="66"/>
  <c r="F101" i="66"/>
  <c r="F94" i="66"/>
  <c r="F93" i="66"/>
  <c r="F74" i="66"/>
  <c r="F70" i="66"/>
  <c r="F122" i="66"/>
  <c r="F117" i="66"/>
  <c r="F116" i="66"/>
  <c r="F109" i="66"/>
  <c r="F85" i="66"/>
  <c r="F84" i="66"/>
  <c r="F61" i="66"/>
  <c r="F57" i="66"/>
  <c r="F53" i="66"/>
  <c r="F49" i="66"/>
  <c r="F45" i="66"/>
  <c r="F44" i="66"/>
  <c r="F126" i="66"/>
  <c r="F121" i="66"/>
  <c r="F80" i="66"/>
  <c r="L12" i="66"/>
  <c r="N12" i="66" s="1"/>
  <c r="F120" i="66"/>
  <c r="F103" i="66"/>
  <c r="F95" i="66"/>
  <c r="F87" i="66"/>
  <c r="F86" i="66"/>
  <c r="F75" i="66"/>
  <c r="F71" i="66"/>
  <c r="F67" i="66"/>
  <c r="F66" i="66"/>
  <c r="F112" i="66"/>
  <c r="F111" i="66"/>
  <c r="F88" i="66"/>
  <c r="F72" i="66"/>
  <c r="F68" i="66"/>
  <c r="F98" i="66"/>
  <c r="F47" i="66"/>
  <c r="F105" i="66"/>
  <c r="F96" i="66"/>
  <c r="F89" i="66"/>
  <c r="F65" i="66"/>
  <c r="F81" i="66"/>
  <c r="F77" i="66"/>
  <c r="F58" i="66"/>
  <c r="F51" i="66"/>
  <c r="F99" i="66"/>
  <c r="F46" i="66"/>
  <c r="F90" i="66"/>
  <c r="F55" i="66"/>
  <c r="F97" i="66"/>
  <c r="D63" i="66"/>
  <c r="F63" i="66" s="1"/>
  <c r="F110" i="66"/>
  <c r="F78" i="66"/>
  <c r="F104" i="66"/>
  <c r="F119" i="66"/>
  <c r="F106" i="66"/>
  <c r="F54" i="66"/>
  <c r="F82" i="66"/>
  <c r="F59" i="66"/>
  <c r="F50" i="66"/>
  <c r="F76" i="66"/>
  <c r="X20" i="65"/>
  <c r="Z20" i="65" s="1"/>
  <c r="P68" i="65"/>
  <c r="D74" i="57"/>
  <c r="D61" i="59"/>
  <c r="L16" i="59"/>
  <c r="T77" i="58"/>
  <c r="X108" i="51"/>
  <c r="T55" i="61"/>
  <c r="R57" i="51"/>
  <c r="N108" i="51"/>
  <c r="V17" i="48"/>
  <c r="D132" i="39"/>
  <c r="F28" i="42"/>
  <c r="T132" i="39"/>
  <c r="X120" i="27"/>
  <c r="Z120" i="27" s="1"/>
  <c r="H136" i="24"/>
  <c r="R192" i="18"/>
  <c r="R287" i="18"/>
  <c r="R277" i="12"/>
  <c r="R242" i="12"/>
  <c r="R214" i="12"/>
  <c r="R190" i="12"/>
  <c r="R186" i="12"/>
  <c r="R283" i="12"/>
  <c r="R276" i="12"/>
  <c r="R265" i="12"/>
  <c r="R258" i="12"/>
  <c r="R257" i="12"/>
  <c r="R253" i="12"/>
  <c r="R249" i="12"/>
  <c r="R237" i="12"/>
  <c r="R205" i="12"/>
  <c r="R198" i="12"/>
  <c r="R197" i="12"/>
  <c r="R181" i="12"/>
  <c r="R177" i="12"/>
  <c r="R275" i="12"/>
  <c r="R232" i="12"/>
  <c r="R224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120" i="12"/>
  <c r="R274" i="12"/>
  <c r="R259" i="12"/>
  <c r="R243" i="12"/>
  <c r="R216" i="12"/>
  <c r="R215" i="12"/>
  <c r="R200" i="12"/>
  <c r="R199" i="12"/>
  <c r="R191" i="12"/>
  <c r="R187" i="12"/>
  <c r="R116" i="12"/>
  <c r="R273" i="12"/>
  <c r="R267" i="12"/>
  <c r="R266" i="12"/>
  <c r="R254" i="12"/>
  <c r="R250" i="12"/>
  <c r="R239" i="12"/>
  <c r="R238" i="12"/>
  <c r="R207" i="12"/>
  <c r="R206" i="12"/>
  <c r="R182" i="12"/>
  <c r="R178" i="12"/>
  <c r="R272" i="12"/>
  <c r="R233" i="12"/>
  <c r="R226" i="12"/>
  <c r="R225" i="12"/>
  <c r="R218" i="12"/>
  <c r="R217" i="12"/>
  <c r="R201" i="12"/>
  <c r="R174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271" i="12"/>
  <c r="R268" i="12"/>
  <c r="R261" i="12"/>
  <c r="R260" i="12"/>
  <c r="R245" i="12"/>
  <c r="R244" i="12"/>
  <c r="R240" i="12"/>
  <c r="R209" i="12"/>
  <c r="R208" i="12"/>
  <c r="R193" i="12"/>
  <c r="R192" i="12"/>
  <c r="R188" i="12"/>
  <c r="R173" i="12"/>
  <c r="X12" i="12"/>
  <c r="Z12" i="12" s="1"/>
  <c r="R270" i="12"/>
  <c r="R255" i="12"/>
  <c r="R251" i="12"/>
  <c r="R228" i="12"/>
  <c r="R227" i="12"/>
  <c r="R220" i="12"/>
  <c r="R219" i="12"/>
  <c r="R183" i="12"/>
  <c r="R179" i="12"/>
  <c r="R175" i="12"/>
  <c r="P171" i="12"/>
  <c r="R263" i="12"/>
  <c r="R262" i="12"/>
  <c r="R246" i="12"/>
  <c r="R235" i="12"/>
  <c r="R234" i="12"/>
  <c r="R211" i="12"/>
  <c r="R210" i="12"/>
  <c r="R202" i="12"/>
  <c r="R195" i="12"/>
  <c r="R194" i="12"/>
  <c r="R166" i="12"/>
  <c r="R162" i="12"/>
  <c r="R158" i="12"/>
  <c r="R154" i="12"/>
  <c r="R150" i="12"/>
  <c r="R241" i="12"/>
  <c r="R230" i="12"/>
  <c r="R229" i="12"/>
  <c r="R222" i="12"/>
  <c r="R221" i="12"/>
  <c r="R189" i="12"/>
  <c r="R279" i="12"/>
  <c r="R264" i="12"/>
  <c r="R256" i="12"/>
  <c r="R252" i="12"/>
  <c r="R236" i="12"/>
  <c r="R213" i="12"/>
  <c r="R212" i="12"/>
  <c r="R196" i="12"/>
  <c r="R185" i="12"/>
  <c r="R184" i="12"/>
  <c r="R180" i="12"/>
  <c r="R176" i="12"/>
  <c r="R247" i="12"/>
  <c r="R204" i="12"/>
  <c r="R130" i="12"/>
  <c r="R278" i="12"/>
  <c r="R223" i="12"/>
  <c r="R143" i="12"/>
  <c r="R134" i="12"/>
  <c r="R119" i="12"/>
  <c r="R159" i="12"/>
  <c r="R147" i="12"/>
  <c r="R138" i="12"/>
  <c r="R123" i="12"/>
  <c r="R248" i="12"/>
  <c r="R231" i="12"/>
  <c r="R127" i="12"/>
  <c r="R151" i="12"/>
  <c r="R142" i="12"/>
  <c r="R131" i="12"/>
  <c r="R118" i="12"/>
  <c r="R163" i="12"/>
  <c r="R135" i="12"/>
  <c r="R203" i="12"/>
  <c r="R146" i="12"/>
  <c r="R139" i="12"/>
  <c r="R126" i="12"/>
  <c r="R122" i="12"/>
  <c r="R167" i="12"/>
  <c r="R155" i="12"/>
  <c r="L12" i="12"/>
  <c r="R205" i="3"/>
  <c r="H27" i="98"/>
  <c r="N18" i="98"/>
  <c r="X18" i="52"/>
  <c r="P27" i="52"/>
  <c r="H27" i="52"/>
  <c r="N18" i="52"/>
  <c r="D27" i="46"/>
  <c r="L18" i="46"/>
  <c r="L18" i="37"/>
  <c r="D27" i="37"/>
  <c r="L18" i="38"/>
  <c r="D27" i="38"/>
  <c r="H27" i="23"/>
  <c r="N18" i="23"/>
  <c r="L18" i="10"/>
  <c r="D27" i="10"/>
  <c r="H31" i="28" l="1"/>
  <c r="N27" i="28"/>
  <c r="T100" i="45"/>
  <c r="V96" i="45"/>
  <c r="D31" i="54"/>
  <c r="T31" i="75"/>
  <c r="Z27" i="75"/>
  <c r="V27" i="75"/>
  <c r="D67" i="89"/>
  <c r="L63" i="89"/>
  <c r="T272" i="15"/>
  <c r="P83" i="67"/>
  <c r="H31" i="13"/>
  <c r="N27" i="13"/>
  <c r="H132" i="39"/>
  <c r="L27" i="35"/>
  <c r="D31" i="35"/>
  <c r="D136" i="39"/>
  <c r="F132" i="39"/>
  <c r="D77" i="57"/>
  <c r="H27" i="75"/>
  <c r="H80" i="80"/>
  <c r="X27" i="19"/>
  <c r="P31" i="19"/>
  <c r="L27" i="44"/>
  <c r="D31" i="44"/>
  <c r="L52" i="68"/>
  <c r="D88" i="68"/>
  <c r="D101" i="81"/>
  <c r="L97" i="81"/>
  <c r="N97" i="81" s="1"/>
  <c r="X21" i="93"/>
  <c r="Z21" i="93" s="1"/>
  <c r="P51" i="93"/>
  <c r="Z27" i="19"/>
  <c r="T31" i="19"/>
  <c r="P40" i="55"/>
  <c r="Z27" i="50"/>
  <c r="T31" i="50"/>
  <c r="H70" i="72"/>
  <c r="J66" i="72"/>
  <c r="P50" i="91"/>
  <c r="X46" i="91"/>
  <c r="D31" i="16"/>
  <c r="L27" i="16"/>
  <c r="L27" i="23"/>
  <c r="D31" i="23"/>
  <c r="H81" i="84"/>
  <c r="P31" i="38"/>
  <c r="X27" i="38"/>
  <c r="X27" i="53"/>
  <c r="P31" i="53"/>
  <c r="T128" i="66"/>
  <c r="V124" i="66"/>
  <c r="P81" i="84"/>
  <c r="X77" i="84"/>
  <c r="Z77" i="84" s="1"/>
  <c r="R77" i="84"/>
  <c r="N27" i="25"/>
  <c r="H31" i="25"/>
  <c r="P136" i="24"/>
  <c r="X81" i="24"/>
  <c r="H88" i="70"/>
  <c r="D31" i="49"/>
  <c r="L27" i="49"/>
  <c r="T35" i="78"/>
  <c r="V31" i="78"/>
  <c r="H31" i="16"/>
  <c r="N27" i="16"/>
  <c r="D31" i="75"/>
  <c r="L27" i="75"/>
  <c r="F27" i="75"/>
  <c r="H50" i="88"/>
  <c r="P62" i="63"/>
  <c r="X58" i="63"/>
  <c r="X80" i="69"/>
  <c r="P141" i="69"/>
  <c r="L21" i="75"/>
  <c r="N21" i="75" s="1"/>
  <c r="T301" i="18"/>
  <c r="Z192" i="18"/>
  <c r="P31" i="29"/>
  <c r="X27" i="29"/>
  <c r="T110" i="21"/>
  <c r="V106" i="21"/>
  <c r="P31" i="75"/>
  <c r="X27" i="75"/>
  <c r="R27" i="75"/>
  <c r="P31" i="99"/>
  <c r="X27" i="99"/>
  <c r="H121" i="64"/>
  <c r="P31" i="16"/>
  <c r="X27" i="16"/>
  <c r="H37" i="55"/>
  <c r="H281" i="12"/>
  <c r="H128" i="42"/>
  <c r="Z27" i="7"/>
  <c r="T31" i="7"/>
  <c r="P31" i="46"/>
  <c r="X27" i="46"/>
  <c r="X91" i="9"/>
  <c r="Z91" i="9" s="1"/>
  <c r="P95" i="9"/>
  <c r="D31" i="38"/>
  <c r="L27" i="38"/>
  <c r="T87" i="79"/>
  <c r="V83" i="79"/>
  <c r="L27" i="22"/>
  <c r="D31" i="22"/>
  <c r="D31" i="32"/>
  <c r="L27" i="32"/>
  <c r="P118" i="51"/>
  <c r="X114" i="51"/>
  <c r="Z114" i="51" s="1"/>
  <c r="R114" i="51"/>
  <c r="L27" i="26"/>
  <c r="D31" i="26"/>
  <c r="T75" i="83"/>
  <c r="V71" i="83"/>
  <c r="T74" i="57"/>
  <c r="H31" i="11"/>
  <c r="N27" i="11"/>
  <c r="D31" i="25"/>
  <c r="L27" i="25"/>
  <c r="D173" i="30"/>
  <c r="F169" i="30"/>
  <c r="H96" i="45"/>
  <c r="P68" i="59"/>
  <c r="X68" i="59" s="1"/>
  <c r="X65" i="59"/>
  <c r="Z65" i="59" s="1"/>
  <c r="D87" i="79"/>
  <c r="D301" i="18"/>
  <c r="L192" i="18"/>
  <c r="N192" i="18" s="1"/>
  <c r="F192" i="18"/>
  <c r="H77" i="58"/>
  <c r="Z20" i="76"/>
  <c r="T82" i="76"/>
  <c r="X20" i="76"/>
  <c r="X83" i="79"/>
  <c r="Z83" i="79" s="1"/>
  <c r="P87" i="79"/>
  <c r="P53" i="87"/>
  <c r="X20" i="87"/>
  <c r="Z20" i="87" s="1"/>
  <c r="N27" i="4"/>
  <c r="H31" i="4"/>
  <c r="X27" i="25"/>
  <c r="P31" i="25"/>
  <c r="H106" i="21"/>
  <c r="X105" i="62"/>
  <c r="Z105" i="62" s="1"/>
  <c r="P109" i="62"/>
  <c r="T88" i="70"/>
  <c r="H114" i="71"/>
  <c r="N57" i="71"/>
  <c r="P31" i="23"/>
  <c r="X27" i="23"/>
  <c r="D76" i="97"/>
  <c r="F73" i="97"/>
  <c r="X27" i="17"/>
  <c r="P31" i="17"/>
  <c r="D328" i="3"/>
  <c r="L324" i="3"/>
  <c r="N324" i="3" s="1"/>
  <c r="F324" i="3"/>
  <c r="H31" i="26"/>
  <c r="N27" i="26"/>
  <c r="P31" i="50"/>
  <c r="X27" i="50"/>
  <c r="T37" i="55"/>
  <c r="Z33" i="55"/>
  <c r="X75" i="82"/>
  <c r="P79" i="82"/>
  <c r="D31" i="20"/>
  <c r="L27" i="20"/>
  <c r="H169" i="30"/>
  <c r="N89" i="30"/>
  <c r="L76" i="80"/>
  <c r="N76" i="80" s="1"/>
  <c r="D80" i="80"/>
  <c r="D87" i="90"/>
  <c r="H74" i="57"/>
  <c r="D128" i="77"/>
  <c r="L59" i="77"/>
  <c r="N59" i="77" s="1"/>
  <c r="H63" i="89"/>
  <c r="N20" i="89"/>
  <c r="N27" i="38"/>
  <c r="H31" i="38"/>
  <c r="L27" i="98"/>
  <c r="D31" i="98"/>
  <c r="T128" i="77"/>
  <c r="D50" i="88"/>
  <c r="L46" i="88"/>
  <c r="N46" i="88" s="1"/>
  <c r="P272" i="15"/>
  <c r="X166" i="15"/>
  <c r="Z166" i="15" s="1"/>
  <c r="X22" i="54"/>
  <c r="P26" i="54"/>
  <c r="Z20" i="73"/>
  <c r="T71" i="73"/>
  <c r="X71" i="73" s="1"/>
  <c r="Z27" i="41"/>
  <c r="T31" i="41"/>
  <c r="H109" i="62"/>
  <c r="T31" i="34"/>
  <c r="Z27" i="34"/>
  <c r="D31" i="19"/>
  <c r="L27" i="19"/>
  <c r="D31" i="100"/>
  <c r="L27" i="100"/>
  <c r="X96" i="45"/>
  <c r="Z96" i="45" s="1"/>
  <c r="P100" i="45"/>
  <c r="R96" i="45"/>
  <c r="T31" i="22"/>
  <c r="Z27" i="22"/>
  <c r="Z27" i="52"/>
  <c r="T31" i="52"/>
  <c r="X41" i="33"/>
  <c r="P104" i="33"/>
  <c r="P132" i="39"/>
  <c r="X35" i="39"/>
  <c r="Z35" i="39" s="1"/>
  <c r="T76" i="67"/>
  <c r="Z25" i="67"/>
  <c r="X25" i="67"/>
  <c r="X27" i="8"/>
  <c r="P31" i="8"/>
  <c r="D31" i="53"/>
  <c r="L27" i="53"/>
  <c r="X74" i="57"/>
  <c r="P77" i="57"/>
  <c r="T55" i="60"/>
  <c r="P88" i="95"/>
  <c r="X27" i="52"/>
  <c r="P31" i="52"/>
  <c r="D31" i="14"/>
  <c r="L27" i="14"/>
  <c r="N41" i="33"/>
  <c r="H104" i="33"/>
  <c r="L104" i="33" s="1"/>
  <c r="D106" i="21"/>
  <c r="L28" i="21"/>
  <c r="N28" i="21" s="1"/>
  <c r="L27" i="37"/>
  <c r="D31" i="37"/>
  <c r="X324" i="3"/>
  <c r="P328" i="3"/>
  <c r="R324" i="3"/>
  <c r="P87" i="86"/>
  <c r="X20" i="86"/>
  <c r="Z20" i="86" s="1"/>
  <c r="H50" i="91"/>
  <c r="L22" i="92"/>
  <c r="N22" i="92" s="1"/>
  <c r="D86" i="92"/>
  <c r="X27" i="5"/>
  <c r="P31" i="5"/>
  <c r="P31" i="31"/>
  <c r="X27" i="31"/>
  <c r="L53" i="87"/>
  <c r="D57" i="87"/>
  <c r="F53" i="87"/>
  <c r="D55" i="60"/>
  <c r="L51" i="60"/>
  <c r="N51" i="60" s="1"/>
  <c r="H31" i="17"/>
  <c r="N27" i="17"/>
  <c r="T118" i="51"/>
  <c r="V114" i="51"/>
  <c r="D121" i="64"/>
  <c r="L74" i="64"/>
  <c r="N74" i="64" s="1"/>
  <c r="T114" i="71"/>
  <c r="Z57" i="71"/>
  <c r="X57" i="71"/>
  <c r="N27" i="20"/>
  <c r="H31" i="20"/>
  <c r="Z27" i="98"/>
  <c r="T31" i="98"/>
  <c r="P110" i="21"/>
  <c r="X106" i="21"/>
  <c r="Z106" i="21" s="1"/>
  <c r="R106" i="21"/>
  <c r="L105" i="62"/>
  <c r="N105" i="62" s="1"/>
  <c r="D109" i="62"/>
  <c r="L57" i="71"/>
  <c r="D114" i="71"/>
  <c r="T86" i="92"/>
  <c r="D31" i="50"/>
  <c r="L27" i="50"/>
  <c r="Z28" i="42"/>
  <c r="T124" i="42"/>
  <c r="X124" i="42" s="1"/>
  <c r="H76" i="67"/>
  <c r="D88" i="70"/>
  <c r="L33" i="70"/>
  <c r="N33" i="70" s="1"/>
  <c r="N53" i="87"/>
  <c r="H57" i="87"/>
  <c r="D31" i="40"/>
  <c r="L27" i="40"/>
  <c r="D84" i="95"/>
  <c r="L21" i="95"/>
  <c r="Z27" i="28"/>
  <c r="T31" i="28"/>
  <c r="D272" i="15"/>
  <c r="L166" i="15"/>
  <c r="H305" i="18"/>
  <c r="J301" i="18"/>
  <c r="H26" i="54"/>
  <c r="N22" i="54"/>
  <c r="D96" i="85"/>
  <c r="F92" i="85"/>
  <c r="Z27" i="16"/>
  <c r="T31" i="16"/>
  <c r="X27" i="22"/>
  <c r="P31" i="22"/>
  <c r="X70" i="57"/>
  <c r="Z70" i="57" s="1"/>
  <c r="F38" i="78"/>
  <c r="X21" i="95"/>
  <c r="H69" i="97"/>
  <c r="L17" i="97"/>
  <c r="N17" i="97" s="1"/>
  <c r="X27" i="11"/>
  <c r="P31" i="11"/>
  <c r="T31" i="44"/>
  <c r="Z27" i="44"/>
  <c r="Z27" i="8"/>
  <c r="T31" i="8"/>
  <c r="N27" i="22"/>
  <c r="H31" i="22"/>
  <c r="L27" i="34"/>
  <c r="D31" i="34"/>
  <c r="H86" i="92"/>
  <c r="N21" i="95"/>
  <c r="H84" i="95"/>
  <c r="Z27" i="53"/>
  <c r="T31" i="53"/>
  <c r="H72" i="65"/>
  <c r="P75" i="73"/>
  <c r="R71" i="73"/>
  <c r="H51" i="93"/>
  <c r="N21" i="93"/>
  <c r="L21" i="93"/>
  <c r="H31" i="32"/>
  <c r="N27" i="32"/>
  <c r="P99" i="85"/>
  <c r="R96" i="85"/>
  <c r="Z27" i="5"/>
  <c r="T31" i="5"/>
  <c r="H31" i="40"/>
  <c r="N27" i="40"/>
  <c r="P77" i="58"/>
  <c r="X73" i="58"/>
  <c r="Z73" i="58" s="1"/>
  <c r="L72" i="65"/>
  <c r="D75" i="65"/>
  <c r="D86" i="76"/>
  <c r="H82" i="76"/>
  <c r="L82" i="76" s="1"/>
  <c r="N20" i="76"/>
  <c r="N27" i="29"/>
  <c r="H31" i="29"/>
  <c r="X64" i="27"/>
  <c r="P125" i="27"/>
  <c r="R64" i="27"/>
  <c r="H141" i="69"/>
  <c r="N80" i="69"/>
  <c r="P67" i="89"/>
  <c r="X63" i="89"/>
  <c r="Z63" i="89" s="1"/>
  <c r="H40" i="96"/>
  <c r="Z27" i="20"/>
  <c r="T31" i="20"/>
  <c r="Z22" i="6"/>
  <c r="T26" i="6"/>
  <c r="X22" i="6"/>
  <c r="H74" i="56"/>
  <c r="N70" i="56"/>
  <c r="H91" i="86"/>
  <c r="L27" i="31"/>
  <c r="D31" i="31"/>
  <c r="R81" i="24"/>
  <c r="D77" i="58"/>
  <c r="L73" i="58"/>
  <c r="N73" i="58" s="1"/>
  <c r="P128" i="66"/>
  <c r="X124" i="66"/>
  <c r="Z124" i="66" s="1"/>
  <c r="R124" i="66"/>
  <c r="Z27" i="25"/>
  <c r="T31" i="25"/>
  <c r="Z27" i="100"/>
  <c r="T31" i="100"/>
  <c r="Z81" i="24"/>
  <c r="T136" i="24"/>
  <c r="P74" i="74"/>
  <c r="X20" i="74"/>
  <c r="Z20" i="74" s="1"/>
  <c r="X27" i="10"/>
  <c r="P31" i="10"/>
  <c r="T31" i="38"/>
  <c r="Z27" i="38"/>
  <c r="N27" i="100"/>
  <c r="H31" i="100"/>
  <c r="N20" i="85"/>
  <c r="H92" i="85"/>
  <c r="L92" i="85" s="1"/>
  <c r="T55" i="93"/>
  <c r="V51" i="93"/>
  <c r="N27" i="23"/>
  <c r="H31" i="23"/>
  <c r="L63" i="66"/>
  <c r="D124" i="66"/>
  <c r="N23" i="90"/>
  <c r="H83" i="90"/>
  <c r="L83" i="90" s="1"/>
  <c r="V192" i="18"/>
  <c r="H114" i="51"/>
  <c r="D87" i="86"/>
  <c r="L20" i="86"/>
  <c r="D31" i="52"/>
  <c r="L27" i="52"/>
  <c r="T95" i="9"/>
  <c r="P305" i="18"/>
  <c r="X301" i="18"/>
  <c r="R301" i="18"/>
  <c r="H68" i="59"/>
  <c r="P31" i="26"/>
  <c r="X27" i="26"/>
  <c r="H31" i="49"/>
  <c r="N27" i="49"/>
  <c r="T58" i="61"/>
  <c r="X171" i="12"/>
  <c r="Z171" i="12" s="1"/>
  <c r="P281" i="12"/>
  <c r="R171" i="12"/>
  <c r="H140" i="24"/>
  <c r="J136" i="24"/>
  <c r="T101" i="81"/>
  <c r="H31" i="14"/>
  <c r="N27" i="14"/>
  <c r="X27" i="20"/>
  <c r="P31" i="20"/>
  <c r="T131" i="36"/>
  <c r="V127" i="36"/>
  <c r="Z41" i="33"/>
  <c r="T104" i="33"/>
  <c r="D75" i="83"/>
  <c r="L71" i="83"/>
  <c r="L27" i="4"/>
  <c r="D31" i="4"/>
  <c r="P31" i="100"/>
  <c r="X27" i="100"/>
  <c r="H94" i="94"/>
  <c r="N90" i="94"/>
  <c r="J90" i="94"/>
  <c r="Z58" i="63"/>
  <c r="T62" i="63"/>
  <c r="Z27" i="11"/>
  <c r="T31" i="11"/>
  <c r="T31" i="35"/>
  <c r="Z27" i="35"/>
  <c r="R166" i="15"/>
  <c r="D127" i="36"/>
  <c r="L29" i="36"/>
  <c r="N29" i="36" s="1"/>
  <c r="L66" i="72"/>
  <c r="N66" i="72" s="1"/>
  <c r="T70" i="72"/>
  <c r="V66" i="72"/>
  <c r="L27" i="5"/>
  <c r="D31" i="5"/>
  <c r="L25" i="67"/>
  <c r="N25" i="67" s="1"/>
  <c r="D76" i="67"/>
  <c r="L68" i="65"/>
  <c r="N68" i="65" s="1"/>
  <c r="Z27" i="31"/>
  <c r="T31" i="31"/>
  <c r="P31" i="47"/>
  <c r="X27" i="47"/>
  <c r="D95" i="9"/>
  <c r="L91" i="9"/>
  <c r="N91" i="9" s="1"/>
  <c r="L27" i="29"/>
  <c r="D31" i="29"/>
  <c r="D31" i="41"/>
  <c r="L27" i="41"/>
  <c r="T78" i="74"/>
  <c r="V74" i="74"/>
  <c r="T31" i="23"/>
  <c r="Z27" i="23"/>
  <c r="T74" i="56"/>
  <c r="Z70" i="56"/>
  <c r="T328" i="3"/>
  <c r="Z324" i="3"/>
  <c r="V324" i="3"/>
  <c r="T75" i="65"/>
  <c r="V72" i="65"/>
  <c r="T31" i="46"/>
  <c r="Z27" i="46"/>
  <c r="T90" i="94"/>
  <c r="Z21" i="94"/>
  <c r="L71" i="73"/>
  <c r="N71" i="73" s="1"/>
  <c r="D75" i="73"/>
  <c r="X76" i="80"/>
  <c r="Z76" i="80" s="1"/>
  <c r="P80" i="80"/>
  <c r="T80" i="58"/>
  <c r="N27" i="41"/>
  <c r="H31" i="41"/>
  <c r="T50" i="88"/>
  <c r="X46" i="88"/>
  <c r="Z46" i="88" s="1"/>
  <c r="T31" i="37"/>
  <c r="Z27" i="37"/>
  <c r="D74" i="56"/>
  <c r="L70" i="56"/>
  <c r="P73" i="97"/>
  <c r="X69" i="97"/>
  <c r="R69" i="97"/>
  <c r="T83" i="80"/>
  <c r="V80" i="80"/>
  <c r="V166" i="15"/>
  <c r="J41" i="33"/>
  <c r="X51" i="60"/>
  <c r="Z51" i="60" s="1"/>
  <c r="P55" i="60"/>
  <c r="V59" i="77"/>
  <c r="X27" i="43"/>
  <c r="P31" i="43"/>
  <c r="D73" i="72"/>
  <c r="L70" i="72"/>
  <c r="Z27" i="49"/>
  <c r="T31" i="49"/>
  <c r="T88" i="68"/>
  <c r="Z52" i="68"/>
  <c r="P66" i="72"/>
  <c r="X25" i="72"/>
  <c r="Z25" i="72" s="1"/>
  <c r="H132" i="77"/>
  <c r="H75" i="73"/>
  <c r="T70" i="89"/>
  <c r="V67" i="89"/>
  <c r="N22" i="6"/>
  <c r="H26" i="6"/>
  <c r="X74" i="56"/>
  <c r="P77" i="56"/>
  <c r="X33" i="70"/>
  <c r="Z33" i="70" s="1"/>
  <c r="P88" i="70"/>
  <c r="P87" i="90"/>
  <c r="X36" i="96"/>
  <c r="Z36" i="96" s="1"/>
  <c r="P40" i="96"/>
  <c r="L33" i="55"/>
  <c r="N33" i="55" s="1"/>
  <c r="D37" i="55"/>
  <c r="T31" i="14"/>
  <c r="Z27" i="14"/>
  <c r="N27" i="47"/>
  <c r="H31" i="47"/>
  <c r="H31" i="99"/>
  <c r="N27" i="99"/>
  <c r="L27" i="13"/>
  <c r="D31" i="13"/>
  <c r="L27" i="99"/>
  <c r="D31" i="99"/>
  <c r="P31" i="28"/>
  <c r="X27" i="28"/>
  <c r="F28" i="21"/>
  <c r="H73" i="48"/>
  <c r="L73" i="48" s="1"/>
  <c r="N69" i="48"/>
  <c r="J69" i="48"/>
  <c r="X97" i="81"/>
  <c r="Z97" i="81" s="1"/>
  <c r="P101" i="81"/>
  <c r="T57" i="87"/>
  <c r="V53" i="87"/>
  <c r="N27" i="35"/>
  <c r="H31" i="35"/>
  <c r="L61" i="59"/>
  <c r="N61" i="59" s="1"/>
  <c r="D65" i="59"/>
  <c r="X68" i="65"/>
  <c r="Z68" i="65" s="1"/>
  <c r="P72" i="65"/>
  <c r="L27" i="47"/>
  <c r="D31" i="47"/>
  <c r="H272" i="15"/>
  <c r="N166" i="15"/>
  <c r="X51" i="61"/>
  <c r="Z51" i="61" s="1"/>
  <c r="P55" i="61"/>
  <c r="P75" i="83"/>
  <c r="X71" i="83"/>
  <c r="Z71" i="83" s="1"/>
  <c r="T91" i="86"/>
  <c r="V87" i="86"/>
  <c r="L27" i="46"/>
  <c r="D31" i="46"/>
  <c r="T92" i="85"/>
  <c r="Z20" i="85"/>
  <c r="X20" i="85"/>
  <c r="N20" i="79"/>
  <c r="H83" i="79"/>
  <c r="L83" i="79" s="1"/>
  <c r="Z27" i="47"/>
  <c r="T31" i="47"/>
  <c r="V41" i="33"/>
  <c r="P128" i="42"/>
  <c r="R124" i="42"/>
  <c r="P35" i="78"/>
  <c r="X31" i="78"/>
  <c r="Z31" i="78" s="1"/>
  <c r="R31" i="78"/>
  <c r="T83" i="90"/>
  <c r="Z23" i="90"/>
  <c r="X27" i="41"/>
  <c r="P31" i="41"/>
  <c r="D96" i="45"/>
  <c r="L24" i="45"/>
  <c r="N24" i="45" s="1"/>
  <c r="Z69" i="97"/>
  <c r="T73" i="97"/>
  <c r="V69" i="97"/>
  <c r="H31" i="5"/>
  <c r="N27" i="5"/>
  <c r="H31" i="46"/>
  <c r="N27" i="46"/>
  <c r="J24" i="45"/>
  <c r="V20" i="76"/>
  <c r="X27" i="44"/>
  <c r="P31" i="44"/>
  <c r="H65" i="63"/>
  <c r="V20" i="73"/>
  <c r="P73" i="48"/>
  <c r="X69" i="48"/>
  <c r="R69" i="48"/>
  <c r="R33" i="70"/>
  <c r="D62" i="63"/>
  <c r="L58" i="63"/>
  <c r="N58" i="63" s="1"/>
  <c r="H104" i="81"/>
  <c r="T31" i="32"/>
  <c r="Z27" i="32"/>
  <c r="P31" i="32"/>
  <c r="X27" i="32"/>
  <c r="H55" i="61"/>
  <c r="X27" i="7"/>
  <c r="P31" i="7"/>
  <c r="H328" i="3"/>
  <c r="J324" i="3"/>
  <c r="J171" i="12"/>
  <c r="P121" i="71"/>
  <c r="R118" i="71"/>
  <c r="L22" i="6"/>
  <c r="Z22" i="54"/>
  <c r="T26" i="54"/>
  <c r="T84" i="95"/>
  <c r="X84" i="95" s="1"/>
  <c r="Z21" i="95"/>
  <c r="L80" i="69"/>
  <c r="D141" i="69"/>
  <c r="N27" i="98"/>
  <c r="H31" i="98"/>
  <c r="L74" i="74"/>
  <c r="N74" i="74" s="1"/>
  <c r="D78" i="74"/>
  <c r="D31" i="11"/>
  <c r="L27" i="11"/>
  <c r="N27" i="52"/>
  <c r="H31" i="52"/>
  <c r="T136" i="39"/>
  <c r="V132" i="39"/>
  <c r="H31" i="10"/>
  <c r="N27" i="10"/>
  <c r="D31" i="28"/>
  <c r="L27" i="28"/>
  <c r="L64" i="27"/>
  <c r="N64" i="27" s="1"/>
  <c r="D125" i="27"/>
  <c r="H88" i="68"/>
  <c r="N52" i="68"/>
  <c r="X22" i="92"/>
  <c r="Z22" i="92" s="1"/>
  <c r="P86" i="92"/>
  <c r="L94" i="94"/>
  <c r="D97" i="94"/>
  <c r="F94" i="94"/>
  <c r="T121" i="64"/>
  <c r="V74" i="64"/>
  <c r="H31" i="7"/>
  <c r="N27" i="7"/>
  <c r="T43" i="96"/>
  <c r="L20" i="89"/>
  <c r="T31" i="17"/>
  <c r="Z27" i="17"/>
  <c r="P31" i="49"/>
  <c r="X27" i="49"/>
  <c r="X89" i="30"/>
  <c r="Z89" i="30" s="1"/>
  <c r="P169" i="30"/>
  <c r="X52" i="68"/>
  <c r="P88" i="68"/>
  <c r="X27" i="40"/>
  <c r="P31" i="40"/>
  <c r="N27" i="8"/>
  <c r="H31" i="8"/>
  <c r="J35" i="39"/>
  <c r="T81" i="84"/>
  <c r="V77" i="84"/>
  <c r="D58" i="93"/>
  <c r="Z27" i="29"/>
  <c r="T31" i="29"/>
  <c r="N27" i="53"/>
  <c r="H31" i="53"/>
  <c r="X74" i="64"/>
  <c r="Z74" i="64" s="1"/>
  <c r="P121" i="64"/>
  <c r="P31" i="14"/>
  <c r="X27" i="14"/>
  <c r="N27" i="31"/>
  <c r="H31" i="31"/>
  <c r="Z27" i="40"/>
  <c r="T31" i="40"/>
  <c r="P31" i="37"/>
  <c r="X27" i="37"/>
  <c r="J33" i="70"/>
  <c r="L27" i="43"/>
  <c r="D31" i="43"/>
  <c r="T109" i="62"/>
  <c r="Z27" i="13"/>
  <c r="T31" i="13"/>
  <c r="X27" i="34"/>
  <c r="P31" i="34"/>
  <c r="D31" i="6"/>
  <c r="Z69" i="48"/>
  <c r="T73" i="48"/>
  <c r="V69" i="48"/>
  <c r="L57" i="51"/>
  <c r="N57" i="51" s="1"/>
  <c r="D114" i="51"/>
  <c r="N71" i="83"/>
  <c r="H75" i="83"/>
  <c r="T50" i="91"/>
  <c r="Z46" i="91"/>
  <c r="L124" i="42"/>
  <c r="N124" i="42" s="1"/>
  <c r="D128" i="42"/>
  <c r="F124" i="42"/>
  <c r="L27" i="10"/>
  <c r="D31" i="10"/>
  <c r="L27" i="17"/>
  <c r="D31" i="17"/>
  <c r="D79" i="82"/>
  <c r="L75" i="82"/>
  <c r="N27" i="19"/>
  <c r="H31" i="19"/>
  <c r="L20" i="84"/>
  <c r="N20" i="84" s="1"/>
  <c r="D77" i="84"/>
  <c r="P31" i="4"/>
  <c r="X27" i="4"/>
  <c r="N31" i="78"/>
  <c r="H35" i="78"/>
  <c r="L31" i="78"/>
  <c r="L46" i="91"/>
  <c r="N46" i="91" s="1"/>
  <c r="D50" i="91"/>
  <c r="D31" i="8"/>
  <c r="L27" i="8"/>
  <c r="T169" i="30"/>
  <c r="Z27" i="10"/>
  <c r="T31" i="10"/>
  <c r="Z27" i="26"/>
  <c r="T31" i="26"/>
  <c r="P31" i="13"/>
  <c r="X27" i="13"/>
  <c r="L171" i="12"/>
  <c r="N171" i="12" s="1"/>
  <c r="P132" i="77"/>
  <c r="R128" i="77"/>
  <c r="L35" i="39"/>
  <c r="N35" i="39" s="1"/>
  <c r="L70" i="57"/>
  <c r="N70" i="57" s="1"/>
  <c r="N27" i="44"/>
  <c r="H31" i="44"/>
  <c r="J166" i="15"/>
  <c r="F59" i="77"/>
  <c r="L36" i="96"/>
  <c r="N36" i="96" s="1"/>
  <c r="D40" i="96"/>
  <c r="N27" i="50"/>
  <c r="H31" i="50"/>
  <c r="F24" i="45"/>
  <c r="J57" i="51"/>
  <c r="H124" i="66"/>
  <c r="N63" i="66"/>
  <c r="L27" i="7"/>
  <c r="D31" i="7"/>
  <c r="X27" i="98"/>
  <c r="P31" i="98"/>
  <c r="D136" i="24"/>
  <c r="L81" i="24"/>
  <c r="N81" i="24" s="1"/>
  <c r="D108" i="33"/>
  <c r="F104" i="33"/>
  <c r="D76" i="48"/>
  <c r="F73" i="48"/>
  <c r="H78" i="74"/>
  <c r="H79" i="82"/>
  <c r="N75" i="82"/>
  <c r="Z27" i="99"/>
  <c r="T31" i="99"/>
  <c r="Z68" i="59"/>
  <c r="X90" i="94"/>
  <c r="P94" i="94"/>
  <c r="R90" i="94"/>
  <c r="T285" i="12"/>
  <c r="V281" i="12"/>
  <c r="P131" i="36"/>
  <c r="X127" i="36"/>
  <c r="Z127" i="36" s="1"/>
  <c r="R127" i="36"/>
  <c r="V28" i="42"/>
  <c r="N27" i="34"/>
  <c r="H31" i="34"/>
  <c r="T31" i="43"/>
  <c r="Z27" i="43"/>
  <c r="Z27" i="4"/>
  <c r="T31" i="4"/>
  <c r="P31" i="35"/>
  <c r="X27" i="35"/>
  <c r="H125" i="27"/>
  <c r="Z80" i="69"/>
  <c r="T141" i="69"/>
  <c r="N27" i="43"/>
  <c r="H31" i="43"/>
  <c r="H95" i="9"/>
  <c r="F166" i="15"/>
  <c r="H131" i="36"/>
  <c r="J127" i="36"/>
  <c r="N27" i="37"/>
  <c r="H31" i="37"/>
  <c r="L281" i="12"/>
  <c r="D285" i="12"/>
  <c r="F281" i="12"/>
  <c r="Z64" i="27"/>
  <c r="T125" i="27"/>
  <c r="L51" i="61"/>
  <c r="N51" i="61" s="1"/>
  <c r="D55" i="61"/>
  <c r="P89" i="76"/>
  <c r="Z75" i="82"/>
  <c r="T79" i="82"/>
  <c r="V75" i="82"/>
  <c r="X59" i="77"/>
  <c r="Z59" i="77" s="1"/>
  <c r="L31" i="43" l="1"/>
  <c r="D36" i="43"/>
  <c r="H36" i="49"/>
  <c r="N36" i="49" s="1"/>
  <c r="N31" i="49"/>
  <c r="X31" i="29"/>
  <c r="P36" i="29"/>
  <c r="N31" i="53"/>
  <c r="H36" i="53"/>
  <c r="N36" i="53" s="1"/>
  <c r="Z50" i="88"/>
  <c r="T53" i="88"/>
  <c r="X50" i="88"/>
  <c r="H108" i="33"/>
  <c r="N104" i="33"/>
  <c r="J104" i="33"/>
  <c r="H125" i="64"/>
  <c r="D70" i="89"/>
  <c r="D288" i="12"/>
  <c r="F285" i="12"/>
  <c r="T145" i="69"/>
  <c r="V141" i="69"/>
  <c r="L136" i="24"/>
  <c r="N136" i="24" s="1"/>
  <c r="D140" i="24"/>
  <c r="P36" i="13"/>
  <c r="X31" i="13"/>
  <c r="H38" i="78"/>
  <c r="L35" i="78"/>
  <c r="N35" i="78" s="1"/>
  <c r="L31" i="10"/>
  <c r="D36" i="10"/>
  <c r="T76" i="48"/>
  <c r="V73" i="48"/>
  <c r="L125" i="27"/>
  <c r="D129" i="27"/>
  <c r="F125" i="27"/>
  <c r="D36" i="11"/>
  <c r="L31" i="11"/>
  <c r="P36" i="32"/>
  <c r="X31" i="32"/>
  <c r="L65" i="59"/>
  <c r="N65" i="59" s="1"/>
  <c r="D68" i="59"/>
  <c r="L68" i="59" s="1"/>
  <c r="N68" i="59" s="1"/>
  <c r="Z31" i="14"/>
  <c r="T36" i="14"/>
  <c r="Z36" i="14" s="1"/>
  <c r="T36" i="49"/>
  <c r="Z36" i="49" s="1"/>
  <c r="Z31" i="49"/>
  <c r="H36" i="41"/>
  <c r="N36" i="41" s="1"/>
  <c r="N31" i="41"/>
  <c r="D80" i="67"/>
  <c r="L76" i="67"/>
  <c r="T36" i="35"/>
  <c r="Z36" i="35" s="1"/>
  <c r="Z31" i="35"/>
  <c r="T104" i="81"/>
  <c r="P36" i="26"/>
  <c r="X31" i="26"/>
  <c r="N92" i="85"/>
  <c r="H96" i="85"/>
  <c r="Z31" i="100"/>
  <c r="T36" i="100"/>
  <c r="Z36" i="100" s="1"/>
  <c r="P70" i="89"/>
  <c r="X70" i="89" s="1"/>
  <c r="X67" i="89"/>
  <c r="Z67" i="89" s="1"/>
  <c r="N31" i="32"/>
  <c r="H36" i="32"/>
  <c r="N36" i="32" s="1"/>
  <c r="H36" i="17"/>
  <c r="N36" i="17" s="1"/>
  <c r="N31" i="17"/>
  <c r="H53" i="91"/>
  <c r="D36" i="53"/>
  <c r="L31" i="53"/>
  <c r="H112" i="62"/>
  <c r="P36" i="50"/>
  <c r="X31" i="50"/>
  <c r="P36" i="23"/>
  <c r="X31" i="23"/>
  <c r="D305" i="18"/>
  <c r="L301" i="18"/>
  <c r="N301" i="18" s="1"/>
  <c r="F301" i="18"/>
  <c r="P36" i="46"/>
  <c r="X31" i="46"/>
  <c r="T305" i="18"/>
  <c r="Z301" i="18"/>
  <c r="V301" i="18"/>
  <c r="H36" i="16"/>
  <c r="N36" i="16" s="1"/>
  <c r="N31" i="16"/>
  <c r="L31" i="23"/>
  <c r="D36" i="23"/>
  <c r="X31" i="19"/>
  <c r="P36" i="19"/>
  <c r="N31" i="34"/>
  <c r="H36" i="34"/>
  <c r="N36" i="34" s="1"/>
  <c r="N31" i="14"/>
  <c r="H36" i="14"/>
  <c r="N36" i="14" s="1"/>
  <c r="T36" i="28"/>
  <c r="Z36" i="28" s="1"/>
  <c r="Z31" i="28"/>
  <c r="T40" i="55"/>
  <c r="X40" i="55" s="1"/>
  <c r="P36" i="16"/>
  <c r="X31" i="16"/>
  <c r="N31" i="25"/>
  <c r="H36" i="25"/>
  <c r="N36" i="25" s="1"/>
  <c r="X31" i="40"/>
  <c r="P36" i="40"/>
  <c r="R121" i="71"/>
  <c r="T94" i="86"/>
  <c r="V91" i="86"/>
  <c r="V83" i="80"/>
  <c r="Z31" i="11"/>
  <c r="T36" i="11"/>
  <c r="Z36" i="11" s="1"/>
  <c r="H36" i="11"/>
  <c r="N36" i="11" s="1"/>
  <c r="N31" i="11"/>
  <c r="P36" i="28"/>
  <c r="X31" i="28"/>
  <c r="V75" i="65"/>
  <c r="D36" i="41"/>
  <c r="L31" i="41"/>
  <c r="L31" i="5"/>
  <c r="D36" i="5"/>
  <c r="T108" i="33"/>
  <c r="V104" i="33"/>
  <c r="H143" i="24"/>
  <c r="J140" i="24"/>
  <c r="N31" i="100"/>
  <c r="H36" i="100"/>
  <c r="N36" i="100" s="1"/>
  <c r="T36" i="25"/>
  <c r="Z36" i="25" s="1"/>
  <c r="Z31" i="25"/>
  <c r="H90" i="92"/>
  <c r="J86" i="92"/>
  <c r="T90" i="92"/>
  <c r="V86" i="92"/>
  <c r="L55" i="60"/>
  <c r="N55" i="60" s="1"/>
  <c r="D58" i="60"/>
  <c r="L58" i="60" s="1"/>
  <c r="N58" i="60" s="1"/>
  <c r="D36" i="14"/>
  <c r="L31" i="14"/>
  <c r="N31" i="26"/>
  <c r="H36" i="26"/>
  <c r="N36" i="26" s="1"/>
  <c r="H118" i="71"/>
  <c r="J114" i="71"/>
  <c r="P57" i="87"/>
  <c r="X53" i="87"/>
  <c r="Z53" i="87" s="1"/>
  <c r="R53" i="87"/>
  <c r="D90" i="79"/>
  <c r="L31" i="22"/>
  <c r="D36" i="22"/>
  <c r="P36" i="99"/>
  <c r="X31" i="99"/>
  <c r="P145" i="69"/>
  <c r="X141" i="69"/>
  <c r="Z141" i="69" s="1"/>
  <c r="R141" i="69"/>
  <c r="T38" i="78"/>
  <c r="V35" i="78"/>
  <c r="P84" i="84"/>
  <c r="X81" i="84"/>
  <c r="R81" i="84"/>
  <c r="Z31" i="19"/>
  <c r="T36" i="19"/>
  <c r="Z36" i="19" s="1"/>
  <c r="H83" i="80"/>
  <c r="T34" i="75"/>
  <c r="V31" i="75"/>
  <c r="H145" i="69"/>
  <c r="J141" i="69"/>
  <c r="T82" i="82"/>
  <c r="V79" i="82"/>
  <c r="N125" i="27"/>
  <c r="H129" i="27"/>
  <c r="J125" i="27"/>
  <c r="P134" i="36"/>
  <c r="X131" i="36"/>
  <c r="R131" i="36"/>
  <c r="L31" i="7"/>
  <c r="D36" i="7"/>
  <c r="N31" i="44"/>
  <c r="H36" i="44"/>
  <c r="N36" i="44" s="1"/>
  <c r="Z31" i="10"/>
  <c r="T36" i="10"/>
  <c r="Z36" i="10" s="1"/>
  <c r="P36" i="4"/>
  <c r="X31" i="4"/>
  <c r="L128" i="42"/>
  <c r="N128" i="42" s="1"/>
  <c r="D131" i="42"/>
  <c r="F128" i="42"/>
  <c r="Z31" i="40"/>
  <c r="T36" i="40"/>
  <c r="Z36" i="40" s="1"/>
  <c r="P173" i="30"/>
  <c r="X169" i="30"/>
  <c r="R169" i="30"/>
  <c r="D36" i="28"/>
  <c r="L31" i="28"/>
  <c r="N31" i="98"/>
  <c r="H36" i="98"/>
  <c r="N36" i="98" s="1"/>
  <c r="X31" i="41"/>
  <c r="P36" i="41"/>
  <c r="P78" i="83"/>
  <c r="X75" i="83"/>
  <c r="L31" i="99"/>
  <c r="D36" i="99"/>
  <c r="X40" i="96"/>
  <c r="Z40" i="96" s="1"/>
  <c r="P43" i="96"/>
  <c r="X43" i="96" s="1"/>
  <c r="Z43" i="96" s="1"/>
  <c r="D36" i="29"/>
  <c r="L31" i="29"/>
  <c r="T65" i="63"/>
  <c r="N83" i="90"/>
  <c r="H87" i="90"/>
  <c r="L87" i="90" s="1"/>
  <c r="H77" i="56"/>
  <c r="P80" i="58"/>
  <c r="X80" i="58" s="1"/>
  <c r="Z80" i="58" s="1"/>
  <c r="X77" i="58"/>
  <c r="Z77" i="58" s="1"/>
  <c r="H55" i="93"/>
  <c r="L51" i="93"/>
  <c r="N51" i="93" s="1"/>
  <c r="L31" i="34"/>
  <c r="D36" i="34"/>
  <c r="L36" i="34" s="1"/>
  <c r="H73" i="97"/>
  <c r="J69" i="97"/>
  <c r="L69" i="97"/>
  <c r="N69" i="97" s="1"/>
  <c r="D36" i="40"/>
  <c r="L31" i="40"/>
  <c r="X87" i="86"/>
  <c r="Z87" i="86" s="1"/>
  <c r="P91" i="86"/>
  <c r="X31" i="52"/>
  <c r="P36" i="52"/>
  <c r="X100" i="45"/>
  <c r="Z100" i="45" s="1"/>
  <c r="P103" i="45"/>
  <c r="R100" i="45"/>
  <c r="T75" i="73"/>
  <c r="Z71" i="73"/>
  <c r="V71" i="73"/>
  <c r="N31" i="38"/>
  <c r="H36" i="38"/>
  <c r="N36" i="38" s="1"/>
  <c r="T92" i="70"/>
  <c r="V88" i="70"/>
  <c r="X87" i="79"/>
  <c r="Z87" i="79" s="1"/>
  <c r="P90" i="79"/>
  <c r="T77" i="57"/>
  <c r="X77" i="57" s="1"/>
  <c r="Z74" i="57"/>
  <c r="H131" i="42"/>
  <c r="H136" i="39"/>
  <c r="J132" i="39"/>
  <c r="P75" i="65"/>
  <c r="X75" i="65" s="1"/>
  <c r="Z75" i="65" s="1"/>
  <c r="X72" i="65"/>
  <c r="Z72" i="65" s="1"/>
  <c r="T58" i="93"/>
  <c r="V55" i="93"/>
  <c r="L86" i="92"/>
  <c r="N86" i="92" s="1"/>
  <c r="D90" i="92"/>
  <c r="F86" i="92"/>
  <c r="H77" i="57"/>
  <c r="P131" i="42"/>
  <c r="R128" i="42"/>
  <c r="N26" i="6"/>
  <c r="H31" i="6"/>
  <c r="L31" i="6" s="1"/>
  <c r="T81" i="74"/>
  <c r="V78" i="74"/>
  <c r="X31" i="11"/>
  <c r="P36" i="11"/>
  <c r="X36" i="11" s="1"/>
  <c r="H84" i="84"/>
  <c r="Z31" i="26"/>
  <c r="T36" i="26"/>
  <c r="Z36" i="26" s="1"/>
  <c r="H94" i="86"/>
  <c r="L96" i="85"/>
  <c r="D99" i="85"/>
  <c r="F96" i="85"/>
  <c r="Z31" i="7"/>
  <c r="T36" i="7"/>
  <c r="Z36" i="7" s="1"/>
  <c r="Z31" i="47"/>
  <c r="T36" i="47"/>
  <c r="Z36" i="47" s="1"/>
  <c r="L77" i="84"/>
  <c r="N77" i="84" s="1"/>
  <c r="D81" i="84"/>
  <c r="T125" i="64"/>
  <c r="V121" i="64"/>
  <c r="H87" i="79"/>
  <c r="L87" i="79" s="1"/>
  <c r="N83" i="79"/>
  <c r="X55" i="61"/>
  <c r="Z55" i="61" s="1"/>
  <c r="P58" i="61"/>
  <c r="X58" i="61" s="1"/>
  <c r="X31" i="43"/>
  <c r="P36" i="43"/>
  <c r="X73" i="97"/>
  <c r="Z73" i="97" s="1"/>
  <c r="P76" i="97"/>
  <c r="R73" i="97"/>
  <c r="P83" i="80"/>
  <c r="X83" i="80" s="1"/>
  <c r="Z83" i="80" s="1"/>
  <c r="X80" i="80"/>
  <c r="Z80" i="80" s="1"/>
  <c r="P129" i="27"/>
  <c r="X125" i="27"/>
  <c r="Z125" i="27" s="1"/>
  <c r="R125" i="27"/>
  <c r="H31" i="54"/>
  <c r="N26" i="54"/>
  <c r="H60" i="87"/>
  <c r="D118" i="71"/>
  <c r="L114" i="71"/>
  <c r="N114" i="71" s="1"/>
  <c r="F114" i="71"/>
  <c r="L57" i="87"/>
  <c r="N57" i="87" s="1"/>
  <c r="D60" i="87"/>
  <c r="F57" i="87"/>
  <c r="H173" i="30"/>
  <c r="J169" i="30"/>
  <c r="D36" i="16"/>
  <c r="L31" i="16"/>
  <c r="X51" i="93"/>
  <c r="Z51" i="93" s="1"/>
  <c r="P55" i="93"/>
  <c r="L26" i="54"/>
  <c r="N31" i="43"/>
  <c r="H36" i="43"/>
  <c r="N36" i="43" s="1"/>
  <c r="P76" i="48"/>
  <c r="X73" i="48"/>
  <c r="Z73" i="48" s="1"/>
  <c r="R73" i="48"/>
  <c r="L31" i="31"/>
  <c r="D36" i="31"/>
  <c r="T36" i="44"/>
  <c r="Z36" i="44" s="1"/>
  <c r="Z31" i="44"/>
  <c r="T121" i="51"/>
  <c r="V118" i="51"/>
  <c r="T36" i="34"/>
  <c r="Z36" i="34" s="1"/>
  <c r="Z31" i="34"/>
  <c r="T76" i="97"/>
  <c r="V73" i="97"/>
  <c r="T92" i="68"/>
  <c r="V88" i="68"/>
  <c r="L87" i="86"/>
  <c r="N87" i="86" s="1"/>
  <c r="D91" i="86"/>
  <c r="Z31" i="98"/>
  <c r="T36" i="98"/>
  <c r="Z36" i="98" s="1"/>
  <c r="T132" i="77"/>
  <c r="V128" i="77"/>
  <c r="D36" i="25"/>
  <c r="L31" i="25"/>
  <c r="L31" i="35"/>
  <c r="D36" i="35"/>
  <c r="Z31" i="29"/>
  <c r="T36" i="29"/>
  <c r="Z36" i="29" s="1"/>
  <c r="L78" i="74"/>
  <c r="N78" i="74" s="1"/>
  <c r="D81" i="74"/>
  <c r="H118" i="51"/>
  <c r="J114" i="51"/>
  <c r="D36" i="50"/>
  <c r="L31" i="50"/>
  <c r="X31" i="8"/>
  <c r="P36" i="8"/>
  <c r="D83" i="80"/>
  <c r="L80" i="80"/>
  <c r="N80" i="80" s="1"/>
  <c r="X37" i="55"/>
  <c r="Z37" i="55" s="1"/>
  <c r="X31" i="44"/>
  <c r="P36" i="44"/>
  <c r="P36" i="34"/>
  <c r="X31" i="34"/>
  <c r="H78" i="73"/>
  <c r="P36" i="35"/>
  <c r="X31" i="35"/>
  <c r="Z169" i="30"/>
  <c r="T173" i="30"/>
  <c r="V169" i="30"/>
  <c r="N31" i="31"/>
  <c r="H36" i="31"/>
  <c r="N36" i="31" s="1"/>
  <c r="H36" i="10"/>
  <c r="N36" i="10" s="1"/>
  <c r="N31" i="10"/>
  <c r="L141" i="69"/>
  <c r="N141" i="69" s="1"/>
  <c r="D145" i="69"/>
  <c r="F141" i="69"/>
  <c r="N328" i="3"/>
  <c r="H333" i="3"/>
  <c r="J328" i="3"/>
  <c r="L31" i="13"/>
  <c r="D36" i="13"/>
  <c r="P90" i="90"/>
  <c r="T333" i="3"/>
  <c r="V328" i="3"/>
  <c r="P285" i="12"/>
  <c r="X281" i="12"/>
  <c r="Z281" i="12" s="1"/>
  <c r="R281" i="12"/>
  <c r="X305" i="18"/>
  <c r="P308" i="18"/>
  <c r="R305" i="18"/>
  <c r="L124" i="66"/>
  <c r="N124" i="66" s="1"/>
  <c r="D128" i="66"/>
  <c r="F124" i="66"/>
  <c r="T36" i="38"/>
  <c r="Z36" i="38" s="1"/>
  <c r="Z31" i="38"/>
  <c r="Z26" i="6"/>
  <c r="T31" i="6"/>
  <c r="X26" i="6"/>
  <c r="H36" i="40"/>
  <c r="N36" i="40" s="1"/>
  <c r="N31" i="40"/>
  <c r="X75" i="73"/>
  <c r="P78" i="73"/>
  <c r="R75" i="73"/>
  <c r="N31" i="22"/>
  <c r="H36" i="22"/>
  <c r="N36" i="22" s="1"/>
  <c r="T118" i="71"/>
  <c r="X114" i="71"/>
  <c r="Z114" i="71" s="1"/>
  <c r="V114" i="71"/>
  <c r="X328" i="3"/>
  <c r="Z328" i="3" s="1"/>
  <c r="P333" i="3"/>
  <c r="R328" i="3"/>
  <c r="P91" i="95"/>
  <c r="T80" i="67"/>
  <c r="Z76" i="67"/>
  <c r="X76" i="67"/>
  <c r="V76" i="67"/>
  <c r="X26" i="54"/>
  <c r="P31" i="54"/>
  <c r="D333" i="3"/>
  <c r="L328" i="3"/>
  <c r="F328" i="3"/>
  <c r="X109" i="62"/>
  <c r="Z109" i="62" s="1"/>
  <c r="P112" i="62"/>
  <c r="H100" i="45"/>
  <c r="J96" i="45"/>
  <c r="Z75" i="83"/>
  <c r="T78" i="83"/>
  <c r="V75" i="83"/>
  <c r="T90" i="79"/>
  <c r="V87" i="79"/>
  <c r="X31" i="75"/>
  <c r="Z31" i="75" s="1"/>
  <c r="P34" i="75"/>
  <c r="R31" i="75"/>
  <c r="P65" i="63"/>
  <c r="X65" i="63" s="1"/>
  <c r="X62" i="63"/>
  <c r="Z62" i="63" s="1"/>
  <c r="D36" i="49"/>
  <c r="L31" i="49"/>
  <c r="T131" i="66"/>
  <c r="V128" i="66"/>
  <c r="H31" i="75"/>
  <c r="N27" i="75"/>
  <c r="J27" i="75"/>
  <c r="H36" i="13"/>
  <c r="N36" i="13" s="1"/>
  <c r="N31" i="13"/>
  <c r="P113" i="21"/>
  <c r="X110" i="21"/>
  <c r="R110" i="21"/>
  <c r="D34" i="75"/>
  <c r="F31" i="75"/>
  <c r="H88" i="95"/>
  <c r="J84" i="95"/>
  <c r="Z31" i="41"/>
  <c r="T36" i="41"/>
  <c r="Z36" i="41" s="1"/>
  <c r="P36" i="37"/>
  <c r="X31" i="37"/>
  <c r="N31" i="35"/>
  <c r="H36" i="35"/>
  <c r="N36" i="35" s="1"/>
  <c r="H81" i="74"/>
  <c r="H134" i="36"/>
  <c r="J131" i="36"/>
  <c r="Z31" i="4"/>
  <c r="T36" i="4"/>
  <c r="Z36" i="4" s="1"/>
  <c r="T288" i="12"/>
  <c r="V285" i="12"/>
  <c r="H128" i="66"/>
  <c r="J124" i="66"/>
  <c r="N31" i="19"/>
  <c r="H36" i="19"/>
  <c r="N36" i="19" s="1"/>
  <c r="T53" i="91"/>
  <c r="T36" i="13"/>
  <c r="Z36" i="13" s="1"/>
  <c r="Z31" i="13"/>
  <c r="P36" i="49"/>
  <c r="X31" i="49"/>
  <c r="L97" i="94"/>
  <c r="F97" i="94"/>
  <c r="D65" i="63"/>
  <c r="L65" i="63" s="1"/>
  <c r="N65" i="63" s="1"/>
  <c r="L62" i="63"/>
  <c r="N62" i="63" s="1"/>
  <c r="T87" i="90"/>
  <c r="V83" i="90"/>
  <c r="T60" i="87"/>
  <c r="V57" i="87"/>
  <c r="X83" i="90"/>
  <c r="Z83" i="90" s="1"/>
  <c r="L74" i="56"/>
  <c r="N74" i="56" s="1"/>
  <c r="D77" i="56"/>
  <c r="L77" i="56" s="1"/>
  <c r="L75" i="73"/>
  <c r="N75" i="73" s="1"/>
  <c r="D78" i="73"/>
  <c r="D98" i="9"/>
  <c r="L95" i="9"/>
  <c r="T73" i="72"/>
  <c r="V70" i="72"/>
  <c r="T134" i="36"/>
  <c r="Z131" i="36"/>
  <c r="V131" i="36"/>
  <c r="T98" i="9"/>
  <c r="X31" i="10"/>
  <c r="P36" i="10"/>
  <c r="X36" i="10" s="1"/>
  <c r="X128" i="66"/>
  <c r="Z128" i="66" s="1"/>
  <c r="P131" i="66"/>
  <c r="R128" i="66"/>
  <c r="N31" i="29"/>
  <c r="H36" i="29"/>
  <c r="N36" i="29" s="1"/>
  <c r="Z31" i="5"/>
  <c r="T36" i="5"/>
  <c r="Z36" i="5" s="1"/>
  <c r="L109" i="62"/>
  <c r="N109" i="62" s="1"/>
  <c r="D112" i="62"/>
  <c r="L112" i="62" s="1"/>
  <c r="D36" i="100"/>
  <c r="L31" i="100"/>
  <c r="H67" i="89"/>
  <c r="L67" i="89" s="1"/>
  <c r="N63" i="89"/>
  <c r="D36" i="20"/>
  <c r="L31" i="20"/>
  <c r="X31" i="17"/>
  <c r="P36" i="17"/>
  <c r="Z82" i="76"/>
  <c r="T86" i="76"/>
  <c r="X82" i="76"/>
  <c r="V82" i="76"/>
  <c r="N281" i="12"/>
  <c r="H285" i="12"/>
  <c r="J281" i="12"/>
  <c r="H92" i="70"/>
  <c r="J88" i="70"/>
  <c r="X31" i="53"/>
  <c r="P36" i="53"/>
  <c r="P53" i="91"/>
  <c r="X53" i="91" s="1"/>
  <c r="X50" i="91"/>
  <c r="Z50" i="91" s="1"/>
  <c r="L74" i="57"/>
  <c r="N74" i="57" s="1"/>
  <c r="T103" i="45"/>
  <c r="V100" i="45"/>
  <c r="T140" i="24"/>
  <c r="V136" i="24"/>
  <c r="R99" i="85"/>
  <c r="T128" i="42"/>
  <c r="Z124" i="42"/>
  <c r="V124" i="42"/>
  <c r="Z31" i="52"/>
  <c r="T36" i="52"/>
  <c r="Z36" i="52" s="1"/>
  <c r="D139" i="39"/>
  <c r="L136" i="39"/>
  <c r="F136" i="39"/>
  <c r="Z31" i="99"/>
  <c r="T36" i="99"/>
  <c r="Z36" i="99" s="1"/>
  <c r="H92" i="68"/>
  <c r="J88" i="68"/>
  <c r="N73" i="48"/>
  <c r="H76" i="48"/>
  <c r="L76" i="48" s="1"/>
  <c r="J73" i="48"/>
  <c r="D90" i="90"/>
  <c r="X118" i="51"/>
  <c r="Z118" i="51" s="1"/>
  <c r="P121" i="51"/>
  <c r="R118" i="51"/>
  <c r="P92" i="68"/>
  <c r="X88" i="68"/>
  <c r="Z88" i="68" s="1"/>
  <c r="L75" i="83"/>
  <c r="N75" i="83" s="1"/>
  <c r="D78" i="83"/>
  <c r="L78" i="83" s="1"/>
  <c r="N31" i="20"/>
  <c r="H36" i="20"/>
  <c r="N36" i="20" s="1"/>
  <c r="L31" i="98"/>
  <c r="D36" i="98"/>
  <c r="D36" i="32"/>
  <c r="L31" i="32"/>
  <c r="H36" i="37"/>
  <c r="N36" i="37" s="1"/>
  <c r="N31" i="37"/>
  <c r="L26" i="6"/>
  <c r="D100" i="45"/>
  <c r="L96" i="45"/>
  <c r="N96" i="45" s="1"/>
  <c r="F96" i="45"/>
  <c r="Z70" i="89"/>
  <c r="V70" i="89"/>
  <c r="L55" i="61"/>
  <c r="N55" i="61" s="1"/>
  <c r="D58" i="61"/>
  <c r="F76" i="48"/>
  <c r="H78" i="83"/>
  <c r="T84" i="84"/>
  <c r="Z81" i="84"/>
  <c r="V81" i="84"/>
  <c r="X31" i="7"/>
  <c r="P36" i="7"/>
  <c r="X36" i="7" s="1"/>
  <c r="H36" i="46"/>
  <c r="N36" i="46" s="1"/>
  <c r="N31" i="46"/>
  <c r="H276" i="15"/>
  <c r="J272" i="15"/>
  <c r="X101" i="81"/>
  <c r="Z101" i="81" s="1"/>
  <c r="P104" i="81"/>
  <c r="X88" i="70"/>
  <c r="Z88" i="70" s="1"/>
  <c r="P92" i="70"/>
  <c r="R88" i="70"/>
  <c r="H135" i="77"/>
  <c r="X55" i="60"/>
  <c r="Z55" i="60" s="1"/>
  <c r="P58" i="60"/>
  <c r="Z74" i="56"/>
  <c r="T77" i="56"/>
  <c r="X77" i="56" s="1"/>
  <c r="N94" i="94"/>
  <c r="H97" i="94"/>
  <c r="J94" i="94"/>
  <c r="X31" i="20"/>
  <c r="P36" i="20"/>
  <c r="N31" i="23"/>
  <c r="H36" i="23"/>
  <c r="N36" i="23" s="1"/>
  <c r="Z31" i="20"/>
  <c r="T36" i="20"/>
  <c r="Z36" i="20" s="1"/>
  <c r="N72" i="65"/>
  <c r="H75" i="65"/>
  <c r="Z31" i="8"/>
  <c r="T36" i="8"/>
  <c r="Z36" i="8" s="1"/>
  <c r="H308" i="18"/>
  <c r="J305" i="18"/>
  <c r="L88" i="70"/>
  <c r="N88" i="70" s="1"/>
  <c r="D92" i="70"/>
  <c r="F88" i="70"/>
  <c r="D125" i="64"/>
  <c r="L121" i="64"/>
  <c r="N121" i="64" s="1"/>
  <c r="P36" i="31"/>
  <c r="X31" i="31"/>
  <c r="L31" i="37"/>
  <c r="D36" i="37"/>
  <c r="T58" i="60"/>
  <c r="P136" i="39"/>
  <c r="X132" i="39"/>
  <c r="Z132" i="39" s="1"/>
  <c r="R132" i="39"/>
  <c r="X79" i="82"/>
  <c r="Z79" i="82" s="1"/>
  <c r="P82" i="82"/>
  <c r="X82" i="82" s="1"/>
  <c r="L31" i="26"/>
  <c r="D36" i="26"/>
  <c r="N37" i="55"/>
  <c r="H40" i="55"/>
  <c r="H53" i="88"/>
  <c r="D104" i="81"/>
  <c r="L104" i="81" s="1"/>
  <c r="N104" i="81" s="1"/>
  <c r="L101" i="81"/>
  <c r="N101" i="81" s="1"/>
  <c r="L77" i="57"/>
  <c r="Z31" i="50"/>
  <c r="T36" i="50"/>
  <c r="Z36" i="50" s="1"/>
  <c r="T96" i="85"/>
  <c r="V92" i="85"/>
  <c r="X92" i="85"/>
  <c r="Z92" i="85" s="1"/>
  <c r="L31" i="47"/>
  <c r="D36" i="47"/>
  <c r="H36" i="99"/>
  <c r="N36" i="99" s="1"/>
  <c r="N31" i="99"/>
  <c r="T36" i="37"/>
  <c r="Z36" i="37" s="1"/>
  <c r="Z31" i="37"/>
  <c r="X31" i="47"/>
  <c r="P36" i="47"/>
  <c r="Z58" i="61"/>
  <c r="D80" i="58"/>
  <c r="L77" i="58"/>
  <c r="X31" i="22"/>
  <c r="P36" i="22"/>
  <c r="X31" i="5"/>
  <c r="P36" i="5"/>
  <c r="X104" i="33"/>
  <c r="Z104" i="33" s="1"/>
  <c r="P108" i="33"/>
  <c r="R104" i="33"/>
  <c r="D36" i="19"/>
  <c r="L31" i="19"/>
  <c r="P276" i="15"/>
  <c r="X272" i="15"/>
  <c r="R272" i="15"/>
  <c r="L128" i="77"/>
  <c r="N128" i="77" s="1"/>
  <c r="D132" i="77"/>
  <c r="F128" i="77"/>
  <c r="H110" i="21"/>
  <c r="J106" i="21"/>
  <c r="N77" i="58"/>
  <c r="H80" i="58"/>
  <c r="L169" i="30"/>
  <c r="N169" i="30" s="1"/>
  <c r="D36" i="38"/>
  <c r="L31" i="38"/>
  <c r="T113" i="21"/>
  <c r="Z110" i="21"/>
  <c r="V110" i="21"/>
  <c r="N70" i="72"/>
  <c r="H73" i="72"/>
  <c r="L73" i="72" s="1"/>
  <c r="J70" i="72"/>
  <c r="L88" i="68"/>
  <c r="N88" i="68" s="1"/>
  <c r="D92" i="68"/>
  <c r="T276" i="15"/>
  <c r="Z272" i="15"/>
  <c r="V272" i="15"/>
  <c r="D36" i="17"/>
  <c r="L31" i="17"/>
  <c r="D36" i="4"/>
  <c r="L31" i="4"/>
  <c r="H43" i="96"/>
  <c r="Z31" i="16"/>
  <c r="T36" i="16"/>
  <c r="Z36" i="16" s="1"/>
  <c r="L106" i="21"/>
  <c r="N106" i="21" s="1"/>
  <c r="D110" i="21"/>
  <c r="F106" i="21"/>
  <c r="D53" i="88"/>
  <c r="L53" i="88" s="1"/>
  <c r="L50" i="88"/>
  <c r="N50" i="88" s="1"/>
  <c r="L31" i="44"/>
  <c r="D36" i="44"/>
  <c r="L40" i="96"/>
  <c r="N40" i="96" s="1"/>
  <c r="D43" i="96"/>
  <c r="T36" i="46"/>
  <c r="Z36" i="46" s="1"/>
  <c r="Z31" i="46"/>
  <c r="D89" i="76"/>
  <c r="N31" i="4"/>
  <c r="H36" i="4"/>
  <c r="N36" i="4" s="1"/>
  <c r="X31" i="98"/>
  <c r="P36" i="98"/>
  <c r="H36" i="7"/>
  <c r="N36" i="7" s="1"/>
  <c r="N31" i="7"/>
  <c r="L37" i="55"/>
  <c r="D40" i="55"/>
  <c r="D88" i="95"/>
  <c r="L84" i="95"/>
  <c r="N84" i="95" s="1"/>
  <c r="T36" i="22"/>
  <c r="Z36" i="22" s="1"/>
  <c r="Z31" i="22"/>
  <c r="H82" i="82"/>
  <c r="T36" i="32"/>
  <c r="Z36" i="32" s="1"/>
  <c r="Z31" i="32"/>
  <c r="P97" i="94"/>
  <c r="R94" i="94"/>
  <c r="X128" i="77"/>
  <c r="Z128" i="77" s="1"/>
  <c r="D36" i="8"/>
  <c r="L31" i="8"/>
  <c r="T112" i="62"/>
  <c r="P36" i="14"/>
  <c r="X36" i="14" s="1"/>
  <c r="X31" i="14"/>
  <c r="Z31" i="17"/>
  <c r="T36" i="17"/>
  <c r="Z36" i="17" s="1"/>
  <c r="P90" i="92"/>
  <c r="X86" i="92"/>
  <c r="Z86" i="92" s="1"/>
  <c r="R86" i="92"/>
  <c r="T139" i="39"/>
  <c r="V136" i="39"/>
  <c r="Z84" i="95"/>
  <c r="T88" i="95"/>
  <c r="X88" i="95" s="1"/>
  <c r="V84" i="95"/>
  <c r="T129" i="27"/>
  <c r="V125" i="27"/>
  <c r="H98" i="9"/>
  <c r="N95" i="9"/>
  <c r="T36" i="43"/>
  <c r="Z36" i="43" s="1"/>
  <c r="Z31" i="43"/>
  <c r="L108" i="33"/>
  <c r="D111" i="33"/>
  <c r="F108" i="33"/>
  <c r="N31" i="50"/>
  <c r="H36" i="50"/>
  <c r="N36" i="50" s="1"/>
  <c r="P135" i="77"/>
  <c r="X132" i="77"/>
  <c r="R132" i="77"/>
  <c r="L50" i="91"/>
  <c r="N50" i="91" s="1"/>
  <c r="D53" i="91"/>
  <c r="L53" i="91" s="1"/>
  <c r="D82" i="82"/>
  <c r="L79" i="82"/>
  <c r="N79" i="82" s="1"/>
  <c r="D118" i="51"/>
  <c r="L114" i="51"/>
  <c r="N114" i="51" s="1"/>
  <c r="F114" i="51"/>
  <c r="X121" i="64"/>
  <c r="Z121" i="64" s="1"/>
  <c r="P125" i="64"/>
  <c r="R121" i="64"/>
  <c r="N31" i="8"/>
  <c r="H36" i="8"/>
  <c r="N36" i="8" s="1"/>
  <c r="N31" i="52"/>
  <c r="H36" i="52"/>
  <c r="N36" i="52" s="1"/>
  <c r="Z26" i="54"/>
  <c r="T31" i="54"/>
  <c r="H58" i="61"/>
  <c r="N31" i="5"/>
  <c r="H36" i="5"/>
  <c r="N36" i="5" s="1"/>
  <c r="P38" i="78"/>
  <c r="X35" i="78"/>
  <c r="Z35" i="78" s="1"/>
  <c r="R35" i="78"/>
  <c r="D36" i="46"/>
  <c r="L31" i="46"/>
  <c r="N31" i="47"/>
  <c r="H36" i="47"/>
  <c r="N36" i="47" s="1"/>
  <c r="P70" i="72"/>
  <c r="X66" i="72"/>
  <c r="Z66" i="72" s="1"/>
  <c r="Z90" i="94"/>
  <c r="T94" i="94"/>
  <c r="X94" i="94" s="1"/>
  <c r="V90" i="94"/>
  <c r="T36" i="23"/>
  <c r="Z36" i="23" s="1"/>
  <c r="Z31" i="23"/>
  <c r="Z31" i="31"/>
  <c r="T36" i="31"/>
  <c r="Z36" i="31" s="1"/>
  <c r="L127" i="36"/>
  <c r="N127" i="36" s="1"/>
  <c r="D131" i="36"/>
  <c r="F127" i="36"/>
  <c r="P36" i="100"/>
  <c r="X31" i="100"/>
  <c r="D36" i="52"/>
  <c r="L31" i="52"/>
  <c r="X74" i="74"/>
  <c r="Z74" i="74" s="1"/>
  <c r="P78" i="74"/>
  <c r="H86" i="76"/>
  <c r="L86" i="76" s="1"/>
  <c r="N82" i="76"/>
  <c r="Z31" i="53"/>
  <c r="T36" i="53"/>
  <c r="Z36" i="53" s="1"/>
  <c r="D276" i="15"/>
  <c r="L272" i="15"/>
  <c r="N272" i="15" s="1"/>
  <c r="F272" i="15"/>
  <c r="H80" i="67"/>
  <c r="N76" i="67"/>
  <c r="J76" i="67"/>
  <c r="F76" i="97"/>
  <c r="X31" i="25"/>
  <c r="P36" i="25"/>
  <c r="D176" i="30"/>
  <c r="F173" i="30"/>
  <c r="X95" i="9"/>
  <c r="Z95" i="9" s="1"/>
  <c r="P98" i="9"/>
  <c r="P140" i="24"/>
  <c r="X136" i="24"/>
  <c r="Z136" i="24" s="1"/>
  <c r="R136" i="24"/>
  <c r="P36" i="38"/>
  <c r="X31" i="38"/>
  <c r="L132" i="39"/>
  <c r="N132" i="39" s="1"/>
  <c r="H36" i="28"/>
  <c r="N36" i="28" s="1"/>
  <c r="N31" i="28"/>
  <c r="X78" i="83" l="1"/>
  <c r="L43" i="96"/>
  <c r="X90" i="79"/>
  <c r="L58" i="61"/>
  <c r="L36" i="49"/>
  <c r="X36" i="8"/>
  <c r="X36" i="98"/>
  <c r="L36" i="46"/>
  <c r="X36" i="49"/>
  <c r="L36" i="100"/>
  <c r="X36" i="44"/>
  <c r="X36" i="100"/>
  <c r="X36" i="35"/>
  <c r="L36" i="14"/>
  <c r="L36" i="37"/>
  <c r="X36" i="38"/>
  <c r="L36" i="44"/>
  <c r="L36" i="25"/>
  <c r="X36" i="34"/>
  <c r="X36" i="99"/>
  <c r="L36" i="16"/>
  <c r="L36" i="41"/>
  <c r="L36" i="19"/>
  <c r="L36" i="22"/>
  <c r="X36" i="43"/>
  <c r="L36" i="8"/>
  <c r="L36" i="5"/>
  <c r="X36" i="16"/>
  <c r="X36" i="20"/>
  <c r="L36" i="38"/>
  <c r="X36" i="47"/>
  <c r="X36" i="17"/>
  <c r="L36" i="31"/>
  <c r="L36" i="10"/>
  <c r="X36" i="53"/>
  <c r="X36" i="52"/>
  <c r="R135" i="77"/>
  <c r="T89" i="76"/>
  <c r="V86" i="76"/>
  <c r="X86" i="76"/>
  <c r="Z86" i="76" s="1"/>
  <c r="T148" i="69"/>
  <c r="V145" i="69"/>
  <c r="V60" i="87"/>
  <c r="X333" i="3"/>
  <c r="R333" i="3"/>
  <c r="V58" i="93"/>
  <c r="D95" i="68"/>
  <c r="L92" i="68"/>
  <c r="H176" i="30"/>
  <c r="L176" i="30" s="1"/>
  <c r="J173" i="30"/>
  <c r="L173" i="30"/>
  <c r="N173" i="30" s="1"/>
  <c r="L36" i="4"/>
  <c r="V113" i="21"/>
  <c r="V103" i="45"/>
  <c r="L36" i="17"/>
  <c r="L80" i="58"/>
  <c r="N80" i="58" s="1"/>
  <c r="Z96" i="85"/>
  <c r="T99" i="85"/>
  <c r="V96" i="85"/>
  <c r="X96" i="85"/>
  <c r="L36" i="26"/>
  <c r="X36" i="31"/>
  <c r="X58" i="60"/>
  <c r="Z58" i="60" s="1"/>
  <c r="L36" i="98"/>
  <c r="X113" i="21"/>
  <c r="Z113" i="21" s="1"/>
  <c r="R113" i="21"/>
  <c r="H103" i="45"/>
  <c r="J100" i="45"/>
  <c r="X91" i="95"/>
  <c r="R78" i="73"/>
  <c r="T176" i="30"/>
  <c r="V173" i="30"/>
  <c r="L90" i="92"/>
  <c r="N90" i="92" s="1"/>
  <c r="D93" i="92"/>
  <c r="F90" i="92"/>
  <c r="Z75" i="73"/>
  <c r="T78" i="73"/>
  <c r="X78" i="73" s="1"/>
  <c r="V75" i="73"/>
  <c r="N73" i="97"/>
  <c r="H76" i="97"/>
  <c r="J73" i="97"/>
  <c r="L73" i="97"/>
  <c r="X36" i="41"/>
  <c r="V34" i="75"/>
  <c r="X36" i="19"/>
  <c r="H111" i="33"/>
  <c r="N108" i="33"/>
  <c r="J108" i="33"/>
  <c r="H121" i="71"/>
  <c r="J118" i="71"/>
  <c r="H93" i="92"/>
  <c r="J90" i="92"/>
  <c r="X53" i="88"/>
  <c r="Z53" i="88" s="1"/>
  <c r="X38" i="78"/>
  <c r="R38" i="78"/>
  <c r="F99" i="85"/>
  <c r="H288" i="12"/>
  <c r="J285" i="12"/>
  <c r="X36" i="25"/>
  <c r="H279" i="15"/>
  <c r="J276" i="15"/>
  <c r="L36" i="32"/>
  <c r="F139" i="39"/>
  <c r="T83" i="67"/>
  <c r="V80" i="67"/>
  <c r="X80" i="67"/>
  <c r="Z80" i="67" s="1"/>
  <c r="L36" i="13"/>
  <c r="N87" i="90"/>
  <c r="H90" i="90"/>
  <c r="L90" i="90" s="1"/>
  <c r="N86" i="76"/>
  <c r="H89" i="76"/>
  <c r="L89" i="76" s="1"/>
  <c r="X276" i="15"/>
  <c r="Z276" i="15" s="1"/>
  <c r="P279" i="15"/>
  <c r="R276" i="15"/>
  <c r="V288" i="12"/>
  <c r="X36" i="37"/>
  <c r="X112" i="62"/>
  <c r="R308" i="18"/>
  <c r="L83" i="80"/>
  <c r="N83" i="80" s="1"/>
  <c r="L36" i="35"/>
  <c r="Z65" i="63"/>
  <c r="L131" i="42"/>
  <c r="N131" i="42" s="1"/>
  <c r="F131" i="42"/>
  <c r="X134" i="36"/>
  <c r="Z134" i="36" s="1"/>
  <c r="R134" i="36"/>
  <c r="T111" i="33"/>
  <c r="V108" i="33"/>
  <c r="X36" i="26"/>
  <c r="D128" i="64"/>
  <c r="L125" i="64"/>
  <c r="N76" i="48"/>
  <c r="J76" i="48"/>
  <c r="V81" i="74"/>
  <c r="P128" i="64"/>
  <c r="X125" i="64"/>
  <c r="Z125" i="64" s="1"/>
  <c r="R125" i="64"/>
  <c r="Z88" i="95"/>
  <c r="T91" i="95"/>
  <c r="V88" i="95"/>
  <c r="L92" i="70"/>
  <c r="D95" i="70"/>
  <c r="F92" i="70"/>
  <c r="T131" i="42"/>
  <c r="V128" i="42"/>
  <c r="X36" i="23"/>
  <c r="P95" i="70"/>
  <c r="X92" i="70"/>
  <c r="R92" i="70"/>
  <c r="V73" i="72"/>
  <c r="Z53" i="91"/>
  <c r="J134" i="36"/>
  <c r="N31" i="75"/>
  <c r="H34" i="75"/>
  <c r="L34" i="75" s="1"/>
  <c r="J31" i="75"/>
  <c r="Z90" i="79"/>
  <c r="V90" i="79"/>
  <c r="L333" i="3"/>
  <c r="N333" i="3" s="1"/>
  <c r="F333" i="3"/>
  <c r="Z31" i="6"/>
  <c r="X31" i="6"/>
  <c r="P288" i="12"/>
  <c r="X285" i="12"/>
  <c r="Z285" i="12" s="1"/>
  <c r="R285" i="12"/>
  <c r="L145" i="69"/>
  <c r="D148" i="69"/>
  <c r="F145" i="69"/>
  <c r="L36" i="50"/>
  <c r="X129" i="27"/>
  <c r="P132" i="27"/>
  <c r="R129" i="27"/>
  <c r="L36" i="28"/>
  <c r="L75" i="65"/>
  <c r="N75" i="65" s="1"/>
  <c r="L285" i="12"/>
  <c r="N285" i="12" s="1"/>
  <c r="Z77" i="57"/>
  <c r="T279" i="15"/>
  <c r="V276" i="15"/>
  <c r="V134" i="36"/>
  <c r="Z112" i="62"/>
  <c r="N31" i="6"/>
  <c r="X36" i="4"/>
  <c r="L288" i="12"/>
  <c r="F288" i="12"/>
  <c r="X136" i="39"/>
  <c r="Z136" i="39" s="1"/>
  <c r="P139" i="39"/>
  <c r="R136" i="39"/>
  <c r="V84" i="84"/>
  <c r="L100" i="45"/>
  <c r="N100" i="45" s="1"/>
  <c r="D103" i="45"/>
  <c r="F100" i="45"/>
  <c r="H95" i="68"/>
  <c r="N92" i="68"/>
  <c r="J92" i="68"/>
  <c r="H91" i="95"/>
  <c r="J88" i="95"/>
  <c r="X31" i="54"/>
  <c r="Z31" i="54" s="1"/>
  <c r="X76" i="48"/>
  <c r="R76" i="48"/>
  <c r="L60" i="87"/>
  <c r="N60" i="87" s="1"/>
  <c r="F60" i="87"/>
  <c r="P94" i="86"/>
  <c r="X94" i="86" s="1"/>
  <c r="Z94" i="86" s="1"/>
  <c r="X91" i="86"/>
  <c r="Z91" i="86" s="1"/>
  <c r="H58" i="93"/>
  <c r="N55" i="93"/>
  <c r="L55" i="93"/>
  <c r="Z82" i="82"/>
  <c r="V82" i="82"/>
  <c r="V94" i="86"/>
  <c r="X36" i="50"/>
  <c r="X36" i="32"/>
  <c r="L38" i="78"/>
  <c r="N38" i="78" s="1"/>
  <c r="X36" i="29"/>
  <c r="X108" i="33"/>
  <c r="Z108" i="33" s="1"/>
  <c r="P111" i="33"/>
  <c r="R108" i="33"/>
  <c r="H83" i="67"/>
  <c r="J80" i="67"/>
  <c r="H113" i="21"/>
  <c r="J110" i="21"/>
  <c r="N58" i="61"/>
  <c r="V139" i="39"/>
  <c r="L88" i="95"/>
  <c r="N88" i="95" s="1"/>
  <c r="D91" i="95"/>
  <c r="L91" i="95" s="1"/>
  <c r="N73" i="72"/>
  <c r="J73" i="72"/>
  <c r="X36" i="5"/>
  <c r="J308" i="18"/>
  <c r="X104" i="81"/>
  <c r="P95" i="68"/>
  <c r="X92" i="68"/>
  <c r="Z92" i="68" s="1"/>
  <c r="H95" i="70"/>
  <c r="N92" i="70"/>
  <c r="J92" i="70"/>
  <c r="L36" i="20"/>
  <c r="X131" i="66"/>
  <c r="Z131" i="66" s="1"/>
  <c r="R131" i="66"/>
  <c r="T90" i="90"/>
  <c r="V87" i="90"/>
  <c r="T121" i="71"/>
  <c r="V118" i="71"/>
  <c r="X118" i="71"/>
  <c r="Z118" i="71" s="1"/>
  <c r="Z333" i="3"/>
  <c r="V333" i="3"/>
  <c r="H121" i="51"/>
  <c r="J118" i="51"/>
  <c r="T135" i="77"/>
  <c r="Z132" i="77"/>
  <c r="V132" i="77"/>
  <c r="T128" i="64"/>
  <c r="V125" i="64"/>
  <c r="X128" i="42"/>
  <c r="Z128" i="42" s="1"/>
  <c r="L31" i="54"/>
  <c r="N31" i="54" s="1"/>
  <c r="T95" i="70"/>
  <c r="Z92" i="70"/>
  <c r="V92" i="70"/>
  <c r="D83" i="67"/>
  <c r="L80" i="67"/>
  <c r="N80" i="67" s="1"/>
  <c r="Z129" i="27"/>
  <c r="T132" i="27"/>
  <c r="V129" i="27"/>
  <c r="X34" i="75"/>
  <c r="Z34" i="75" s="1"/>
  <c r="R34" i="75"/>
  <c r="T95" i="68"/>
  <c r="V92" i="68"/>
  <c r="X103" i="45"/>
  <c r="Z103" i="45" s="1"/>
  <c r="R103" i="45"/>
  <c r="Z104" i="81"/>
  <c r="H132" i="27"/>
  <c r="J129" i="27"/>
  <c r="V76" i="97"/>
  <c r="H90" i="79"/>
  <c r="N87" i="79"/>
  <c r="L36" i="29"/>
  <c r="Z40" i="55"/>
  <c r="P143" i="24"/>
  <c r="X140" i="24"/>
  <c r="Z140" i="24" s="1"/>
  <c r="R140" i="24"/>
  <c r="X98" i="9"/>
  <c r="Z98" i="9" s="1"/>
  <c r="L111" i="33"/>
  <c r="F111" i="33"/>
  <c r="X70" i="72"/>
  <c r="Z70" i="72" s="1"/>
  <c r="P73" i="72"/>
  <c r="X73" i="72" s="1"/>
  <c r="Z73" i="72" s="1"/>
  <c r="D121" i="51"/>
  <c r="L118" i="51"/>
  <c r="N118" i="51" s="1"/>
  <c r="F118" i="51"/>
  <c r="L40" i="55"/>
  <c r="N40" i="55" s="1"/>
  <c r="N43" i="96"/>
  <c r="L36" i="47"/>
  <c r="N53" i="88"/>
  <c r="N97" i="94"/>
  <c r="J97" i="94"/>
  <c r="N78" i="83"/>
  <c r="L98" i="9"/>
  <c r="N98" i="9" s="1"/>
  <c r="L31" i="75"/>
  <c r="V131" i="66"/>
  <c r="Z78" i="83"/>
  <c r="V78" i="83"/>
  <c r="D84" i="84"/>
  <c r="L84" i="84" s="1"/>
  <c r="N84" i="84" s="1"/>
  <c r="L81" i="84"/>
  <c r="N81" i="84" s="1"/>
  <c r="X131" i="42"/>
  <c r="R131" i="42"/>
  <c r="L36" i="99"/>
  <c r="P176" i="30"/>
  <c r="X173" i="30"/>
  <c r="Z173" i="30" s="1"/>
  <c r="R173" i="30"/>
  <c r="X84" i="84"/>
  <c r="Z84" i="84" s="1"/>
  <c r="R84" i="84"/>
  <c r="L90" i="79"/>
  <c r="N112" i="62"/>
  <c r="L36" i="11"/>
  <c r="N125" i="64"/>
  <c r="H128" i="64"/>
  <c r="X78" i="74"/>
  <c r="Z78" i="74" s="1"/>
  <c r="P81" i="74"/>
  <c r="X81" i="74" s="1"/>
  <c r="Z81" i="74" s="1"/>
  <c r="D308" i="18"/>
  <c r="L305" i="18"/>
  <c r="N305" i="18" s="1"/>
  <c r="F305" i="18"/>
  <c r="L36" i="23"/>
  <c r="L36" i="52"/>
  <c r="F176" i="30"/>
  <c r="L276" i="15"/>
  <c r="N276" i="15" s="1"/>
  <c r="D279" i="15"/>
  <c r="F276" i="15"/>
  <c r="L131" i="36"/>
  <c r="N131" i="36" s="1"/>
  <c r="D134" i="36"/>
  <c r="F131" i="36"/>
  <c r="L82" i="82"/>
  <c r="N82" i="82" s="1"/>
  <c r="L132" i="77"/>
  <c r="N132" i="77" s="1"/>
  <c r="D135" i="77"/>
  <c r="F132" i="77"/>
  <c r="X36" i="22"/>
  <c r="X121" i="51"/>
  <c r="Z121" i="51" s="1"/>
  <c r="R121" i="51"/>
  <c r="T143" i="24"/>
  <c r="V140" i="24"/>
  <c r="N67" i="89"/>
  <c r="H70" i="89"/>
  <c r="L70" i="89" s="1"/>
  <c r="L78" i="73"/>
  <c r="N78" i="73" s="1"/>
  <c r="H131" i="66"/>
  <c r="J128" i="66"/>
  <c r="F34" i="75"/>
  <c r="X87" i="90"/>
  <c r="Z87" i="90" s="1"/>
  <c r="L81" i="74"/>
  <c r="N81" i="74" s="1"/>
  <c r="X76" i="97"/>
  <c r="Z76" i="97" s="1"/>
  <c r="R76" i="97"/>
  <c r="H139" i="39"/>
  <c r="L139" i="39" s="1"/>
  <c r="N136" i="39"/>
  <c r="J136" i="39"/>
  <c r="L36" i="40"/>
  <c r="N77" i="56"/>
  <c r="L36" i="7"/>
  <c r="N145" i="69"/>
  <c r="H148" i="69"/>
  <c r="J145" i="69"/>
  <c r="J143" i="24"/>
  <c r="Z305" i="18"/>
  <c r="T308" i="18"/>
  <c r="X308" i="18" s="1"/>
  <c r="V305" i="18"/>
  <c r="X36" i="13"/>
  <c r="J333" i="3"/>
  <c r="P148" i="69"/>
  <c r="X145" i="69"/>
  <c r="Z145" i="69" s="1"/>
  <c r="R145" i="69"/>
  <c r="Z76" i="48"/>
  <c r="V76" i="48"/>
  <c r="L110" i="21"/>
  <c r="N110" i="21" s="1"/>
  <c r="D113" i="21"/>
  <c r="F110" i="21"/>
  <c r="Z94" i="94"/>
  <c r="T97" i="94"/>
  <c r="V94" i="94"/>
  <c r="X97" i="94"/>
  <c r="R97" i="94"/>
  <c r="L128" i="66"/>
  <c r="N128" i="66" s="1"/>
  <c r="D131" i="66"/>
  <c r="F128" i="66"/>
  <c r="L91" i="86"/>
  <c r="N91" i="86" s="1"/>
  <c r="D94" i="86"/>
  <c r="L94" i="86" s="1"/>
  <c r="N94" i="86" s="1"/>
  <c r="V121" i="51"/>
  <c r="X55" i="93"/>
  <c r="Z55" i="93" s="1"/>
  <c r="P58" i="93"/>
  <c r="X58" i="93" s="1"/>
  <c r="Z58" i="93" s="1"/>
  <c r="D121" i="71"/>
  <c r="L118" i="71"/>
  <c r="N118" i="71" s="1"/>
  <c r="F118" i="71"/>
  <c r="N77" i="57"/>
  <c r="Z38" i="78"/>
  <c r="V38" i="78"/>
  <c r="T93" i="92"/>
  <c r="V90" i="92"/>
  <c r="X36" i="28"/>
  <c r="X36" i="40"/>
  <c r="L36" i="53"/>
  <c r="N96" i="85"/>
  <c r="H99" i="85"/>
  <c r="L99" i="85" s="1"/>
  <c r="D132" i="27"/>
  <c r="L129" i="27"/>
  <c r="N129" i="27" s="1"/>
  <c r="F129" i="27"/>
  <c r="L140" i="24"/>
  <c r="N140" i="24" s="1"/>
  <c r="D143" i="24"/>
  <c r="L143" i="24" s="1"/>
  <c r="N143" i="24" s="1"/>
  <c r="L36" i="43"/>
  <c r="Z77" i="56"/>
  <c r="P93" i="92"/>
  <c r="X90" i="92"/>
  <c r="Z90" i="92" s="1"/>
  <c r="R90" i="92"/>
  <c r="X57" i="87"/>
  <c r="Z57" i="87" s="1"/>
  <c r="P60" i="87"/>
  <c r="R57" i="87"/>
  <c r="X36" i="46"/>
  <c r="N53" i="91"/>
  <c r="L83" i="67" l="1"/>
  <c r="N83" i="67" s="1"/>
  <c r="V143" i="24"/>
  <c r="V90" i="90"/>
  <c r="V83" i="67"/>
  <c r="X83" i="67"/>
  <c r="Z83" i="67" s="1"/>
  <c r="X60" i="87"/>
  <c r="Z60" i="87" s="1"/>
  <c r="R60" i="87"/>
  <c r="L131" i="66"/>
  <c r="N131" i="66" s="1"/>
  <c r="F131" i="66"/>
  <c r="J148" i="69"/>
  <c r="L279" i="15"/>
  <c r="N279" i="15" s="1"/>
  <c r="F279" i="15"/>
  <c r="V135" i="77"/>
  <c r="X128" i="64"/>
  <c r="R128" i="64"/>
  <c r="N121" i="71"/>
  <c r="J121" i="71"/>
  <c r="V99" i="85"/>
  <c r="X99" i="85"/>
  <c r="Z99" i="85" s="1"/>
  <c r="N99" i="85"/>
  <c r="X148" i="69"/>
  <c r="Z148" i="69" s="1"/>
  <c r="R148" i="69"/>
  <c r="J83" i="67"/>
  <c r="L121" i="71"/>
  <c r="F121" i="71"/>
  <c r="X139" i="39"/>
  <c r="Z139" i="39" s="1"/>
  <c r="R139" i="39"/>
  <c r="V279" i="15"/>
  <c r="Z131" i="42"/>
  <c r="V131" i="42"/>
  <c r="N89" i="76"/>
  <c r="N111" i="33"/>
  <c r="J111" i="33"/>
  <c r="J103" i="45"/>
  <c r="V95" i="70"/>
  <c r="X111" i="33"/>
  <c r="R111" i="33"/>
  <c r="N91" i="95"/>
  <c r="J91" i="95"/>
  <c r="J279" i="15"/>
  <c r="Z78" i="73"/>
  <c r="V78" i="73"/>
  <c r="X143" i="24"/>
  <c r="Z143" i="24" s="1"/>
  <c r="R143" i="24"/>
  <c r="N176" i="30"/>
  <c r="J176" i="30"/>
  <c r="X93" i="92"/>
  <c r="Z93" i="92" s="1"/>
  <c r="R93" i="92"/>
  <c r="Z97" i="94"/>
  <c r="V97" i="94"/>
  <c r="J131" i="66"/>
  <c r="L135" i="77"/>
  <c r="N135" i="77" s="1"/>
  <c r="F135" i="77"/>
  <c r="X288" i="12"/>
  <c r="Z288" i="12" s="1"/>
  <c r="R288" i="12"/>
  <c r="L95" i="70"/>
  <c r="F95" i="70"/>
  <c r="N90" i="90"/>
  <c r="L93" i="92"/>
  <c r="F93" i="92"/>
  <c r="L95" i="68"/>
  <c r="N95" i="68" s="1"/>
  <c r="L121" i="51"/>
  <c r="F121" i="51"/>
  <c r="N90" i="79"/>
  <c r="V95" i="68"/>
  <c r="N95" i="70"/>
  <c r="J95" i="70"/>
  <c r="L58" i="93"/>
  <c r="N58" i="93" s="1"/>
  <c r="L128" i="64"/>
  <c r="N128" i="64" s="1"/>
  <c r="L148" i="69"/>
  <c r="N148" i="69" s="1"/>
  <c r="F148" i="69"/>
  <c r="V148" i="69"/>
  <c r="V89" i="76"/>
  <c r="X89" i="76"/>
  <c r="Z89" i="76" s="1"/>
  <c r="N121" i="51"/>
  <c r="J121" i="51"/>
  <c r="V93" i="92"/>
  <c r="N70" i="89"/>
  <c r="L308" i="18"/>
  <c r="N308" i="18" s="1"/>
  <c r="F308" i="18"/>
  <c r="X176" i="30"/>
  <c r="R176" i="30"/>
  <c r="V121" i="71"/>
  <c r="X121" i="71"/>
  <c r="Z121" i="71" s="1"/>
  <c r="X95" i="68"/>
  <c r="Z95" i="68" s="1"/>
  <c r="J95" i="68"/>
  <c r="Z91" i="95"/>
  <c r="V91" i="95"/>
  <c r="N93" i="92"/>
  <c r="J93" i="92"/>
  <c r="Z176" i="30"/>
  <c r="V176" i="30"/>
  <c r="N34" i="75"/>
  <c r="J34" i="75"/>
  <c r="X279" i="15"/>
  <c r="Z279" i="15" s="1"/>
  <c r="R279" i="15"/>
  <c r="Z308" i="18"/>
  <c r="V308" i="18"/>
  <c r="N139" i="39"/>
  <c r="J139" i="39"/>
  <c r="L113" i="21"/>
  <c r="N113" i="21" s="1"/>
  <c r="F113" i="21"/>
  <c r="L134" i="36"/>
  <c r="N134" i="36" s="1"/>
  <c r="F134" i="36"/>
  <c r="Z128" i="64"/>
  <c r="V128" i="64"/>
  <c r="X132" i="27"/>
  <c r="Z132" i="27" s="1"/>
  <c r="R132" i="27"/>
  <c r="N288" i="12"/>
  <c r="J288" i="12"/>
  <c r="L132" i="27"/>
  <c r="N132" i="27" s="1"/>
  <c r="F132" i="27"/>
  <c r="X90" i="90"/>
  <c r="Z90" i="90" s="1"/>
  <c r="J132" i="27"/>
  <c r="V132" i="27"/>
  <c r="J113" i="21"/>
  <c r="L103" i="45"/>
  <c r="N103" i="45" s="1"/>
  <c r="F103" i="45"/>
  <c r="X95" i="70"/>
  <c r="Z95" i="70" s="1"/>
  <c r="R95" i="70"/>
  <c r="Z111" i="33"/>
  <c r="V111" i="33"/>
  <c r="N76" i="97"/>
  <c r="J76" i="97"/>
  <c r="L76" i="97"/>
  <c r="X135" i="77"/>
  <c r="Z135" i="77" s="1"/>
</calcChain>
</file>

<file path=xl/sharedStrings.xml><?xml version="1.0" encoding="utf-8"?>
<sst xmlns="http://schemas.openxmlformats.org/spreadsheetml/2006/main" count="2922" uniqueCount="314">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</sst>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1" fillId="0" borderId="0" xfId="0" applyFont="1"/>
    <xf numFmtId="0" fontId="2" fillId="0" borderId="0" xfId="0" applyFont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3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4" fillId="0" borderId="0" xfId="0" applyFont="1"/>
    <xf numFmtId="164" fontId="2" fillId="0" borderId="0" xfId="1" applyNumberFormat="1" applyFont="1" applyFill="1" applyAlignment="1">
      <alignment horizontal="centerContinuous"/>
    </xf>
    <xf numFmtId="165" fontId="0" fillId="0" borderId="0" xfId="0" applyNumberFormat="1"/>
    <xf numFmtId="0" fontId="0" fillId="0" borderId="0" xfId="0" applyBorder="1"/>
    <xf numFmtId="0" fontId="5" fillId="0" borderId="0" xfId="0" applyFont="1" applyFill="1"/>
    <xf numFmtId="166" fontId="3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808463.38999999978</v>
      </c>
      <c r="E12" s="4"/>
      <c r="F12" s="13"/>
      <c r="G12" s="4"/>
      <c r="H12" s="4">
        <f>SUM(OSRRefH13x_0)</f>
        <v>505018.41999999993</v>
      </c>
      <c r="I12" s="4"/>
      <c r="J12" s="13"/>
      <c r="K12" s="4"/>
      <c r="L12" s="4">
        <f t="shared" ref="L12:L140" si="0">+D12-H12</f>
        <v>303444.96999999986</v>
      </c>
      <c r="M12" s="4"/>
      <c r="N12" s="13">
        <f t="shared" ref="N12:N140" si="1">IF(H12=0,0,L12/H12)</f>
        <v>0.60085921222437766</v>
      </c>
      <c r="O12" s="11"/>
      <c r="P12" s="4">
        <f>SUM(OSRRefP13x_0)</f>
        <v>9812288.8400000036</v>
      </c>
      <c r="Q12" s="4"/>
      <c r="R12" s="13"/>
      <c r="S12" s="4"/>
      <c r="T12" s="4">
        <f>SUM(OSRRefT13x_0)</f>
        <v>28048670.599999998</v>
      </c>
      <c r="U12" s="4"/>
      <c r="V12" s="13"/>
      <c r="W12" s="4"/>
      <c r="X12" s="4">
        <f t="shared" ref="X12:X140" si="2">+P12-T12</f>
        <v>-18236381.759999994</v>
      </c>
      <c r="Y12" s="4"/>
      <c r="Z12" s="13">
        <f t="shared" ref="Z12:Z140" si="3">IF(T12=0,0,X12/T12)</f>
        <v>-0.65016920124549493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-11409.64</f>
        <v>-11409.64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-11409.64</v>
      </c>
      <c r="M13" s="2"/>
      <c r="N13" s="19">
        <f t="shared" si="1"/>
        <v>0</v>
      </c>
      <c r="O13" s="10"/>
      <c r="P13" s="2">
        <f>-147412.94</f>
        <v>-147412.94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-147412.94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--35278.2</f>
        <v>35278.199999999997</v>
      </c>
      <c r="E14" s="2"/>
      <c r="F14" s="19"/>
      <c r="G14" s="2"/>
      <c r="H14" s="2">
        <f>--37281.91</f>
        <v>37281.910000000003</v>
      </c>
      <c r="I14" s="2"/>
      <c r="J14" s="19"/>
      <c r="K14" s="2"/>
      <c r="L14" s="2">
        <f t="shared" si="0"/>
        <v>-2003.7100000000064</v>
      </c>
      <c r="M14" s="2"/>
      <c r="N14" s="19">
        <f t="shared" si="1"/>
        <v>-5.3744832279247659E-2</v>
      </c>
      <c r="O14" s="10"/>
      <c r="P14" s="2">
        <f>--1299088.56</f>
        <v>1299088.56</v>
      </c>
      <c r="Q14" s="2"/>
      <c r="R14" s="19"/>
      <c r="S14" s="2"/>
      <c r="T14" s="2">
        <f>--2435259.64</f>
        <v>2435259.64</v>
      </c>
      <c r="U14" s="2"/>
      <c r="V14" s="19"/>
      <c r="W14" s="2"/>
      <c r="X14" s="2">
        <f t="shared" si="2"/>
        <v>-1136171.08</v>
      </c>
      <c r="Y14" s="2"/>
      <c r="Z14" s="19">
        <f t="shared" si="3"/>
        <v>-0.4665502853732672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--11501.84</f>
        <v>11501.84</v>
      </c>
      <c r="E15" s="2"/>
      <c r="F15" s="19"/>
      <c r="G15" s="2"/>
      <c r="H15" s="2">
        <f>--11509.55</f>
        <v>11509.55</v>
      </c>
      <c r="I15" s="2"/>
      <c r="J15" s="19"/>
      <c r="K15" s="2"/>
      <c r="L15" s="2">
        <f t="shared" si="0"/>
        <v>-7.7099999999991269</v>
      </c>
      <c r="M15" s="2"/>
      <c r="N15" s="19">
        <f t="shared" si="1"/>
        <v>-6.6987849220856834E-4</v>
      </c>
      <c r="O15" s="10"/>
      <c r="P15" s="2">
        <f>--590270.47</f>
        <v>590270.47</v>
      </c>
      <c r="Q15" s="2"/>
      <c r="R15" s="19"/>
      <c r="S15" s="2"/>
      <c r="T15" s="2">
        <f>--1256426.74</f>
        <v>1256426.74</v>
      </c>
      <c r="U15" s="2"/>
      <c r="V15" s="19"/>
      <c r="W15" s="2"/>
      <c r="X15" s="2">
        <f t="shared" si="2"/>
        <v>-666156.27</v>
      </c>
      <c r="Y15" s="2"/>
      <c r="Z15" s="19">
        <f t="shared" si="3"/>
        <v>-0.53019905482113505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--35.38</f>
        <v>35.380000000000003</v>
      </c>
      <c r="E22" s="2"/>
      <c r="F22" s="19"/>
      <c r="G22" s="2"/>
      <c r="H22" s="2">
        <f>--24.99</f>
        <v>24.99</v>
      </c>
      <c r="I22" s="2"/>
      <c r="J22" s="19"/>
      <c r="K22" s="2"/>
      <c r="L22" s="2">
        <f t="shared" si="0"/>
        <v>10.390000000000004</v>
      </c>
      <c r="M22" s="2"/>
      <c r="N22" s="19">
        <f t="shared" si="1"/>
        <v>0.41576630652260921</v>
      </c>
      <c r="O22" s="10"/>
      <c r="P22" s="2">
        <f>--508.48</f>
        <v>508.48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-3670.82</v>
      </c>
      <c r="Y22" s="2"/>
      <c r="Z22" s="19">
        <f t="shared" si="3"/>
        <v>-0.87833369224511282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6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7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6"/>
        <v>0</v>
      </c>
      <c r="E24" s="2"/>
      <c r="F24" s="19"/>
      <c r="G24" s="2"/>
      <c r="H24" s="2">
        <f>--17.25</f>
        <v>17.25</v>
      </c>
      <c r="I24" s="2"/>
      <c r="J24" s="19"/>
      <c r="K24" s="2"/>
      <c r="L24" s="2">
        <f t="shared" si="0"/>
        <v>-17.25</v>
      </c>
      <c r="M24" s="2"/>
      <c r="N24" s="19">
        <f t="shared" si="1"/>
        <v>-1</v>
      </c>
      <c r="O24" s="10"/>
      <c r="P24" s="2">
        <f t="shared" si="7"/>
        <v>0</v>
      </c>
      <c r="Q24" s="2"/>
      <c r="R24" s="19"/>
      <c r="S24" s="2"/>
      <c r="T24" s="2">
        <f>--54720.11</f>
        <v>54720.11</v>
      </c>
      <c r="U24" s="2"/>
      <c r="V24" s="19"/>
      <c r="W24" s="2"/>
      <c r="X24" s="2">
        <f t="shared" si="2"/>
        <v>-54720.11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--36.37</f>
        <v>36.369999999999997</v>
      </c>
      <c r="E25" s="2"/>
      <c r="F25" s="19"/>
      <c r="G25" s="2"/>
      <c r="H25" s="2">
        <f>--859.78</f>
        <v>859.78</v>
      </c>
      <c r="I25" s="2"/>
      <c r="J25" s="19"/>
      <c r="K25" s="2"/>
      <c r="L25" s="2">
        <f t="shared" si="0"/>
        <v>-823.41</v>
      </c>
      <c r="M25" s="2"/>
      <c r="N25" s="19">
        <f t="shared" si="1"/>
        <v>-0.95769848100676913</v>
      </c>
      <c r="O25" s="10"/>
      <c r="P25" s="2">
        <f>--522.54</f>
        <v>522.54</v>
      </c>
      <c r="Q25" s="2"/>
      <c r="R25" s="19"/>
      <c r="S25" s="2"/>
      <c r="T25" s="2">
        <f>--80809.49</f>
        <v>80809.490000000005</v>
      </c>
      <c r="U25" s="2"/>
      <c r="V25" s="19"/>
      <c r="W25" s="2"/>
      <c r="X25" s="2">
        <f t="shared" si="2"/>
        <v>-80286.950000000012</v>
      </c>
      <c r="Y25" s="2"/>
      <c r="Z25" s="19">
        <f t="shared" si="3"/>
        <v>-0.99353368026453337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--6033.32</f>
        <v>6033.32</v>
      </c>
      <c r="E26" s="2"/>
      <c r="F26" s="19"/>
      <c r="G26" s="2"/>
      <c r="H26" s="2">
        <f>--5530.51</f>
        <v>5530.51</v>
      </c>
      <c r="I26" s="2"/>
      <c r="J26" s="19"/>
      <c r="K26" s="2"/>
      <c r="L26" s="2">
        <f t="shared" si="0"/>
        <v>502.80999999999949</v>
      </c>
      <c r="M26" s="2"/>
      <c r="N26" s="19">
        <f t="shared" si="1"/>
        <v>9.091566600548584E-2</v>
      </c>
      <c r="O26" s="10"/>
      <c r="P26" s="2">
        <f>--70104.29</f>
        <v>70104.289999999994</v>
      </c>
      <c r="Q26" s="2"/>
      <c r="R26" s="19"/>
      <c r="S26" s="2"/>
      <c r="T26" s="2">
        <f>--276777.07</f>
        <v>276777.07</v>
      </c>
      <c r="U26" s="2"/>
      <c r="V26" s="19"/>
      <c r="W26" s="2"/>
      <c r="X26" s="2">
        <f t="shared" si="2"/>
        <v>-206672.78000000003</v>
      </c>
      <c r="Y26" s="2"/>
      <c r="Z26" s="19">
        <f t="shared" si="3"/>
        <v>-0.74671207408908558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--1495.15</f>
        <v>1495.15</v>
      </c>
      <c r="E27" s="2"/>
      <c r="F27" s="19"/>
      <c r="G27" s="2"/>
      <c r="H27" s="2">
        <f>--425.18</f>
        <v>425.18</v>
      </c>
      <c r="I27" s="2"/>
      <c r="J27" s="19"/>
      <c r="K27" s="2"/>
      <c r="L27" s="2">
        <f t="shared" si="0"/>
        <v>1069.97</v>
      </c>
      <c r="M27" s="2"/>
      <c r="N27" s="19">
        <f t="shared" si="1"/>
        <v>2.5165106543111153</v>
      </c>
      <c r="O27" s="10"/>
      <c r="P27" s="2">
        <f>--48395.32</f>
        <v>48395.32</v>
      </c>
      <c r="Q27" s="2"/>
      <c r="R27" s="19"/>
      <c r="S27" s="2"/>
      <c r="T27" s="2">
        <f>--293191.05</f>
        <v>293191.05</v>
      </c>
      <c r="U27" s="2"/>
      <c r="V27" s="19"/>
      <c r="W27" s="2"/>
      <c r="X27" s="2">
        <f t="shared" si="2"/>
        <v>-244795.72999999998</v>
      </c>
      <c r="Y27" s="2"/>
      <c r="Z27" s="19">
        <f t="shared" si="3"/>
        <v>-0.83493588907301231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--490.12</f>
        <v>490.12</v>
      </c>
      <c r="E28" s="2"/>
      <c r="F28" s="19"/>
      <c r="G28" s="2"/>
      <c r="H28" s="2">
        <f t="shared" ref="H28:H33" si="8">0</f>
        <v>0</v>
      </c>
      <c r="I28" s="2"/>
      <c r="J28" s="19"/>
      <c r="K28" s="2"/>
      <c r="L28" s="2">
        <f t="shared" si="0"/>
        <v>490.12</v>
      </c>
      <c r="M28" s="2"/>
      <c r="N28" s="19">
        <f t="shared" si="1"/>
        <v>0</v>
      </c>
      <c r="O28" s="10"/>
      <c r="P28" s="2">
        <f>--4700.71</f>
        <v>4700.71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4214.37</v>
      </c>
      <c r="Y28" s="2"/>
      <c r="Z28" s="19">
        <f t="shared" si="3"/>
        <v>8.6654809392606005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0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0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--187399.42</f>
        <v>187399.42</v>
      </c>
      <c r="E34" s="2"/>
      <c r="F34" s="19"/>
      <c r="G34" s="2"/>
      <c r="H34" s="2">
        <f>--50806.72</f>
        <v>50806.720000000001</v>
      </c>
      <c r="I34" s="2"/>
      <c r="J34" s="19"/>
      <c r="K34" s="2"/>
      <c r="L34" s="2">
        <f t="shared" si="0"/>
        <v>136592.70000000001</v>
      </c>
      <c r="M34" s="2"/>
      <c r="N34" s="19">
        <f t="shared" si="1"/>
        <v>2.6884770361086092</v>
      </c>
      <c r="O34" s="10"/>
      <c r="P34" s="2">
        <f>--1100580.15</f>
        <v>1100580.1499999999</v>
      </c>
      <c r="Q34" s="2"/>
      <c r="R34" s="19"/>
      <c r="S34" s="2"/>
      <c r="T34" s="2">
        <f>--1894910.12</f>
        <v>1894910.12</v>
      </c>
      <c r="U34" s="2"/>
      <c r="V34" s="19"/>
      <c r="W34" s="2"/>
      <c r="X34" s="2">
        <f t="shared" si="2"/>
        <v>-794329.9700000002</v>
      </c>
      <c r="Y34" s="2"/>
      <c r="Z34" s="19">
        <f t="shared" si="3"/>
        <v>-0.41919137040652893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--191315.61</f>
        <v>191315.61</v>
      </c>
      <c r="E35" s="2"/>
      <c r="F35" s="19"/>
      <c r="G35" s="2"/>
      <c r="H35" s="2">
        <f>--45499.27</f>
        <v>45499.27</v>
      </c>
      <c r="I35" s="2"/>
      <c r="J35" s="19"/>
      <c r="K35" s="2"/>
      <c r="L35" s="2">
        <f t="shared" si="0"/>
        <v>145816.34</v>
      </c>
      <c r="M35" s="2"/>
      <c r="N35" s="19">
        <f t="shared" si="1"/>
        <v>3.2048061430436139</v>
      </c>
      <c r="O35" s="10"/>
      <c r="P35" s="2">
        <f>--631772.59</f>
        <v>631772.59</v>
      </c>
      <c r="Q35" s="2"/>
      <c r="R35" s="19"/>
      <c r="S35" s="2"/>
      <c r="T35" s="2">
        <f>--526632.56</f>
        <v>526632.56000000006</v>
      </c>
      <c r="U35" s="2"/>
      <c r="V35" s="19"/>
      <c r="W35" s="2"/>
      <c r="X35" s="2">
        <f t="shared" si="2"/>
        <v>105140.02999999991</v>
      </c>
      <c r="Y35" s="2"/>
      <c r="Z35" s="19">
        <f t="shared" si="3"/>
        <v>0.19964589732165422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--8228.03</f>
        <v>8228.0300000000007</v>
      </c>
      <c r="E36" s="2"/>
      <c r="F36" s="19"/>
      <c r="G36" s="2"/>
      <c r="H36" s="2">
        <f>--3419.02</f>
        <v>3419.02</v>
      </c>
      <c r="I36" s="2"/>
      <c r="J36" s="19"/>
      <c r="K36" s="2"/>
      <c r="L36" s="2">
        <f t="shared" si="0"/>
        <v>4809.01</v>
      </c>
      <c r="M36" s="2"/>
      <c r="N36" s="19">
        <f t="shared" si="1"/>
        <v>1.4065463202906097</v>
      </c>
      <c r="O36" s="10"/>
      <c r="P36" s="2">
        <f>--108906.55</f>
        <v>108906.55</v>
      </c>
      <c r="Q36" s="2"/>
      <c r="R36" s="19"/>
      <c r="S36" s="2"/>
      <c r="T36" s="2">
        <f>--282721.2</f>
        <v>282721.2</v>
      </c>
      <c r="U36" s="2"/>
      <c r="V36" s="19"/>
      <c r="W36" s="2"/>
      <c r="X36" s="2">
        <f t="shared" si="2"/>
        <v>-173814.65000000002</v>
      </c>
      <c r="Y36" s="2"/>
      <c r="Z36" s="19">
        <f t="shared" si="3"/>
        <v>-0.61479170999557164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--7218.29</f>
        <v>7218.29</v>
      </c>
      <c r="E37" s="2"/>
      <c r="F37" s="19"/>
      <c r="G37" s="2"/>
      <c r="H37" s="2">
        <f>--49.95</f>
        <v>49.95</v>
      </c>
      <c r="I37" s="2"/>
      <c r="J37" s="19"/>
      <c r="K37" s="2"/>
      <c r="L37" s="2">
        <f t="shared" si="0"/>
        <v>7168.34</v>
      </c>
      <c r="M37" s="2"/>
      <c r="N37" s="19">
        <f t="shared" si="1"/>
        <v>143.5103103103103</v>
      </c>
      <c r="O37" s="10"/>
      <c r="P37" s="2">
        <f>--144077.67</f>
        <v>144077.67000000001</v>
      </c>
      <c r="Q37" s="2"/>
      <c r="R37" s="19"/>
      <c r="S37" s="2"/>
      <c r="T37" s="2">
        <f>--77269.18</f>
        <v>77269.179999999993</v>
      </c>
      <c r="U37" s="2"/>
      <c r="V37" s="19"/>
      <c r="W37" s="2"/>
      <c r="X37" s="2">
        <f t="shared" si="2"/>
        <v>66808.49000000002</v>
      </c>
      <c r="Y37" s="2"/>
      <c r="Z37" s="19">
        <f t="shared" si="3"/>
        <v>0.8646201499744145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--5024.1</f>
        <v>5024.1000000000004</v>
      </c>
      <c r="E38" s="2"/>
      <c r="F38" s="19"/>
      <c r="G38" s="2"/>
      <c r="H38" s="2">
        <f>--3915.24</f>
        <v>3915.24</v>
      </c>
      <c r="I38" s="2"/>
      <c r="J38" s="19"/>
      <c r="K38" s="2"/>
      <c r="L38" s="2">
        <f t="shared" si="0"/>
        <v>1108.8600000000006</v>
      </c>
      <c r="M38" s="2"/>
      <c r="N38" s="19">
        <f t="shared" si="1"/>
        <v>0.28321635455297778</v>
      </c>
      <c r="O38" s="10"/>
      <c r="P38" s="2">
        <f>--41116.33</f>
        <v>41116.33</v>
      </c>
      <c r="Q38" s="2"/>
      <c r="R38" s="19"/>
      <c r="S38" s="2"/>
      <c r="T38" s="2">
        <f>--71255.76</f>
        <v>71255.759999999995</v>
      </c>
      <c r="U38" s="2"/>
      <c r="V38" s="19"/>
      <c r="W38" s="2"/>
      <c r="X38" s="2">
        <f t="shared" si="2"/>
        <v>-30139.429999999993</v>
      </c>
      <c r="Y38" s="2"/>
      <c r="Z38" s="19">
        <f t="shared" si="3"/>
        <v>-0.42297534964190958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--26335.59</f>
        <v>26335.59</v>
      </c>
      <c r="E39" s="2"/>
      <c r="F39" s="19"/>
      <c r="G39" s="2"/>
      <c r="H39" s="2">
        <f>--13525.59</f>
        <v>13525.59</v>
      </c>
      <c r="I39" s="2"/>
      <c r="J39" s="19"/>
      <c r="K39" s="2"/>
      <c r="L39" s="2">
        <f t="shared" si="0"/>
        <v>12810</v>
      </c>
      <c r="M39" s="2"/>
      <c r="N39" s="19">
        <f t="shared" si="1"/>
        <v>0.947093620315269</v>
      </c>
      <c r="O39" s="10"/>
      <c r="P39" s="2">
        <f>--233577.93</f>
        <v>233577.93</v>
      </c>
      <c r="Q39" s="2"/>
      <c r="R39" s="19"/>
      <c r="S39" s="2"/>
      <c r="T39" s="2">
        <f>--96839.56</f>
        <v>96839.56</v>
      </c>
      <c r="U39" s="2"/>
      <c r="V39" s="19"/>
      <c r="W39" s="2"/>
      <c r="X39" s="2">
        <f t="shared" si="2"/>
        <v>136738.37</v>
      </c>
      <c r="Y39" s="2"/>
      <c r="Z39" s="19">
        <f t="shared" si="3"/>
        <v>1.4120094102038465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 t="shared" ref="H40:H42" si="11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>--7161.66</f>
        <v>7161.66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7161.66</v>
      </c>
      <c r="M41" s="2"/>
      <c r="N41" s="19">
        <f t="shared" si="1"/>
        <v>0</v>
      </c>
      <c r="O41" s="10"/>
      <c r="P41" s="2">
        <f>--39282.92</f>
        <v>39282.92</v>
      </c>
      <c r="Q41" s="2"/>
      <c r="R41" s="19"/>
      <c r="S41" s="2"/>
      <c r="T41" s="2">
        <f>--604143.21</f>
        <v>604143.21</v>
      </c>
      <c r="U41" s="2"/>
      <c r="V41" s="19"/>
      <c r="W41" s="2"/>
      <c r="X41" s="2">
        <f t="shared" si="2"/>
        <v>-564860.28999999992</v>
      </c>
      <c r="Y41" s="2"/>
      <c r="Z41" s="19">
        <f t="shared" si="3"/>
        <v>-0.93497746999424181</v>
      </c>
    </row>
    <row r="42" spans="1:26" s="23" customFormat="1" hidden="1" outlineLevel="1" x14ac:dyDescent="0.25">
      <c r="A42" s="44"/>
      <c r="B42" s="10" t="str">
        <f>CONCATENATE("          ", "4052", " - ", "TAXABLE SALES-FOOD")</f>
        <v xml:space="preserve">          4052 - TAXABLE SALES-FOOD</v>
      </c>
      <c r="C42" s="10"/>
      <c r="D42" s="2">
        <f>--47978.22</f>
        <v>47978.22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47978.22</v>
      </c>
      <c r="M42" s="2"/>
      <c r="N42" s="19">
        <f t="shared" si="1"/>
        <v>0</v>
      </c>
      <c r="O42" s="10"/>
      <c r="P42" s="2">
        <f>--428653.01</f>
        <v>428653.01</v>
      </c>
      <c r="Q42" s="2"/>
      <c r="R42" s="19"/>
      <c r="S42" s="2"/>
      <c r="T42" s="2">
        <f>--836487.29</f>
        <v>836487.29</v>
      </c>
      <c r="U42" s="2"/>
      <c r="V42" s="19"/>
      <c r="W42" s="2"/>
      <c r="X42" s="2">
        <f t="shared" si="2"/>
        <v>-407834.28</v>
      </c>
      <c r="Y42" s="2"/>
      <c r="Z42" s="19">
        <f t="shared" si="3"/>
        <v>-0.48755585993422568</v>
      </c>
    </row>
    <row r="43" spans="1:26" s="23" customFormat="1" hidden="1" outlineLevel="1" x14ac:dyDescent="0.25">
      <c r="A43" s="44"/>
      <c r="B43" s="10" t="str">
        <f>CONCATENATE("          ", "4053", " - ", "TAXABLE SALES-FOOD")</f>
        <v xml:space="preserve">          4053 - TAXABLE SALES-FOOD</v>
      </c>
      <c r="C43" s="10"/>
      <c r="D43" s="2">
        <f>--21.66</f>
        <v>21.66</v>
      </c>
      <c r="E43" s="2"/>
      <c r="F43" s="19"/>
      <c r="G43" s="2"/>
      <c r="H43" s="2">
        <f>--59.42</f>
        <v>59.42</v>
      </c>
      <c r="I43" s="2"/>
      <c r="J43" s="19"/>
      <c r="K43" s="2"/>
      <c r="L43" s="2">
        <f t="shared" si="0"/>
        <v>-37.760000000000005</v>
      </c>
      <c r="M43" s="2"/>
      <c r="N43" s="19">
        <f t="shared" si="1"/>
        <v>-0.63547627061595424</v>
      </c>
      <c r="O43" s="10"/>
      <c r="P43" s="2">
        <f>--1106.56</f>
        <v>1106.56</v>
      </c>
      <c r="Q43" s="2"/>
      <c r="R43" s="19"/>
      <c r="S43" s="2"/>
      <c r="T43" s="2">
        <f>--279986.09</f>
        <v>279986.09000000003</v>
      </c>
      <c r="U43" s="2"/>
      <c r="V43" s="19"/>
      <c r="W43" s="2"/>
      <c r="X43" s="2">
        <f t="shared" si="2"/>
        <v>-278879.53000000003</v>
      </c>
      <c r="Y43" s="2"/>
      <c r="Z43" s="19">
        <f t="shared" si="3"/>
        <v>-0.99604780366053181</v>
      </c>
    </row>
    <row r="44" spans="1:26" s="23" customFormat="1" hidden="1" outlineLevel="1" x14ac:dyDescent="0.25">
      <c r="A44" s="44"/>
      <c r="B44" s="10" t="str">
        <f>CONCATENATE("          ", "4055", " - ", "TAXABLE SALES-FOOD")</f>
        <v xml:space="preserve">          4055 - TAXABLE SALES-FOOD</v>
      </c>
      <c r="C44" s="10"/>
      <c r="D44" s="2">
        <f t="shared" ref="D44:D45" si="12">0</f>
        <v>0</v>
      </c>
      <c r="E44" s="2"/>
      <c r="F44" s="19"/>
      <c r="G44" s="2"/>
      <c r="H44" s="2">
        <f t="shared" ref="H44:H45" si="13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--382379.53</f>
        <v>382379.53</v>
      </c>
      <c r="U44" s="2"/>
      <c r="V44" s="19"/>
      <c r="W44" s="2"/>
      <c r="X44" s="2">
        <f t="shared" si="2"/>
        <v>-382379.53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"4058", " - ", "TAXABLE SALES-FOOD")</f>
        <v xml:space="preserve">          4058 - TAXABLE SALES-FOOD</v>
      </c>
      <c r="C45" s="10"/>
      <c r="D45" s="2">
        <f t="shared" si="12"/>
        <v>0</v>
      </c>
      <c r="E45" s="2"/>
      <c r="F45" s="19"/>
      <c r="G45" s="2"/>
      <c r="H45" s="2">
        <f t="shared" si="13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--974.91</f>
        <v>974.91</v>
      </c>
      <c r="Q45" s="2"/>
      <c r="R45" s="19"/>
      <c r="S45" s="2"/>
      <c r="T45" s="2">
        <f>--117077.57</f>
        <v>117077.57</v>
      </c>
      <c r="U45" s="2"/>
      <c r="V45" s="19"/>
      <c r="W45" s="2"/>
      <c r="X45" s="2">
        <f t="shared" si="2"/>
        <v>-116102.66</v>
      </c>
      <c r="Y45" s="2"/>
      <c r="Z45" s="19">
        <f t="shared" si="3"/>
        <v>-0.99167295665600164</v>
      </c>
    </row>
    <row r="46" spans="1:26" s="23" customFormat="1" hidden="1" outlineLevel="1" x14ac:dyDescent="0.25">
      <c r="A46" s="44"/>
      <c r="B46" s="10" t="str">
        <f>CONCATENATE("          ", "4081", " - ", "TAXABLE SALES-ELECTRONICS")</f>
        <v xml:space="preserve">          4081 - TAXABLE SALES-ELECTRONICS</v>
      </c>
      <c r="C46" s="10"/>
      <c r="D46" s="2">
        <f>--1857.91</f>
        <v>1857.91</v>
      </c>
      <c r="E46" s="2"/>
      <c r="F46" s="19"/>
      <c r="G46" s="2"/>
      <c r="H46" s="2">
        <f>--1256.94</f>
        <v>1256.94</v>
      </c>
      <c r="I46" s="2"/>
      <c r="J46" s="19"/>
      <c r="K46" s="2"/>
      <c r="L46" s="2">
        <f t="shared" si="0"/>
        <v>600.97</v>
      </c>
      <c r="M46" s="2"/>
      <c r="N46" s="19">
        <f t="shared" si="1"/>
        <v>0.47812146960077651</v>
      </c>
      <c r="O46" s="10"/>
      <c r="P46" s="2">
        <f>--64025.93</f>
        <v>64025.93</v>
      </c>
      <c r="Q46" s="2"/>
      <c r="R46" s="19"/>
      <c r="S46" s="2"/>
      <c r="T46" s="2">
        <f>--316334.96</f>
        <v>316334.96000000002</v>
      </c>
      <c r="U46" s="2"/>
      <c r="V46" s="19"/>
      <c r="W46" s="2"/>
      <c r="X46" s="2">
        <f t="shared" si="2"/>
        <v>-252309.03000000003</v>
      </c>
      <c r="Y46" s="2"/>
      <c r="Z46" s="19">
        <f t="shared" si="3"/>
        <v>-0.79760084057734248</v>
      </c>
    </row>
    <row r="47" spans="1:26" s="23" customFormat="1" hidden="1" outlineLevel="1" x14ac:dyDescent="0.25">
      <c r="A47" s="44"/>
      <c r="B47" s="10" t="str">
        <f>CONCATENATE("          ", "4082", " - ", "TAXABLE SALES-COMPUTER HARDWAR")</f>
        <v xml:space="preserve">          4082 - TAXABLE SALES-COMPUTER HARDWAR</v>
      </c>
      <c r="C47" s="10"/>
      <c r="D47" s="2">
        <f>--117610.99</f>
        <v>117610.99</v>
      </c>
      <c r="E47" s="2"/>
      <c r="F47" s="19"/>
      <c r="G47" s="2"/>
      <c r="H47" s="2">
        <f>--55929.1</f>
        <v>55929.1</v>
      </c>
      <c r="I47" s="2"/>
      <c r="J47" s="19"/>
      <c r="K47" s="2"/>
      <c r="L47" s="2">
        <f t="shared" si="0"/>
        <v>61681.890000000007</v>
      </c>
      <c r="M47" s="2"/>
      <c r="N47" s="19">
        <f t="shared" si="1"/>
        <v>1.1028586192161149</v>
      </c>
      <c r="O47" s="10"/>
      <c r="P47" s="2">
        <f>--2129658.62</f>
        <v>2129658.62</v>
      </c>
      <c r="Q47" s="2"/>
      <c r="R47" s="19"/>
      <c r="S47" s="2"/>
      <c r="T47" s="2">
        <f>--1982602.72</f>
        <v>1982602.72</v>
      </c>
      <c r="U47" s="2"/>
      <c r="V47" s="19"/>
      <c r="W47" s="2"/>
      <c r="X47" s="2">
        <f t="shared" si="2"/>
        <v>147055.90000000014</v>
      </c>
      <c r="Y47" s="2"/>
      <c r="Z47" s="19">
        <f t="shared" si="3"/>
        <v>7.4173155578037414E-2</v>
      </c>
    </row>
    <row r="48" spans="1:26" s="23" customFormat="1" hidden="1" outlineLevel="1" x14ac:dyDescent="0.25">
      <c r="A48" s="44"/>
      <c r="B48" s="10" t="str">
        <f>CONCATENATE("          ", "4083", " - ", "TAXABLE SALES-COMPUTER EQUIPME")</f>
        <v xml:space="preserve">          4083 - TAXABLE SALES-COMPUTER EQUIPME</v>
      </c>
      <c r="C48" s="10"/>
      <c r="D48" s="2">
        <f>--10204.05</f>
        <v>10204.049999999999</v>
      </c>
      <c r="E48" s="2"/>
      <c r="F48" s="19"/>
      <c r="G48" s="2"/>
      <c r="H48" s="2">
        <f>--2640</f>
        <v>2640</v>
      </c>
      <c r="I48" s="2"/>
      <c r="J48" s="19"/>
      <c r="K48" s="2"/>
      <c r="L48" s="2">
        <f t="shared" si="0"/>
        <v>7564.0499999999993</v>
      </c>
      <c r="M48" s="2"/>
      <c r="N48" s="19">
        <f t="shared" si="1"/>
        <v>2.8651704545454542</v>
      </c>
      <c r="O48" s="10"/>
      <c r="P48" s="2">
        <f>--137146.98</f>
        <v>137146.98000000001</v>
      </c>
      <c r="Q48" s="2"/>
      <c r="R48" s="19"/>
      <c r="S48" s="2"/>
      <c r="T48" s="2">
        <f>--106418.4</f>
        <v>106418.4</v>
      </c>
      <c r="U48" s="2"/>
      <c r="V48" s="19"/>
      <c r="W48" s="2"/>
      <c r="X48" s="2">
        <f t="shared" si="2"/>
        <v>30728.580000000016</v>
      </c>
      <c r="Y48" s="2"/>
      <c r="Z48" s="19">
        <f t="shared" si="3"/>
        <v>0.2887525089646153</v>
      </c>
    </row>
    <row r="49" spans="1:26" s="23" customFormat="1" hidden="1" outlineLevel="1" x14ac:dyDescent="0.25">
      <c r="A49" s="44"/>
      <c r="B49" s="10" t="str">
        <f>CONCATENATE("          ", "4084", " - ", "TAXABLE SALES-SOFTWARE LICENSE")</f>
        <v xml:space="preserve">          4084 - TAXABLE SALES-SOFTWARE LICENSE</v>
      </c>
      <c r="C49" s="10"/>
      <c r="D49" s="2">
        <f t="shared" ref="D49:D50" si="14"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"4085", " - ", "TAXABLE SALES-SOFTWARE")</f>
        <v xml:space="preserve">          4085 - TAXABLE SALES-SOFTWARE</v>
      </c>
      <c r="C50" s="10"/>
      <c r="D50" s="2">
        <f t="shared" si="14"/>
        <v>0</v>
      </c>
      <c r="E50" s="2"/>
      <c r="F50" s="19"/>
      <c r="G50" s="2"/>
      <c r="H50" s="2">
        <f>--20</f>
        <v>20</v>
      </c>
      <c r="I50" s="2"/>
      <c r="J50" s="19"/>
      <c r="K50" s="2"/>
      <c r="L50" s="2">
        <f t="shared" si="0"/>
        <v>-20</v>
      </c>
      <c r="M50" s="2"/>
      <c r="N50" s="19">
        <f t="shared" si="1"/>
        <v>-1</v>
      </c>
      <c r="O50" s="10"/>
      <c r="P50" s="2">
        <f>--4870.79</f>
        <v>4870.79</v>
      </c>
      <c r="Q50" s="2"/>
      <c r="R50" s="19"/>
      <c r="S50" s="2"/>
      <c r="T50" s="2">
        <f>--4587.93</f>
        <v>4587.93</v>
      </c>
      <c r="U50" s="2"/>
      <c r="V50" s="19"/>
      <c r="W50" s="2"/>
      <c r="X50" s="2">
        <f t="shared" si="2"/>
        <v>282.85999999999967</v>
      </c>
      <c r="Y50" s="2"/>
      <c r="Z50" s="19">
        <f t="shared" si="3"/>
        <v>6.165307665984434E-2</v>
      </c>
    </row>
    <row r="51" spans="1:26" s="23" customFormat="1" hidden="1" outlineLevel="1" x14ac:dyDescent="0.25">
      <c r="A51" s="44"/>
      <c r="B51" s="10" t="str">
        <f>CONCATENATE("          ", "4086", " - ", "TAXABLE SALES-COMPUTER SUPPLIE")</f>
        <v xml:space="preserve">          4086 - TAXABLE SALES-COMPUTER SUPPLIE</v>
      </c>
      <c r="C51" s="10"/>
      <c r="D51" s="2">
        <f>--1662.79</f>
        <v>1662.79</v>
      </c>
      <c r="E51" s="2"/>
      <c r="F51" s="19"/>
      <c r="G51" s="2"/>
      <c r="H51" s="2">
        <f>--357.44</f>
        <v>357.44</v>
      </c>
      <c r="I51" s="2"/>
      <c r="J51" s="19"/>
      <c r="K51" s="2"/>
      <c r="L51" s="2">
        <f t="shared" si="0"/>
        <v>1305.3499999999999</v>
      </c>
      <c r="M51" s="2"/>
      <c r="N51" s="19">
        <f t="shared" si="1"/>
        <v>3.6519415846016114</v>
      </c>
      <c r="O51" s="10"/>
      <c r="P51" s="2">
        <f>--66932.42</f>
        <v>66932.42</v>
      </c>
      <c r="Q51" s="2"/>
      <c r="R51" s="19"/>
      <c r="S51" s="2"/>
      <c r="T51" s="2">
        <f>--49529.46</f>
        <v>49529.46</v>
      </c>
      <c r="U51" s="2"/>
      <c r="V51" s="19"/>
      <c r="W51" s="2"/>
      <c r="X51" s="2">
        <f t="shared" si="2"/>
        <v>17402.96</v>
      </c>
      <c r="Y51" s="2"/>
      <c r="Z51" s="19">
        <f t="shared" si="3"/>
        <v>0.35136583358671786</v>
      </c>
    </row>
    <row r="52" spans="1:26" s="23" customFormat="1" hidden="1" outlineLevel="1" x14ac:dyDescent="0.25">
      <c r="A52" s="44"/>
      <c r="B52" s="10" t="str">
        <f>CONCATENATE("          ", "4088", " - ", "TAXABLE SALES-MUSIC")</f>
        <v xml:space="preserve">          4088 - TAXABLE SALES-MUSIC</v>
      </c>
      <c r="C52" s="10"/>
      <c r="D52" s="2">
        <f t="shared" ref="D52:D53" si="15">0</f>
        <v>0</v>
      </c>
      <c r="E52" s="2"/>
      <c r="F52" s="19"/>
      <c r="G52" s="2"/>
      <c r="H52" s="2">
        <f>--1120.94</f>
        <v>1120.94</v>
      </c>
      <c r="I52" s="2"/>
      <c r="J52" s="19"/>
      <c r="K52" s="2"/>
      <c r="L52" s="2">
        <f t="shared" si="0"/>
        <v>-1120.94</v>
      </c>
      <c r="M52" s="2"/>
      <c r="N52" s="19">
        <f t="shared" si="1"/>
        <v>-1</v>
      </c>
      <c r="O52" s="10"/>
      <c r="P52" s="2">
        <f t="shared" ref="P52:P53" si="16">0</f>
        <v>0</v>
      </c>
      <c r="Q52" s="2"/>
      <c r="R52" s="19"/>
      <c r="S52" s="2"/>
      <c r="T52" s="2">
        <f>--2795.75</f>
        <v>2795.75</v>
      </c>
      <c r="U52" s="2"/>
      <c r="V52" s="19"/>
      <c r="W52" s="2"/>
      <c r="X52" s="2">
        <f t="shared" si="2"/>
        <v>-2795.75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"4092", " - ", "TAXABLE SALES-GRAD MERCH")</f>
        <v xml:space="preserve">          4092 - TAXABLE SALES-GRAD MERCH</v>
      </c>
      <c r="C53" s="10"/>
      <c r="D53" s="2">
        <f t="shared" si="15"/>
        <v>0</v>
      </c>
      <c r="E53" s="2"/>
      <c r="F53" s="19"/>
      <c r="G53" s="2"/>
      <c r="H53" s="2">
        <f>--13527.29</f>
        <v>13527.29</v>
      </c>
      <c r="I53" s="2"/>
      <c r="J53" s="19"/>
      <c r="K53" s="2"/>
      <c r="L53" s="2">
        <f t="shared" si="0"/>
        <v>-13527.29</v>
      </c>
      <c r="M53" s="2"/>
      <c r="N53" s="19">
        <f t="shared" si="1"/>
        <v>-1</v>
      </c>
      <c r="O53" s="10"/>
      <c r="P53" s="2">
        <f t="shared" si="16"/>
        <v>0</v>
      </c>
      <c r="Q53" s="2"/>
      <c r="R53" s="19"/>
      <c r="S53" s="2"/>
      <c r="T53" s="2">
        <f>--35353.71</f>
        <v>35353.71</v>
      </c>
      <c r="U53" s="2"/>
      <c r="V53" s="19"/>
      <c r="W53" s="2"/>
      <c r="X53" s="2">
        <f t="shared" si="2"/>
        <v>-35353.71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"4095", " - ", "TAXABLE SALES-CUSTOMER SERVICE")</f>
        <v xml:space="preserve">          4095 - TAXABLE SALES-CUSTOMER SERVICE</v>
      </c>
      <c r="C54" s="10"/>
      <c r="D54" s="2">
        <f>--10891.24</f>
        <v>10891.24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10891.24</v>
      </c>
      <c r="M54" s="2"/>
      <c r="N54" s="19">
        <f t="shared" si="1"/>
        <v>0</v>
      </c>
      <c r="O54" s="10"/>
      <c r="P54" s="2">
        <f>--13925.83</f>
        <v>13925.83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13616.57</v>
      </c>
      <c r="Y54" s="2"/>
      <c r="Z54" s="19">
        <f t="shared" si="3"/>
        <v>44.029522084977039</v>
      </c>
    </row>
    <row r="55" spans="1:26" s="23" customFormat="1" hidden="1" outlineLevel="1" x14ac:dyDescent="0.25">
      <c r="A55" s="44"/>
      <c r="B55" s="10" t="str">
        <f>CONCATENATE("          ", "4100", " - ", "NON-TAXABLE SALES")</f>
        <v xml:space="preserve">          4100 - NON-TAXABLE SALES</v>
      </c>
      <c r="C55" s="10"/>
      <c r="D55" s="2">
        <f>--43179.21</f>
        <v>43179.21</v>
      </c>
      <c r="E55" s="2"/>
      <c r="F55" s="19"/>
      <c r="G55" s="2"/>
      <c r="H55" s="2">
        <f>--29622.55</f>
        <v>29622.55</v>
      </c>
      <c r="I55" s="2"/>
      <c r="J55" s="19"/>
      <c r="K55" s="2"/>
      <c r="L55" s="2">
        <f t="shared" si="0"/>
        <v>13556.66</v>
      </c>
      <c r="M55" s="2"/>
      <c r="N55" s="19">
        <f t="shared" si="1"/>
        <v>0.45764662394020772</v>
      </c>
      <c r="O55" s="10"/>
      <c r="P55" s="2">
        <f>--794570.98</f>
        <v>794570.98</v>
      </c>
      <c r="Q55" s="2"/>
      <c r="R55" s="19"/>
      <c r="S55" s="2"/>
      <c r="T55" s="2">
        <f>--1036747.02</f>
        <v>1036747.02</v>
      </c>
      <c r="U55" s="2"/>
      <c r="V55" s="19"/>
      <c r="W55" s="2"/>
      <c r="X55" s="2">
        <f t="shared" si="2"/>
        <v>-242176.04000000004</v>
      </c>
      <c r="Y55" s="2"/>
      <c r="Z55" s="19">
        <f t="shared" si="3"/>
        <v>-0.23359222194822421</v>
      </c>
    </row>
    <row r="56" spans="1:26" s="23" customFormat="1" hidden="1" outlineLevel="1" x14ac:dyDescent="0.25">
      <c r="A56" s="44"/>
      <c r="B56" s="10" t="str">
        <f>CONCATENATE("          ", "4101", " - ", "NON-TAXABLE SALES-NEW TEXT")</f>
        <v xml:space="preserve">          4101 - NON-TAXABLE SALES-NEW TEXT</v>
      </c>
      <c r="C56" s="10"/>
      <c r="D56" s="2">
        <f>--6450.33</f>
        <v>6450.33</v>
      </c>
      <c r="E56" s="2"/>
      <c r="F56" s="19"/>
      <c r="G56" s="2"/>
      <c r="H56" s="2">
        <f>--7118.9</f>
        <v>7118.9</v>
      </c>
      <c r="I56" s="2"/>
      <c r="J56" s="19"/>
      <c r="K56" s="2"/>
      <c r="L56" s="2">
        <f t="shared" si="0"/>
        <v>-668.56999999999971</v>
      </c>
      <c r="M56" s="2"/>
      <c r="N56" s="19">
        <f t="shared" si="1"/>
        <v>-9.3914790206352072E-2</v>
      </c>
      <c r="O56" s="10"/>
      <c r="P56" s="2">
        <f>--119247.07</f>
        <v>119247.07</v>
      </c>
      <c r="Q56" s="2"/>
      <c r="R56" s="19"/>
      <c r="S56" s="2"/>
      <c r="T56" s="2">
        <f>--151282.34</f>
        <v>151282.34</v>
      </c>
      <c r="U56" s="2"/>
      <c r="V56" s="19"/>
      <c r="W56" s="2"/>
      <c r="X56" s="2">
        <f t="shared" si="2"/>
        <v>-32035.26999999999</v>
      </c>
      <c r="Y56" s="2"/>
      <c r="Z56" s="19">
        <f t="shared" si="3"/>
        <v>-0.2117581602717144</v>
      </c>
    </row>
    <row r="57" spans="1:26" s="23" customFormat="1" hidden="1" outlineLevel="1" x14ac:dyDescent="0.25">
      <c r="A57" s="44"/>
      <c r="B57" s="10" t="str">
        <f>CONCATENATE("          ", "4102", " - ", "NON-TAXABLE SALES-USED TEXT")</f>
        <v xml:space="preserve">          4102 - NON-TAXABLE SALES-USED TEXT</v>
      </c>
      <c r="C57" s="10"/>
      <c r="D57" s="2">
        <f>--2343.31</f>
        <v>2343.31</v>
      </c>
      <c r="E57" s="2"/>
      <c r="F57" s="19"/>
      <c r="G57" s="2"/>
      <c r="H57" s="2">
        <f>--565.56</f>
        <v>565.55999999999995</v>
      </c>
      <c r="I57" s="2"/>
      <c r="J57" s="19"/>
      <c r="K57" s="2"/>
      <c r="L57" s="2">
        <f t="shared" si="0"/>
        <v>1777.75</v>
      </c>
      <c r="M57" s="2"/>
      <c r="N57" s="19">
        <f t="shared" si="1"/>
        <v>3.1433446495508881</v>
      </c>
      <c r="O57" s="10"/>
      <c r="P57" s="2">
        <f>--51046.73</f>
        <v>51046.73</v>
      </c>
      <c r="Q57" s="2"/>
      <c r="R57" s="19"/>
      <c r="S57" s="2"/>
      <c r="T57" s="2">
        <f>--70225.46</f>
        <v>70225.460000000006</v>
      </c>
      <c r="U57" s="2"/>
      <c r="V57" s="19"/>
      <c r="W57" s="2"/>
      <c r="X57" s="2">
        <f t="shared" si="2"/>
        <v>-19178.730000000003</v>
      </c>
      <c r="Y57" s="2"/>
      <c r="Z57" s="19">
        <f t="shared" si="3"/>
        <v>-0.2731022338621919</v>
      </c>
    </row>
    <row r="58" spans="1:26" s="23" customFormat="1" hidden="1" outlineLevel="1" x14ac:dyDescent="0.25">
      <c r="A58" s="44"/>
      <c r="B58" s="10" t="str">
        <f>CONCATENATE("          ", "4103", " - ", "NON-TAXABLE SALES-RENTAL TEXT")</f>
        <v xml:space="preserve">          4103 - NON-TAXABLE SALES-RENTAL TEXT</v>
      </c>
      <c r="C58" s="10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0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3" customFormat="1" hidden="1" outlineLevel="1" x14ac:dyDescent="0.25">
      <c r="A59" s="44"/>
      <c r="B59" s="10" t="str">
        <f>CONCATENATE("          ", "4104", " - ", "NON-TAXABLE SALES-DIGITAL TEXT")</f>
        <v xml:space="preserve">          4104 - NON-TAXABLE SALES-DIGITAL TEXT</v>
      </c>
      <c r="C59" s="10"/>
      <c r="D59" s="2">
        <f>--10484.56</f>
        <v>10484.56</v>
      </c>
      <c r="E59" s="2"/>
      <c r="F59" s="19"/>
      <c r="G59" s="2"/>
      <c r="H59" s="2">
        <f>--4949.29</f>
        <v>4949.29</v>
      </c>
      <c r="I59" s="2"/>
      <c r="J59" s="19"/>
      <c r="K59" s="2"/>
      <c r="L59" s="2">
        <f t="shared" si="0"/>
        <v>5535.2699999999995</v>
      </c>
      <c r="M59" s="2"/>
      <c r="N59" s="19">
        <f t="shared" si="1"/>
        <v>1.1183967801442227</v>
      </c>
      <c r="O59" s="10"/>
      <c r="P59" s="2">
        <f>--490887.73</f>
        <v>490887.73</v>
      </c>
      <c r="Q59" s="2"/>
      <c r="R59" s="19"/>
      <c r="S59" s="2"/>
      <c r="T59" s="2">
        <f>--531803.38</f>
        <v>531803.38</v>
      </c>
      <c r="U59" s="2"/>
      <c r="V59" s="19"/>
      <c r="W59" s="2"/>
      <c r="X59" s="2">
        <f t="shared" si="2"/>
        <v>-40915.650000000023</v>
      </c>
      <c r="Y59" s="2"/>
      <c r="Z59" s="19">
        <f t="shared" si="3"/>
        <v>-7.6937551619171776E-2</v>
      </c>
    </row>
    <row r="60" spans="1:26" s="23" customFormat="1" hidden="1" outlineLevel="1" x14ac:dyDescent="0.25">
      <c r="A60" s="44"/>
      <c r="B60" s="10" t="str">
        <f>CONCATENATE("          ", "4111", " - ", "NON-TAXABLE SALES-NO VALUE TEX")</f>
        <v xml:space="preserve">          4111 - NON-TAXABLE SALES-NO VALUE TEX</v>
      </c>
      <c r="C60" s="10"/>
      <c r="D60" s="2">
        <f t="shared" ref="D60:D65" si="17">0</f>
        <v>0</v>
      </c>
      <c r="E60" s="2"/>
      <c r="F60" s="19"/>
      <c r="G60" s="2"/>
      <c r="H60" s="2">
        <f>--340.46</f>
        <v>340.46</v>
      </c>
      <c r="I60" s="2"/>
      <c r="J60" s="19"/>
      <c r="K60" s="2"/>
      <c r="L60" s="2">
        <f t="shared" si="0"/>
        <v>-340.46</v>
      </c>
      <c r="M60" s="2"/>
      <c r="N60" s="19">
        <f t="shared" si="1"/>
        <v>-1</v>
      </c>
      <c r="O60" s="10"/>
      <c r="P60" s="2">
        <f>0</f>
        <v>0</v>
      </c>
      <c r="Q60" s="2"/>
      <c r="R60" s="19"/>
      <c r="S60" s="2"/>
      <c r="T60" s="2">
        <f>--15663.46</f>
        <v>15663.46</v>
      </c>
      <c r="U60" s="2"/>
      <c r="V60" s="19"/>
      <c r="W60" s="2"/>
      <c r="X60" s="2">
        <f t="shared" si="2"/>
        <v>-15663.46</v>
      </c>
      <c r="Y60" s="2"/>
      <c r="Z60" s="19">
        <f t="shared" si="3"/>
        <v>-1</v>
      </c>
    </row>
    <row r="61" spans="1:26" s="23" customFormat="1" hidden="1" outlineLevel="1" x14ac:dyDescent="0.25">
      <c r="A61" s="44"/>
      <c r="B61" s="10" t="str">
        <f>CONCATENATE("          ", "4113", " - ", "NON-TAXABLE SALES-TRADE BOOKS")</f>
        <v xml:space="preserve">          4113 - NON-TAXABLE SALES-TRADE BOOKS</v>
      </c>
      <c r="C61" s="10"/>
      <c r="D61" s="2">
        <f t="shared" si="17"/>
        <v>0</v>
      </c>
      <c r="E61" s="2"/>
      <c r="F61" s="19"/>
      <c r="G61" s="2"/>
      <c r="H61" s="2">
        <f>--24.24</f>
        <v>24.24</v>
      </c>
      <c r="I61" s="2"/>
      <c r="J61" s="19"/>
      <c r="K61" s="2"/>
      <c r="L61" s="2">
        <f t="shared" si="0"/>
        <v>-24.24</v>
      </c>
      <c r="M61" s="2"/>
      <c r="N61" s="19">
        <f t="shared" si="1"/>
        <v>-1</v>
      </c>
      <c r="O61" s="10"/>
      <c r="P61" s="2">
        <f>--12127.25</f>
        <v>12127.25</v>
      </c>
      <c r="Q61" s="2"/>
      <c r="R61" s="19"/>
      <c r="S61" s="2"/>
      <c r="T61" s="2">
        <f>--8266.16</f>
        <v>8266.16</v>
      </c>
      <c r="U61" s="2"/>
      <c r="V61" s="19"/>
      <c r="W61" s="2"/>
      <c r="X61" s="2">
        <f t="shared" si="2"/>
        <v>3861.09</v>
      </c>
      <c r="Y61" s="2"/>
      <c r="Z61" s="19">
        <f t="shared" si="3"/>
        <v>0.46709596717218155</v>
      </c>
    </row>
    <row r="62" spans="1:26" s="23" customFormat="1" hidden="1" outlineLevel="1" x14ac:dyDescent="0.25">
      <c r="A62" s="44"/>
      <c r="B62" s="10" t="str">
        <f>CONCATENATE("          ", "4114", " - ", "NON-TAXABLE SALES-REMAINDERS")</f>
        <v xml:space="preserve">          4114 - NON-TAXABLE SALES-REMAINDERS</v>
      </c>
      <c r="C62" s="10"/>
      <c r="D62" s="2">
        <f t="shared" si="17"/>
        <v>0</v>
      </c>
      <c r="E62" s="2"/>
      <c r="F62" s="19"/>
      <c r="G62" s="2"/>
      <c r="H62" s="2">
        <f>--3.19</f>
        <v>3.19</v>
      </c>
      <c r="I62" s="2"/>
      <c r="J62" s="19"/>
      <c r="K62" s="2"/>
      <c r="L62" s="2">
        <f t="shared" si="0"/>
        <v>-3.19</v>
      </c>
      <c r="M62" s="2"/>
      <c r="N62" s="19">
        <f t="shared" si="1"/>
        <v>-1</v>
      </c>
      <c r="O62" s="10"/>
      <c r="P62" s="2">
        <f>0</f>
        <v>0</v>
      </c>
      <c r="Q62" s="2"/>
      <c r="R62" s="19"/>
      <c r="S62" s="2"/>
      <c r="T62" s="2">
        <f>--3.19</f>
        <v>3.19</v>
      </c>
      <c r="U62" s="2"/>
      <c r="V62" s="19"/>
      <c r="W62" s="2"/>
      <c r="X62" s="2">
        <f t="shared" si="2"/>
        <v>-3.19</v>
      </c>
      <c r="Y62" s="2"/>
      <c r="Z62" s="19">
        <f t="shared" si="3"/>
        <v>-1</v>
      </c>
    </row>
    <row r="63" spans="1:26" s="23" customFormat="1" hidden="1" outlineLevel="1" x14ac:dyDescent="0.25">
      <c r="A63" s="44"/>
      <c r="B63" s="10" t="str">
        <f>CONCATENATE("          ", "4118", " - ", "NON-TAXABLE SALES-STUDY GUIDES")</f>
        <v xml:space="preserve">          4118 - NON-TAXABLE SALES-STUDY GUIDES</v>
      </c>
      <c r="C63" s="10"/>
      <c r="D63" s="2">
        <f t="shared" si="17"/>
        <v>0</v>
      </c>
      <c r="E63" s="2"/>
      <c r="F63" s="19"/>
      <c r="G63" s="2"/>
      <c r="H63" s="2">
        <f>--40</f>
        <v>40</v>
      </c>
      <c r="I63" s="2"/>
      <c r="J63" s="19"/>
      <c r="K63" s="2"/>
      <c r="L63" s="2">
        <f t="shared" si="0"/>
        <v>-40</v>
      </c>
      <c r="M63" s="2"/>
      <c r="N63" s="19">
        <f t="shared" si="1"/>
        <v>-1</v>
      </c>
      <c r="O63" s="10"/>
      <c r="P63" s="2">
        <f>--771.73</f>
        <v>771.73</v>
      </c>
      <c r="Q63" s="2"/>
      <c r="R63" s="19"/>
      <c r="S63" s="2"/>
      <c r="T63" s="2">
        <f>--115.94</f>
        <v>115.94</v>
      </c>
      <c r="U63" s="2"/>
      <c r="V63" s="19"/>
      <c r="W63" s="2"/>
      <c r="X63" s="2">
        <f t="shared" si="2"/>
        <v>655.79</v>
      </c>
      <c r="Y63" s="2"/>
      <c r="Z63" s="19">
        <f t="shared" si="3"/>
        <v>5.6562877350353631</v>
      </c>
    </row>
    <row r="64" spans="1:26" s="23" customFormat="1" hidden="1" outlineLevel="1" x14ac:dyDescent="0.25">
      <c r="A64" s="44"/>
      <c r="B64" s="10" t="str">
        <f>CONCATENATE("          ", "4125", " - ", "NON-TAXABLE SALES-TEST FORMS")</f>
        <v xml:space="preserve">          4125 - NON-TAXABLE SALES-TEST FORMS</v>
      </c>
      <c r="C64" s="10"/>
      <c r="D64" s="2">
        <f t="shared" si="17"/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0</f>
        <v>0</v>
      </c>
      <c r="Q64" s="2"/>
      <c r="R64" s="19"/>
      <c r="S64" s="2"/>
      <c r="T64" s="2">
        <f>--267.61</f>
        <v>267.61</v>
      </c>
      <c r="U64" s="2"/>
      <c r="V64" s="19"/>
      <c r="W64" s="2"/>
      <c r="X64" s="2">
        <f t="shared" si="2"/>
        <v>-267.61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"4126", " - ", "NON-TAXABLE SALES-WRITING INST")</f>
        <v xml:space="preserve">          4126 - NON-TAXABLE SALES-WRITING INST</v>
      </c>
      <c r="C65" s="10"/>
      <c r="D65" s="2">
        <f t="shared" si="17"/>
        <v>0</v>
      </c>
      <c r="E65" s="2"/>
      <c r="F65" s="19"/>
      <c r="G65" s="2"/>
      <c r="H65" s="2">
        <f>--110.56</f>
        <v>110.56</v>
      </c>
      <c r="I65" s="2"/>
      <c r="J65" s="19"/>
      <c r="K65" s="2"/>
      <c r="L65" s="2">
        <f t="shared" si="0"/>
        <v>-110.56</v>
      </c>
      <c r="M65" s="2"/>
      <c r="N65" s="19">
        <f t="shared" si="1"/>
        <v>-1</v>
      </c>
      <c r="O65" s="10"/>
      <c r="P65" s="2">
        <f>--52.68</f>
        <v>52.68</v>
      </c>
      <c r="Q65" s="2"/>
      <c r="R65" s="19"/>
      <c r="S65" s="2"/>
      <c r="T65" s="2">
        <f>--3133.42</f>
        <v>3133.42</v>
      </c>
      <c r="U65" s="2"/>
      <c r="V65" s="19"/>
      <c r="W65" s="2"/>
      <c r="X65" s="2">
        <f t="shared" si="2"/>
        <v>-3080.7400000000002</v>
      </c>
      <c r="Y65" s="2"/>
      <c r="Z65" s="19">
        <f t="shared" si="3"/>
        <v>-0.98318769906364301</v>
      </c>
    </row>
    <row r="66" spans="1:26" s="23" customFormat="1" hidden="1" outlineLevel="1" x14ac:dyDescent="0.25">
      <c r="A66" s="44"/>
      <c r="B66" s="10" t="str">
        <f>CONCATENATE("          ", "4127", " - ", "NON-TAXABLE SALES-SCHOOL SUPPL")</f>
        <v xml:space="preserve">          4127 - NON-TAXABLE SALES-SCHOOL SUPPL</v>
      </c>
      <c r="C66" s="10"/>
      <c r="D66" s="2">
        <f>--548.05</f>
        <v>548.04999999999995</v>
      </c>
      <c r="E66" s="2"/>
      <c r="F66" s="19"/>
      <c r="G66" s="2"/>
      <c r="H66" s="2">
        <f>--226.84</f>
        <v>226.84</v>
      </c>
      <c r="I66" s="2"/>
      <c r="J66" s="19"/>
      <c r="K66" s="2"/>
      <c r="L66" s="2">
        <f t="shared" si="0"/>
        <v>321.20999999999992</v>
      </c>
      <c r="M66" s="2"/>
      <c r="N66" s="19">
        <f t="shared" si="1"/>
        <v>1.4160201022747307</v>
      </c>
      <c r="O66" s="10"/>
      <c r="P66" s="2">
        <f>--7648.73</f>
        <v>7648.73</v>
      </c>
      <c r="Q66" s="2"/>
      <c r="R66" s="19"/>
      <c r="S66" s="2"/>
      <c r="T66" s="2">
        <f>--6373.71</f>
        <v>6373.71</v>
      </c>
      <c r="U66" s="2"/>
      <c r="V66" s="19"/>
      <c r="W66" s="2"/>
      <c r="X66" s="2">
        <f t="shared" si="2"/>
        <v>1275.0199999999995</v>
      </c>
      <c r="Y66" s="2"/>
      <c r="Z66" s="19">
        <f t="shared" si="3"/>
        <v>0.20004361666909845</v>
      </c>
    </row>
    <row r="67" spans="1:26" s="23" customFormat="1" hidden="1" outlineLevel="1" x14ac:dyDescent="0.25">
      <c r="A67" s="44"/>
      <c r="B67" s="10" t="str">
        <f>CONCATENATE("          ", "4128", " - ", "NON-TAXABLE SALES-ART/TECH")</f>
        <v xml:space="preserve">          4128 - NON-TAXABLE SALES-ART/TECH</v>
      </c>
      <c r="C67" s="10"/>
      <c r="D67" s="2">
        <f>--45.96</f>
        <v>45.96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45.96</v>
      </c>
      <c r="M67" s="2"/>
      <c r="N67" s="19">
        <f t="shared" si="1"/>
        <v>0</v>
      </c>
      <c r="O67" s="10"/>
      <c r="P67" s="2">
        <f>--115.91</f>
        <v>115.91</v>
      </c>
      <c r="Q67" s="2"/>
      <c r="R67" s="19"/>
      <c r="S67" s="2"/>
      <c r="T67" s="2">
        <f>--730.62</f>
        <v>730.62</v>
      </c>
      <c r="U67" s="2"/>
      <c r="V67" s="19"/>
      <c r="W67" s="2"/>
      <c r="X67" s="2">
        <f t="shared" si="2"/>
        <v>-614.71</v>
      </c>
      <c r="Y67" s="2"/>
      <c r="Z67" s="19">
        <f t="shared" si="3"/>
        <v>-0.841353918589691</v>
      </c>
    </row>
    <row r="68" spans="1:26" s="23" customFormat="1" hidden="1" outlineLevel="1" x14ac:dyDescent="0.25">
      <c r="A68" s="44"/>
      <c r="B68" s="10" t="str">
        <f>CONCATENATE("          ", "4131", " - ", "NON-TAXABLE SALES-FOOD")</f>
        <v xml:space="preserve">          4131 - NON-TAXABLE SALES-FOOD</v>
      </c>
      <c r="C68" s="10"/>
      <c r="D68" s="2">
        <f>--775.78</f>
        <v>775.78</v>
      </c>
      <c r="E68" s="2"/>
      <c r="F68" s="19"/>
      <c r="G68" s="2"/>
      <c r="H68" s="2">
        <f>--8.64</f>
        <v>8.64</v>
      </c>
      <c r="I68" s="2"/>
      <c r="J68" s="19"/>
      <c r="K68" s="2"/>
      <c r="L68" s="2">
        <f t="shared" si="0"/>
        <v>767.14</v>
      </c>
      <c r="M68" s="2"/>
      <c r="N68" s="19">
        <f t="shared" si="1"/>
        <v>88.789351851851848</v>
      </c>
      <c r="O68" s="10"/>
      <c r="P68" s="2">
        <f>--12156.14</f>
        <v>12156.14</v>
      </c>
      <c r="Q68" s="2"/>
      <c r="R68" s="19"/>
      <c r="S68" s="2"/>
      <c r="T68" s="2">
        <f>--57896.18</f>
        <v>57896.18</v>
      </c>
      <c r="U68" s="2"/>
      <c r="V68" s="19"/>
      <c r="W68" s="2"/>
      <c r="X68" s="2">
        <f t="shared" si="2"/>
        <v>-45740.04</v>
      </c>
      <c r="Y68" s="2"/>
      <c r="Z68" s="19">
        <f t="shared" si="3"/>
        <v>-0.79003554293219347</v>
      </c>
    </row>
    <row r="69" spans="1:26" s="23" customFormat="1" hidden="1" outlineLevel="1" x14ac:dyDescent="0.25">
      <c r="A69" s="44"/>
      <c r="B69" s="10" t="str">
        <f>CONCATENATE("          ", "4132", " - ", "NON-TAXABLE SALES-JUICE")</f>
        <v xml:space="preserve">          4132 - NON-TAXABLE SALES-JUICE</v>
      </c>
      <c r="C69" s="10"/>
      <c r="D69" s="2">
        <f t="shared" ref="D69:D73" si="18">0</f>
        <v>0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0"/>
      <c r="P69" s="2">
        <f>--2054.37</f>
        <v>2054.37</v>
      </c>
      <c r="Q69" s="2"/>
      <c r="R69" s="19"/>
      <c r="S69" s="2"/>
      <c r="T69" s="2">
        <f>--1109977.78</f>
        <v>1109977.78</v>
      </c>
      <c r="U69" s="2"/>
      <c r="V69" s="19"/>
      <c r="W69" s="2"/>
      <c r="X69" s="2">
        <f t="shared" si="2"/>
        <v>-1107923.4099999999</v>
      </c>
      <c r="Y69" s="2"/>
      <c r="Z69" s="19">
        <f t="shared" si="3"/>
        <v>-0.99814917916645129</v>
      </c>
    </row>
    <row r="70" spans="1:26" s="23" customFormat="1" hidden="1" outlineLevel="1" x14ac:dyDescent="0.25">
      <c r="A70" s="44"/>
      <c r="B70" s="10" t="str">
        <f>CONCATENATE("          ", "4133", " - ", "NON-TAXABLE SALES-CANDY")</f>
        <v xml:space="preserve">          4133 - NON-TAXABLE SALES-CANDY</v>
      </c>
      <c r="C70" s="10"/>
      <c r="D70" s="2">
        <f t="shared" si="18"/>
        <v>0</v>
      </c>
      <c r="E70" s="2"/>
      <c r="F70" s="19"/>
      <c r="G70" s="2"/>
      <c r="H70" s="2">
        <f>--48.27</f>
        <v>48.27</v>
      </c>
      <c r="I70" s="2"/>
      <c r="J70" s="19"/>
      <c r="K70" s="2"/>
      <c r="L70" s="2">
        <f t="shared" si="0"/>
        <v>-48.27</v>
      </c>
      <c r="M70" s="2"/>
      <c r="N70" s="19">
        <f t="shared" si="1"/>
        <v>-1</v>
      </c>
      <c r="O70" s="10"/>
      <c r="P70" s="2">
        <f>--80.71</f>
        <v>80.709999999999994</v>
      </c>
      <c r="Q70" s="2"/>
      <c r="R70" s="19"/>
      <c r="S70" s="2"/>
      <c r="T70" s="2">
        <f>--18138.32</f>
        <v>18138.32</v>
      </c>
      <c r="U70" s="2"/>
      <c r="V70" s="19"/>
      <c r="W70" s="2"/>
      <c r="X70" s="2">
        <f t="shared" si="2"/>
        <v>-18057.61</v>
      </c>
      <c r="Y70" s="2"/>
      <c r="Z70" s="19">
        <f t="shared" si="3"/>
        <v>-0.99555030454860216</v>
      </c>
    </row>
    <row r="71" spans="1:26" s="23" customFormat="1" hidden="1" outlineLevel="1" x14ac:dyDescent="0.25">
      <c r="A71" s="44"/>
      <c r="B71" s="10" t="str">
        <f>CONCATENATE("          ", "4134", " - ", "NON-TAXABLE SALES-SODA")</f>
        <v xml:space="preserve">          4134 - NON-TAXABLE SALES-SODA</v>
      </c>
      <c r="C71" s="10"/>
      <c r="D71" s="2">
        <f t="shared" si="18"/>
        <v>0</v>
      </c>
      <c r="E71" s="2"/>
      <c r="F71" s="19"/>
      <c r="G71" s="2"/>
      <c r="H71" s="2">
        <f>--23.64</f>
        <v>23.64</v>
      </c>
      <c r="I71" s="2"/>
      <c r="J71" s="19"/>
      <c r="K71" s="2"/>
      <c r="L71" s="2">
        <f t="shared" si="0"/>
        <v>-23.64</v>
      </c>
      <c r="M71" s="2"/>
      <c r="N71" s="19">
        <f t="shared" si="1"/>
        <v>-1</v>
      </c>
      <c r="O71" s="10"/>
      <c r="P71" s="2">
        <f>--45.53</f>
        <v>45.53</v>
      </c>
      <c r="Q71" s="2"/>
      <c r="R71" s="19"/>
      <c r="S71" s="2"/>
      <c r="T71" s="2">
        <f>--96.73</f>
        <v>96.73</v>
      </c>
      <c r="U71" s="2"/>
      <c r="V71" s="19"/>
      <c r="W71" s="2"/>
      <c r="X71" s="2">
        <f t="shared" si="2"/>
        <v>-51.2</v>
      </c>
      <c r="Y71" s="2"/>
      <c r="Z71" s="19">
        <f t="shared" si="3"/>
        <v>-0.52930838416210069</v>
      </c>
    </row>
    <row r="72" spans="1:26" s="23" customFormat="1" hidden="1" outlineLevel="1" x14ac:dyDescent="0.25">
      <c r="A72" s="44"/>
      <c r="B72" s="10" t="str">
        <f>CONCATENATE("          ", "4135", " - ", "NON-TAXABLE SALES")</f>
        <v xml:space="preserve">          4135 - NON-TAXABLE SALES</v>
      </c>
      <c r="C72" s="10"/>
      <c r="D72" s="2">
        <f t="shared" si="18"/>
        <v>0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0"/>
      <c r="P72" s="2">
        <f>0</f>
        <v>0</v>
      </c>
      <c r="Q72" s="2"/>
      <c r="R72" s="19"/>
      <c r="S72" s="2"/>
      <c r="T72" s="2">
        <f>--161.4</f>
        <v>161.4</v>
      </c>
      <c r="U72" s="2"/>
      <c r="V72" s="19"/>
      <c r="W72" s="2"/>
      <c r="X72" s="2">
        <f t="shared" si="2"/>
        <v>-161.4</v>
      </c>
      <c r="Y72" s="2"/>
      <c r="Z72" s="19">
        <f t="shared" si="3"/>
        <v>-1</v>
      </c>
    </row>
    <row r="73" spans="1:26" s="23" customFormat="1" hidden="1" outlineLevel="1" x14ac:dyDescent="0.25">
      <c r="A73" s="44"/>
      <c r="B73" s="10" t="str">
        <f>CONCATENATE("          ", "4137", " - ", "NON-TAXABLE SALES-WATER")</f>
        <v xml:space="preserve">          4137 - NON-TAXABLE SALES-WATER</v>
      </c>
      <c r="C73" s="10"/>
      <c r="D73" s="2">
        <f t="shared" si="18"/>
        <v>0</v>
      </c>
      <c r="E73" s="2"/>
      <c r="F73" s="19"/>
      <c r="G73" s="2"/>
      <c r="H73" s="2">
        <f>--2.24</f>
        <v>2.2400000000000002</v>
      </c>
      <c r="I73" s="2"/>
      <c r="J73" s="19"/>
      <c r="K73" s="2"/>
      <c r="L73" s="2">
        <f t="shared" si="0"/>
        <v>-2.2400000000000002</v>
      </c>
      <c r="M73" s="2"/>
      <c r="N73" s="19">
        <f t="shared" si="1"/>
        <v>-1</v>
      </c>
      <c r="O73" s="10"/>
      <c r="P73" s="2">
        <f>--68.25</f>
        <v>68.25</v>
      </c>
      <c r="Q73" s="2"/>
      <c r="R73" s="19"/>
      <c r="S73" s="2"/>
      <c r="T73" s="2">
        <f>--10094.74</f>
        <v>10094.74</v>
      </c>
      <c r="U73" s="2"/>
      <c r="V73" s="19"/>
      <c r="W73" s="2"/>
      <c r="X73" s="2">
        <f t="shared" si="2"/>
        <v>-10026.49</v>
      </c>
      <c r="Y73" s="2"/>
      <c r="Z73" s="19">
        <f t="shared" si="3"/>
        <v>-0.99323905320988948</v>
      </c>
    </row>
    <row r="74" spans="1:26" s="23" customFormat="1" hidden="1" outlineLevel="1" x14ac:dyDescent="0.25">
      <c r="A74" s="44"/>
      <c r="B74" s="10" t="str">
        <f>CONCATENATE("          ", "4140", " - ", "NON-TAXABLE SALES-LOGO CLOTHIN")</f>
        <v xml:space="preserve">          4140 - NON-TAXABLE SALES-LOGO CLOTHIN</v>
      </c>
      <c r="C74" s="10"/>
      <c r="D74" s="2">
        <f>--16733.37</f>
        <v>16733.37</v>
      </c>
      <c r="E74" s="2"/>
      <c r="F74" s="19"/>
      <c r="G74" s="2"/>
      <c r="H74" s="2">
        <f>--56556.05</f>
        <v>56556.05</v>
      </c>
      <c r="I74" s="2"/>
      <c r="J74" s="19"/>
      <c r="K74" s="2"/>
      <c r="L74" s="2">
        <f t="shared" si="0"/>
        <v>-39822.680000000008</v>
      </c>
      <c r="M74" s="2"/>
      <c r="N74" s="19">
        <f t="shared" si="1"/>
        <v>-0.70412767511168139</v>
      </c>
      <c r="O74" s="10"/>
      <c r="P74" s="2">
        <f>--171525.76</f>
        <v>171525.76000000001</v>
      </c>
      <c r="Q74" s="2"/>
      <c r="R74" s="19"/>
      <c r="S74" s="2"/>
      <c r="T74" s="2">
        <f>--135480.76</f>
        <v>135480.76</v>
      </c>
      <c r="U74" s="2"/>
      <c r="V74" s="19"/>
      <c r="W74" s="2"/>
      <c r="X74" s="2">
        <f t="shared" si="2"/>
        <v>36045</v>
      </c>
      <c r="Y74" s="2"/>
      <c r="Z74" s="19">
        <f t="shared" si="3"/>
        <v>0.26605253764445963</v>
      </c>
    </row>
    <row r="75" spans="1:26" s="23" customFormat="1" hidden="1" outlineLevel="1" x14ac:dyDescent="0.25">
      <c r="A75" s="44"/>
      <c r="B75" s="10" t="str">
        <f>CONCATENATE("          ", "4141", " - ", "NON-TAXABLE SALES-LOGO GIFTS")</f>
        <v xml:space="preserve">          4141 - NON-TAXABLE SALES-LOGO GIFTS</v>
      </c>
      <c r="C75" s="10"/>
      <c r="D75" s="2">
        <f>--2359.22</f>
        <v>2359.2199999999998</v>
      </c>
      <c r="E75" s="2"/>
      <c r="F75" s="19"/>
      <c r="G75" s="2"/>
      <c r="H75" s="2">
        <f>--4184.98</f>
        <v>4184.9799999999996</v>
      </c>
      <c r="I75" s="2"/>
      <c r="J75" s="19"/>
      <c r="K75" s="2"/>
      <c r="L75" s="2">
        <f t="shared" si="0"/>
        <v>-1825.7599999999998</v>
      </c>
      <c r="M75" s="2"/>
      <c r="N75" s="19">
        <f t="shared" si="1"/>
        <v>-0.43626492838675451</v>
      </c>
      <c r="O75" s="10"/>
      <c r="P75" s="2">
        <f>--39156.03</f>
        <v>39156.03</v>
      </c>
      <c r="Q75" s="2"/>
      <c r="R75" s="19"/>
      <c r="S75" s="2"/>
      <c r="T75" s="2">
        <f>--16960.31</f>
        <v>16960.310000000001</v>
      </c>
      <c r="U75" s="2"/>
      <c r="V75" s="19"/>
      <c r="W75" s="2"/>
      <c r="X75" s="2">
        <f t="shared" si="2"/>
        <v>22195.719999999998</v>
      </c>
      <c r="Y75" s="2"/>
      <c r="Z75" s="19">
        <f t="shared" si="3"/>
        <v>1.3086859851028665</v>
      </c>
    </row>
    <row r="76" spans="1:26" s="23" customFormat="1" hidden="1" outlineLevel="1" x14ac:dyDescent="0.25">
      <c r="A76" s="44"/>
      <c r="B76" s="10" t="str">
        <f>CONCATENATE("          ", "4142", " - ", "NON-TAXABLE SALES-EVERYDAY GIF")</f>
        <v xml:space="preserve">          4142 - NON-TAXABLE SALES-EVERYDAY GIF</v>
      </c>
      <c r="C76" s="10"/>
      <c r="D76" s="2">
        <f>--16.35</f>
        <v>16.350000000000001</v>
      </c>
      <c r="E76" s="2"/>
      <c r="F76" s="19"/>
      <c r="G76" s="2"/>
      <c r="H76" s="2">
        <f>--1204.14</f>
        <v>1204.1400000000001</v>
      </c>
      <c r="I76" s="2"/>
      <c r="J76" s="19"/>
      <c r="K76" s="2"/>
      <c r="L76" s="2">
        <f t="shared" si="0"/>
        <v>-1187.7900000000002</v>
      </c>
      <c r="M76" s="2"/>
      <c r="N76" s="19">
        <f t="shared" si="1"/>
        <v>-0.98642184463600591</v>
      </c>
      <c r="O76" s="10"/>
      <c r="P76" s="2">
        <f>--2604.45</f>
        <v>2604.4499999999998</v>
      </c>
      <c r="Q76" s="2"/>
      <c r="R76" s="19"/>
      <c r="S76" s="2"/>
      <c r="T76" s="2">
        <f>--15332.22</f>
        <v>15332.22</v>
      </c>
      <c r="U76" s="2"/>
      <c r="V76" s="19"/>
      <c r="W76" s="2"/>
      <c r="X76" s="2">
        <f t="shared" si="2"/>
        <v>-12727.77</v>
      </c>
      <c r="Y76" s="2"/>
      <c r="Z76" s="19">
        <f t="shared" si="3"/>
        <v>-0.83013223134027569</v>
      </c>
    </row>
    <row r="77" spans="1:26" s="23" customFormat="1" hidden="1" outlineLevel="1" x14ac:dyDescent="0.25">
      <c r="A77" s="44"/>
      <c r="B77" s="10" t="str">
        <f>CONCATENATE("          ", "4143", " - ", "NON-TAXABLE SALES-CARDS")</f>
        <v xml:space="preserve">          4143 - NON-TAXABLE SALES-CARDS</v>
      </c>
      <c r="C77" s="10"/>
      <c r="D77" s="2">
        <f>--120.71</f>
        <v>120.71</v>
      </c>
      <c r="E77" s="2"/>
      <c r="F77" s="19"/>
      <c r="G77" s="2"/>
      <c r="H77" s="2">
        <f>--19.98</f>
        <v>19.98</v>
      </c>
      <c r="I77" s="2"/>
      <c r="J77" s="19"/>
      <c r="K77" s="2"/>
      <c r="L77" s="2">
        <f t="shared" si="0"/>
        <v>100.72999999999999</v>
      </c>
      <c r="M77" s="2"/>
      <c r="N77" s="19">
        <f t="shared" si="1"/>
        <v>5.041541541541541</v>
      </c>
      <c r="O77" s="10"/>
      <c r="P77" s="2">
        <f>--2552.16</f>
        <v>2552.16</v>
      </c>
      <c r="Q77" s="2"/>
      <c r="R77" s="19"/>
      <c r="S77" s="2"/>
      <c r="T77" s="2">
        <f>--19.98</f>
        <v>19.98</v>
      </c>
      <c r="U77" s="2"/>
      <c r="V77" s="19"/>
      <c r="W77" s="2"/>
      <c r="X77" s="2">
        <f t="shared" si="2"/>
        <v>2532.1799999999998</v>
      </c>
      <c r="Y77" s="2"/>
      <c r="Z77" s="19">
        <f t="shared" si="3"/>
        <v>126.73573573573573</v>
      </c>
    </row>
    <row r="78" spans="1:26" s="23" customFormat="1" hidden="1" outlineLevel="1" x14ac:dyDescent="0.25">
      <c r="A78" s="44"/>
      <c r="B78" s="10" t="str">
        <f>CONCATENATE("          ", "4144", " - ", "NON-TAXABLE SALES-ACCESSORIES")</f>
        <v xml:space="preserve">          4144 - NON-TAXABLE SALES-ACCESSORIES</v>
      </c>
      <c r="C78" s="10"/>
      <c r="D78" s="2">
        <f>--164.7</f>
        <v>164.7</v>
      </c>
      <c r="E78" s="2"/>
      <c r="F78" s="19"/>
      <c r="G78" s="2"/>
      <c r="H78" s="2">
        <f>--984.35</f>
        <v>984.35</v>
      </c>
      <c r="I78" s="2"/>
      <c r="J78" s="19"/>
      <c r="K78" s="2"/>
      <c r="L78" s="2">
        <f t="shared" si="0"/>
        <v>-819.65000000000009</v>
      </c>
      <c r="M78" s="2"/>
      <c r="N78" s="19">
        <f t="shared" si="1"/>
        <v>-0.83268146492609341</v>
      </c>
      <c r="O78" s="10"/>
      <c r="P78" s="2">
        <f>--873.8</f>
        <v>873.8</v>
      </c>
      <c r="Q78" s="2"/>
      <c r="R78" s="19"/>
      <c r="S78" s="2"/>
      <c r="T78" s="2">
        <f>--3324.02</f>
        <v>3324.02</v>
      </c>
      <c r="U78" s="2"/>
      <c r="V78" s="19"/>
      <c r="W78" s="2"/>
      <c r="X78" s="2">
        <f t="shared" si="2"/>
        <v>-2450.2200000000003</v>
      </c>
      <c r="Y78" s="2"/>
      <c r="Z78" s="19">
        <f t="shared" si="3"/>
        <v>-0.737125528727264</v>
      </c>
    </row>
    <row r="79" spans="1:26" s="23" customFormat="1" hidden="1" outlineLevel="1" x14ac:dyDescent="0.25">
      <c r="A79" s="44"/>
      <c r="B79" s="10" t="str">
        <f>CONCATENATE("          ", "4145", " - ", "NON-TAXABLE SALES-SPECIAL ORDE")</f>
        <v xml:space="preserve">          4145 - NON-TAXABLE SALES-SPECIAL ORDE</v>
      </c>
      <c r="C79" s="10"/>
      <c r="D79" s="2">
        <f>0</f>
        <v>0</v>
      </c>
      <c r="E79" s="2"/>
      <c r="F79" s="19"/>
      <c r="G79" s="2"/>
      <c r="H79" s="2">
        <f>--7688.68</f>
        <v>7688.68</v>
      </c>
      <c r="I79" s="2"/>
      <c r="J79" s="19"/>
      <c r="K79" s="2"/>
      <c r="L79" s="2">
        <f t="shared" si="0"/>
        <v>-7688.68</v>
      </c>
      <c r="M79" s="2"/>
      <c r="N79" s="19">
        <f t="shared" si="1"/>
        <v>-1</v>
      </c>
      <c r="O79" s="10"/>
      <c r="P79" s="2">
        <f>--74066.89</f>
        <v>74066.89</v>
      </c>
      <c r="Q79" s="2"/>
      <c r="R79" s="19"/>
      <c r="S79" s="2"/>
      <c r="T79" s="2">
        <f>--7828.68</f>
        <v>7828.68</v>
      </c>
      <c r="U79" s="2"/>
      <c r="V79" s="19"/>
      <c r="W79" s="2"/>
      <c r="X79" s="2">
        <f t="shared" si="2"/>
        <v>66238.209999999992</v>
      </c>
      <c r="Y79" s="2"/>
      <c r="Z79" s="19">
        <f t="shared" si="3"/>
        <v>8.4609678770878354</v>
      </c>
    </row>
    <row r="80" spans="1:26" s="23" customFormat="1" hidden="1" outlineLevel="1" x14ac:dyDescent="0.25">
      <c r="A80" s="44"/>
      <c r="B80" s="10" t="str">
        <f>CONCATENATE("          ", "4146", " - ", "NON-TAXABLE SALES-COIN OP MACH")</f>
        <v xml:space="preserve">          4146 - NON-TAXABLE SALES-COIN OP MACH</v>
      </c>
      <c r="C80" s="10"/>
      <c r="D80" s="2">
        <f>--56.6</f>
        <v>56.6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56.6</v>
      </c>
      <c r="M80" s="2"/>
      <c r="N80" s="19">
        <f t="shared" si="1"/>
        <v>0</v>
      </c>
      <c r="O80" s="10"/>
      <c r="P80" s="2">
        <f>--385.9</f>
        <v>385.9</v>
      </c>
      <c r="Q80" s="2"/>
      <c r="R80" s="19"/>
      <c r="S80" s="2"/>
      <c r="T80" s="2">
        <f>--205908.65</f>
        <v>205908.65</v>
      </c>
      <c r="U80" s="2"/>
      <c r="V80" s="19"/>
      <c r="W80" s="2"/>
      <c r="X80" s="2">
        <f t="shared" si="2"/>
        <v>-205522.75</v>
      </c>
      <c r="Y80" s="2"/>
      <c r="Z80" s="19">
        <f t="shared" si="3"/>
        <v>-0.99812586795163782</v>
      </c>
    </row>
    <row r="81" spans="1:26" s="23" customFormat="1" hidden="1" outlineLevel="1" x14ac:dyDescent="0.25">
      <c r="A81" s="44"/>
      <c r="B81" s="10" t="str">
        <f>CONCATENATE("          ", "4147", " - ", "NON-TAXABLE SALES-MISC")</f>
        <v xml:space="preserve">          4147 - NON-TAXABLE SALES-MISC</v>
      </c>
      <c r="C81" s="10"/>
      <c r="D81" s="2">
        <f>--13.5</f>
        <v>13.5</v>
      </c>
      <c r="E81" s="2"/>
      <c r="F81" s="19"/>
      <c r="G81" s="2"/>
      <c r="H81" s="2">
        <f>--10</f>
        <v>10</v>
      </c>
      <c r="I81" s="2"/>
      <c r="J81" s="19"/>
      <c r="K81" s="2"/>
      <c r="L81" s="2">
        <f t="shared" si="0"/>
        <v>3.5</v>
      </c>
      <c r="M81" s="2"/>
      <c r="N81" s="19">
        <f t="shared" si="1"/>
        <v>0.35</v>
      </c>
      <c r="O81" s="10"/>
      <c r="P81" s="2">
        <f>--168</f>
        <v>168</v>
      </c>
      <c r="Q81" s="2"/>
      <c r="R81" s="19"/>
      <c r="S81" s="2"/>
      <c r="T81" s="2">
        <f>--3446.37</f>
        <v>3446.37</v>
      </c>
      <c r="U81" s="2"/>
      <c r="V81" s="19"/>
      <c r="W81" s="2"/>
      <c r="X81" s="2">
        <f t="shared" si="2"/>
        <v>-3278.37</v>
      </c>
      <c r="Y81" s="2"/>
      <c r="Z81" s="19">
        <f t="shared" si="3"/>
        <v>-0.95125305756491618</v>
      </c>
    </row>
    <row r="82" spans="1:26" s="23" customFormat="1" hidden="1" outlineLevel="1" x14ac:dyDescent="0.25">
      <c r="A82" s="44"/>
      <c r="B82" s="10" t="str">
        <f>CONCATENATE("          ", "4151", " - ", "NON-TAXABLE SALES-FOOD")</f>
        <v xml:space="preserve">          4151 - NON-TAXABLE SALES-FOOD</v>
      </c>
      <c r="C82" s="10"/>
      <c r="D82" s="2">
        <f>--54229.87</f>
        <v>54229.87</v>
      </c>
      <c r="E82" s="2"/>
      <c r="F82" s="19"/>
      <c r="G82" s="2"/>
      <c r="H82" s="2">
        <f>--125115.48</f>
        <v>125115.48</v>
      </c>
      <c r="I82" s="2"/>
      <c r="J82" s="19"/>
      <c r="K82" s="2"/>
      <c r="L82" s="2">
        <f t="shared" si="0"/>
        <v>-70885.609999999986</v>
      </c>
      <c r="M82" s="2"/>
      <c r="N82" s="19">
        <f t="shared" si="1"/>
        <v>-0.56656146785353811</v>
      </c>
      <c r="O82" s="10"/>
      <c r="P82" s="2">
        <f>--978326.99</f>
        <v>978326.99</v>
      </c>
      <c r="Q82" s="2"/>
      <c r="R82" s="19"/>
      <c r="S82" s="2"/>
      <c r="T82" s="2">
        <f>--11030696.04</f>
        <v>11030696.039999999</v>
      </c>
      <c r="U82" s="2"/>
      <c r="V82" s="19"/>
      <c r="W82" s="2"/>
      <c r="X82" s="2">
        <f t="shared" si="2"/>
        <v>-10052369.049999999</v>
      </c>
      <c r="Y82" s="2"/>
      <c r="Z82" s="19">
        <f t="shared" si="3"/>
        <v>-0.91130868020908673</v>
      </c>
    </row>
    <row r="83" spans="1:26" s="23" customFormat="1" hidden="1" outlineLevel="1" x14ac:dyDescent="0.25">
      <c r="A83" s="44"/>
      <c r="B83" s="10" t="str">
        <f>CONCATENATE("          ", "4152", " - ", "NON-TAXABLE SALES-FOOD")</f>
        <v xml:space="preserve">          4152 - NON-TAXABLE SALES-FOOD</v>
      </c>
      <c r="C83" s="10"/>
      <c r="D83" s="2">
        <f>0</f>
        <v>0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>--11580.95</f>
        <v>11580.95</v>
      </c>
      <c r="Q83" s="2"/>
      <c r="R83" s="19"/>
      <c r="S83" s="2"/>
      <c r="T83" s="2">
        <f>--51415.27</f>
        <v>51415.27</v>
      </c>
      <c r="U83" s="2"/>
      <c r="V83" s="19"/>
      <c r="W83" s="2"/>
      <c r="X83" s="2">
        <f t="shared" si="2"/>
        <v>-39834.319999999992</v>
      </c>
      <c r="Y83" s="2"/>
      <c r="Z83" s="19">
        <f t="shared" si="3"/>
        <v>-0.77475660440954597</v>
      </c>
    </row>
    <row r="84" spans="1:26" s="23" customFormat="1" hidden="1" outlineLevel="1" x14ac:dyDescent="0.25">
      <c r="A84" s="44"/>
      <c r="B84" s="10" t="str">
        <f>CONCATENATE("          ", "4153", " - ", "NON-TAXABLE SALES-FOOD")</f>
        <v xml:space="preserve">          4153 - NON-TAXABLE SALES-FOOD</v>
      </c>
      <c r="C84" s="10"/>
      <c r="D84" s="2">
        <f>--2896.04</f>
        <v>2896.04</v>
      </c>
      <c r="E84" s="2"/>
      <c r="F84" s="19"/>
      <c r="G84" s="2"/>
      <c r="H84" s="2">
        <f>-4166.46</f>
        <v>-4166.46</v>
      </c>
      <c r="I84" s="2"/>
      <c r="J84" s="19"/>
      <c r="K84" s="2"/>
      <c r="L84" s="2">
        <f t="shared" si="0"/>
        <v>7062.5</v>
      </c>
      <c r="M84" s="2"/>
      <c r="N84" s="19">
        <f t="shared" si="1"/>
        <v>-1.695084076170178</v>
      </c>
      <c r="O84" s="10"/>
      <c r="P84" s="2">
        <f>--50734.77</f>
        <v>50734.77</v>
      </c>
      <c r="Q84" s="2"/>
      <c r="R84" s="19"/>
      <c r="S84" s="2"/>
      <c r="T84" s="2">
        <f>--312266.22</f>
        <v>312266.21999999997</v>
      </c>
      <c r="U84" s="2"/>
      <c r="V84" s="19"/>
      <c r="W84" s="2"/>
      <c r="X84" s="2">
        <f t="shared" si="2"/>
        <v>-261531.44999999998</v>
      </c>
      <c r="Y84" s="2"/>
      <c r="Z84" s="19">
        <f t="shared" si="3"/>
        <v>-0.83752719074128479</v>
      </c>
    </row>
    <row r="85" spans="1:26" s="23" customFormat="1" hidden="1" outlineLevel="1" x14ac:dyDescent="0.25">
      <c r="A85" s="44"/>
      <c r="B85" s="10" t="str">
        <f>CONCATENATE("          ", "4155", " - ", "NON-TAXABLE SALES-FOOD")</f>
        <v xml:space="preserve">          4155 - NON-TAXABLE SALES-FOOD</v>
      </c>
      <c r="C85" s="10"/>
      <c r="D85" s="2">
        <f t="shared" ref="D85:D87" si="19">0</f>
        <v>0</v>
      </c>
      <c r="E85" s="2"/>
      <c r="F85" s="19"/>
      <c r="G85" s="2"/>
      <c r="H85" s="2">
        <f t="shared" ref="H85:H86" si="20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 t="shared" ref="P85:P87" si="21">0</f>
        <v>0</v>
      </c>
      <c r="Q85" s="2"/>
      <c r="R85" s="19"/>
      <c r="S85" s="2"/>
      <c r="T85" s="2">
        <f>--691123.63</f>
        <v>691123.63</v>
      </c>
      <c r="U85" s="2"/>
      <c r="V85" s="19"/>
      <c r="W85" s="2"/>
      <c r="X85" s="2">
        <f t="shared" si="2"/>
        <v>-691123.63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"4158", " - ", "NON-TAXABLE SALES-FOOD")</f>
        <v xml:space="preserve">          4158 - NON-TAXABLE SALES-FOOD</v>
      </c>
      <c r="C86" s="10"/>
      <c r="D86" s="2">
        <f t="shared" si="19"/>
        <v>0</v>
      </c>
      <c r="E86" s="2"/>
      <c r="F86" s="19"/>
      <c r="G86" s="2"/>
      <c r="H86" s="2">
        <f t="shared" si="20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 t="shared" si="21"/>
        <v>0</v>
      </c>
      <c r="Q86" s="2"/>
      <c r="R86" s="19"/>
      <c r="S86" s="2"/>
      <c r="T86" s="2">
        <f>--474853.67</f>
        <v>474853.67</v>
      </c>
      <c r="U86" s="2"/>
      <c r="V86" s="19"/>
      <c r="W86" s="2"/>
      <c r="X86" s="2">
        <f t="shared" si="2"/>
        <v>-474853.67</v>
      </c>
      <c r="Y86" s="2"/>
      <c r="Z86" s="19">
        <f t="shared" si="3"/>
        <v>-1</v>
      </c>
    </row>
    <row r="87" spans="1:26" s="23" customFormat="1" hidden="1" outlineLevel="1" x14ac:dyDescent="0.25">
      <c r="A87" s="44"/>
      <c r="B87" s="10" t="str">
        <f>CONCATENATE("          ", "4159", " - ", "NON-TAXABLE SALES-FOOD")</f>
        <v xml:space="preserve">          4159 - NON-TAXABLE SALES-FOOD</v>
      </c>
      <c r="C87" s="10"/>
      <c r="D87" s="2">
        <f t="shared" si="19"/>
        <v>0</v>
      </c>
      <c r="E87" s="2"/>
      <c r="F87" s="19"/>
      <c r="G87" s="2"/>
      <c r="H87" s="2">
        <f>--383.7</f>
        <v>383.7</v>
      </c>
      <c r="I87" s="2"/>
      <c r="J87" s="19"/>
      <c r="K87" s="2"/>
      <c r="L87" s="2">
        <f t="shared" si="0"/>
        <v>-383.7</v>
      </c>
      <c r="M87" s="2"/>
      <c r="N87" s="19">
        <f t="shared" si="1"/>
        <v>-1</v>
      </c>
      <c r="O87" s="10"/>
      <c r="P87" s="2">
        <f t="shared" si="21"/>
        <v>0</v>
      </c>
      <c r="Q87" s="2"/>
      <c r="R87" s="19"/>
      <c r="S87" s="2"/>
      <c r="T87" s="2">
        <f>--383.7</f>
        <v>383.7</v>
      </c>
      <c r="U87" s="2"/>
      <c r="V87" s="19"/>
      <c r="W87" s="2"/>
      <c r="X87" s="2">
        <f t="shared" si="2"/>
        <v>-383.7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"4181", " - ", "NON-TAXABLE SALES-ELECTRONICS")</f>
        <v xml:space="preserve">          4181 - NON-TAXABLE SALES-ELECTRONICS</v>
      </c>
      <c r="C88" s="10"/>
      <c r="D88" s="2">
        <f>--1779.96</f>
        <v>1779.96</v>
      </c>
      <c r="E88" s="2"/>
      <c r="F88" s="19"/>
      <c r="G88" s="2"/>
      <c r="H88" s="2">
        <f>--424.46</f>
        <v>424.46</v>
      </c>
      <c r="I88" s="2"/>
      <c r="J88" s="19"/>
      <c r="K88" s="2"/>
      <c r="L88" s="2">
        <f t="shared" si="0"/>
        <v>1355.5</v>
      </c>
      <c r="M88" s="2"/>
      <c r="N88" s="19">
        <f t="shared" si="1"/>
        <v>3.1934693492908637</v>
      </c>
      <c r="O88" s="10"/>
      <c r="P88" s="2">
        <f>--14288.58</f>
        <v>14288.58</v>
      </c>
      <c r="Q88" s="2"/>
      <c r="R88" s="19"/>
      <c r="S88" s="2"/>
      <c r="T88" s="2">
        <f>--2657.79</f>
        <v>2657.79</v>
      </c>
      <c r="U88" s="2"/>
      <c r="V88" s="19"/>
      <c r="W88" s="2"/>
      <c r="X88" s="2">
        <f t="shared" si="2"/>
        <v>11630.79</v>
      </c>
      <c r="Y88" s="2"/>
      <c r="Z88" s="19">
        <f t="shared" si="3"/>
        <v>4.3761132369374556</v>
      </c>
    </row>
    <row r="89" spans="1:26" s="23" customFormat="1" hidden="1" outlineLevel="1" x14ac:dyDescent="0.25">
      <c r="A89" s="44"/>
      <c r="B89" s="10" t="str">
        <f>CONCATENATE("          ", "4182", " - ", "NON-TAXABLE SALES-COMPUTER HAR")</f>
        <v xml:space="preserve">          4182 - NON-TAXABLE SALES-COMPUTER HAR</v>
      </c>
      <c r="C89" s="10"/>
      <c r="D89" s="2">
        <f>--33038.75</f>
        <v>33038.75</v>
      </c>
      <c r="E89" s="2"/>
      <c r="F89" s="19"/>
      <c r="G89" s="2"/>
      <c r="H89" s="2">
        <f>--28134.6</f>
        <v>28134.6</v>
      </c>
      <c r="I89" s="2"/>
      <c r="J89" s="19"/>
      <c r="K89" s="2"/>
      <c r="L89" s="2">
        <f t="shared" si="0"/>
        <v>4904.1500000000015</v>
      </c>
      <c r="M89" s="2"/>
      <c r="N89" s="19">
        <f t="shared" si="1"/>
        <v>0.17431027986891592</v>
      </c>
      <c r="O89" s="10"/>
      <c r="P89" s="2">
        <f>--347529.22</f>
        <v>347529.22</v>
      </c>
      <c r="Q89" s="2"/>
      <c r="R89" s="19"/>
      <c r="S89" s="2"/>
      <c r="T89" s="2">
        <f>--176201.54</f>
        <v>176201.54</v>
      </c>
      <c r="U89" s="2"/>
      <c r="V89" s="19"/>
      <c r="W89" s="2"/>
      <c r="X89" s="2">
        <f t="shared" si="2"/>
        <v>171327.67999999996</v>
      </c>
      <c r="Y89" s="2"/>
      <c r="Z89" s="19">
        <f t="shared" si="3"/>
        <v>0.97233928829452887</v>
      </c>
    </row>
    <row r="90" spans="1:26" s="23" customFormat="1" hidden="1" outlineLevel="1" x14ac:dyDescent="0.25">
      <c r="A90" s="44"/>
      <c r="B90" s="10" t="str">
        <f>CONCATENATE("          ", "4183", " - ", "NON-TAXABLE SALES-COMPUTER EQU")</f>
        <v xml:space="preserve">          4183 - NON-TAXABLE SALES-COMPUTER EQU</v>
      </c>
      <c r="C90" s="10"/>
      <c r="D90" s="2">
        <f>--2959.73</f>
        <v>2959.73</v>
      </c>
      <c r="E90" s="2"/>
      <c r="F90" s="19"/>
      <c r="G90" s="2"/>
      <c r="H90" s="2">
        <f>--1895.54</f>
        <v>1895.54</v>
      </c>
      <c r="I90" s="2"/>
      <c r="J90" s="19"/>
      <c r="K90" s="2"/>
      <c r="L90" s="2">
        <f t="shared" si="0"/>
        <v>1064.19</v>
      </c>
      <c r="M90" s="2"/>
      <c r="N90" s="19">
        <f t="shared" si="1"/>
        <v>0.56141785454276882</v>
      </c>
      <c r="O90" s="10"/>
      <c r="P90" s="2">
        <f>--22445.75</f>
        <v>22445.75</v>
      </c>
      <c r="Q90" s="2"/>
      <c r="R90" s="19"/>
      <c r="S90" s="2"/>
      <c r="T90" s="2">
        <f>--11427.56</f>
        <v>11427.56</v>
      </c>
      <c r="U90" s="2"/>
      <c r="V90" s="19"/>
      <c r="W90" s="2"/>
      <c r="X90" s="2">
        <f t="shared" si="2"/>
        <v>11018.19</v>
      </c>
      <c r="Y90" s="2"/>
      <c r="Z90" s="19">
        <f t="shared" si="3"/>
        <v>0.96417695466048758</v>
      </c>
    </row>
    <row r="91" spans="1:26" s="23" customFormat="1" hidden="1" outlineLevel="1" x14ac:dyDescent="0.25">
      <c r="A91" s="44"/>
      <c r="B91" s="10" t="str">
        <f>CONCATENATE("          ", "4184", " - ", "NON-TAXABLE SALES-SOFTWARE LIC")</f>
        <v xml:space="preserve">          4184 - NON-TAXABLE SALES-SOFTWARE LIC</v>
      </c>
      <c r="C91" s="10"/>
      <c r="D91" s="2">
        <f>0</f>
        <v>0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>0</f>
        <v>0</v>
      </c>
      <c r="Q91" s="2"/>
      <c r="R91" s="19"/>
      <c r="S91" s="2"/>
      <c r="T91" s="2">
        <f>--2728</f>
        <v>2728</v>
      </c>
      <c r="U91" s="2"/>
      <c r="V91" s="19"/>
      <c r="W91" s="2"/>
      <c r="X91" s="2">
        <f t="shared" si="2"/>
        <v>-2728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"4185", " - ", "NON-TAXABLE SALES-SOFTWARE")</f>
        <v xml:space="preserve">          4185 - NON-TAXABLE SALES-SOFTWARE</v>
      </c>
      <c r="C92" s="10"/>
      <c r="D92" s="2">
        <f>--5925.22</f>
        <v>5925.22</v>
      </c>
      <c r="E92" s="2"/>
      <c r="F92" s="19"/>
      <c r="G92" s="2"/>
      <c r="H92" s="2">
        <f>--4176.74</f>
        <v>4176.74</v>
      </c>
      <c r="I92" s="2"/>
      <c r="J92" s="19"/>
      <c r="K92" s="2"/>
      <c r="L92" s="2">
        <f t="shared" si="0"/>
        <v>1748.4800000000005</v>
      </c>
      <c r="M92" s="2"/>
      <c r="N92" s="19">
        <f t="shared" si="1"/>
        <v>0.41862313670470286</v>
      </c>
      <c r="O92" s="10"/>
      <c r="P92" s="2">
        <f>--55957.61</f>
        <v>55957.61</v>
      </c>
      <c r="Q92" s="2"/>
      <c r="R92" s="19"/>
      <c r="S92" s="2"/>
      <c r="T92" s="2">
        <f>--20524.35</f>
        <v>20524.349999999999</v>
      </c>
      <c r="U92" s="2"/>
      <c r="V92" s="19"/>
      <c r="W92" s="2"/>
      <c r="X92" s="2">
        <f t="shared" si="2"/>
        <v>35433.26</v>
      </c>
      <c r="Y92" s="2"/>
      <c r="Z92" s="19">
        <f t="shared" si="3"/>
        <v>1.7264010796931453</v>
      </c>
    </row>
    <row r="93" spans="1:26" s="23" customFormat="1" hidden="1" outlineLevel="1" x14ac:dyDescent="0.25">
      <c r="A93" s="44"/>
      <c r="B93" s="10" t="str">
        <f>CONCATENATE("          ", "4186", " - ", "NON-TAXABLE SALES-COMPUTER SUP")</f>
        <v xml:space="preserve">          4186 - NON-TAXABLE SALES-COMPUTER SUP</v>
      </c>
      <c r="C93" s="10"/>
      <c r="D93" s="2">
        <f>--133.97</f>
        <v>133.97</v>
      </c>
      <c r="E93" s="2"/>
      <c r="F93" s="19"/>
      <c r="G93" s="2"/>
      <c r="H93" s="2">
        <f>--85.95</f>
        <v>85.95</v>
      </c>
      <c r="I93" s="2"/>
      <c r="J93" s="19"/>
      <c r="K93" s="2"/>
      <c r="L93" s="2">
        <f t="shared" si="0"/>
        <v>48.019999999999996</v>
      </c>
      <c r="M93" s="2"/>
      <c r="N93" s="19">
        <f t="shared" si="1"/>
        <v>0.55869691681209999</v>
      </c>
      <c r="O93" s="10"/>
      <c r="P93" s="2">
        <f>--3479.14</f>
        <v>3479.14</v>
      </c>
      <c r="Q93" s="2"/>
      <c r="R93" s="19"/>
      <c r="S93" s="2"/>
      <c r="T93" s="2">
        <f>--2895.11</f>
        <v>2895.11</v>
      </c>
      <c r="U93" s="2"/>
      <c r="V93" s="19"/>
      <c r="W93" s="2"/>
      <c r="X93" s="2">
        <f t="shared" si="2"/>
        <v>584.02999999999975</v>
      </c>
      <c r="Y93" s="2"/>
      <c r="Z93" s="19">
        <f t="shared" si="3"/>
        <v>0.20172981337496665</v>
      </c>
    </row>
    <row r="94" spans="1:26" s="23" customFormat="1" hidden="1" outlineLevel="1" x14ac:dyDescent="0.25">
      <c r="A94" s="44"/>
      <c r="B94" s="10" t="str">
        <f>CONCATENATE("          ", "4188", " - ", "NON-TAXABLE SALES-MUSIC")</f>
        <v xml:space="preserve">          4188 - NON-TAXABLE SALES-MUSIC</v>
      </c>
      <c r="C94" s="10"/>
      <c r="D94" s="2">
        <f t="shared" ref="D94:D95" si="22">0</f>
        <v>0</v>
      </c>
      <c r="E94" s="2"/>
      <c r="F94" s="19"/>
      <c r="G94" s="2"/>
      <c r="H94" s="2">
        <f>--123.98</f>
        <v>123.98</v>
      </c>
      <c r="I94" s="2"/>
      <c r="J94" s="19"/>
      <c r="K94" s="2"/>
      <c r="L94" s="2">
        <f t="shared" si="0"/>
        <v>-123.98</v>
      </c>
      <c r="M94" s="2"/>
      <c r="N94" s="19">
        <f t="shared" si="1"/>
        <v>-1</v>
      </c>
      <c r="O94" s="10"/>
      <c r="P94" s="2">
        <f t="shared" ref="P94:P95" si="23">0</f>
        <v>0</v>
      </c>
      <c r="Q94" s="2"/>
      <c r="R94" s="19"/>
      <c r="S94" s="2"/>
      <c r="T94" s="2">
        <f>--343.94</f>
        <v>343.94</v>
      </c>
      <c r="U94" s="2"/>
      <c r="V94" s="19"/>
      <c r="W94" s="2"/>
      <c r="X94" s="2">
        <f t="shared" si="2"/>
        <v>-343.94</v>
      </c>
      <c r="Y94" s="2"/>
      <c r="Z94" s="19">
        <f t="shared" si="3"/>
        <v>-1</v>
      </c>
    </row>
    <row r="95" spans="1:26" s="23" customFormat="1" hidden="1" outlineLevel="1" x14ac:dyDescent="0.25">
      <c r="A95" s="44"/>
      <c r="B95" s="10" t="str">
        <f>CONCATENATE("          ", "4192", " - ", "NON-TAXABLE SALES-GRAD MERCH")</f>
        <v xml:space="preserve">          4192 - NON-TAXABLE SALES-GRAD MERCH</v>
      </c>
      <c r="C95" s="10"/>
      <c r="D95" s="2">
        <f t="shared" si="22"/>
        <v>0</v>
      </c>
      <c r="E95" s="2"/>
      <c r="F95" s="19"/>
      <c r="G95" s="2"/>
      <c r="H95" s="2">
        <f>--119.4</f>
        <v>119.4</v>
      </c>
      <c r="I95" s="2"/>
      <c r="J95" s="19"/>
      <c r="K95" s="2"/>
      <c r="L95" s="2">
        <f t="shared" si="0"/>
        <v>-119.4</v>
      </c>
      <c r="M95" s="2"/>
      <c r="N95" s="19">
        <f t="shared" si="1"/>
        <v>-1</v>
      </c>
      <c r="O95" s="10"/>
      <c r="P95" s="2">
        <f t="shared" si="23"/>
        <v>0</v>
      </c>
      <c r="Q95" s="2"/>
      <c r="R95" s="19"/>
      <c r="S95" s="2"/>
      <c r="T95" s="2">
        <f>--119.4</f>
        <v>119.4</v>
      </c>
      <c r="U95" s="2"/>
      <c r="V95" s="19"/>
      <c r="W95" s="2"/>
      <c r="X95" s="2">
        <f t="shared" si="2"/>
        <v>-119.4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"4201", " - ", "SALES RETURN TAXABLE-NEW TEXT")</f>
        <v xml:space="preserve">          4201 - SALES RETURN TAXABLE-NEW TEXT</v>
      </c>
      <c r="C96" s="10"/>
      <c r="D96" s="2">
        <f>-658.4</f>
        <v>-658.4</v>
      </c>
      <c r="E96" s="2"/>
      <c r="F96" s="19"/>
      <c r="G96" s="2"/>
      <c r="H96" s="2">
        <f>-228.6</f>
        <v>-228.6</v>
      </c>
      <c r="I96" s="2"/>
      <c r="J96" s="19"/>
      <c r="K96" s="2"/>
      <c r="L96" s="2">
        <f t="shared" si="0"/>
        <v>-429.79999999999995</v>
      </c>
      <c r="M96" s="2"/>
      <c r="N96" s="19">
        <f t="shared" si="1"/>
        <v>1.8801399825021872</v>
      </c>
      <c r="O96" s="10"/>
      <c r="P96" s="2">
        <f>-52296.42</f>
        <v>-52296.42</v>
      </c>
      <c r="Q96" s="2"/>
      <c r="R96" s="19"/>
      <c r="S96" s="2"/>
      <c r="T96" s="2">
        <f>-121451.61</f>
        <v>-121451.61</v>
      </c>
      <c r="U96" s="2"/>
      <c r="V96" s="19"/>
      <c r="W96" s="2"/>
      <c r="X96" s="2">
        <f t="shared" si="2"/>
        <v>69155.19</v>
      </c>
      <c r="Y96" s="2"/>
      <c r="Z96" s="19">
        <f t="shared" si="3"/>
        <v>-0.56940529647980787</v>
      </c>
    </row>
    <row r="97" spans="1:26" s="23" customFormat="1" hidden="1" outlineLevel="1" x14ac:dyDescent="0.25">
      <c r="A97" s="44"/>
      <c r="B97" s="10" t="str">
        <f>CONCATENATE("          ", "4202", " - ", "SALES RETURN TAXABLE-USED TEXT")</f>
        <v xml:space="preserve">          4202 - SALES RETURN TAXABLE-USED TEXT</v>
      </c>
      <c r="C97" s="10"/>
      <c r="D97" s="2">
        <f>-359.4</f>
        <v>-359.4</v>
      </c>
      <c r="E97" s="2"/>
      <c r="F97" s="19"/>
      <c r="G97" s="2"/>
      <c r="H97" s="2">
        <f>-60.4</f>
        <v>-60.4</v>
      </c>
      <c r="I97" s="2"/>
      <c r="J97" s="19"/>
      <c r="K97" s="2"/>
      <c r="L97" s="2">
        <f t="shared" si="0"/>
        <v>-299</v>
      </c>
      <c r="M97" s="2"/>
      <c r="N97" s="19">
        <f t="shared" si="1"/>
        <v>4.9503311258278151</v>
      </c>
      <c r="O97" s="10"/>
      <c r="P97" s="2">
        <f>-20455.66</f>
        <v>-20455.66</v>
      </c>
      <c r="Q97" s="2"/>
      <c r="R97" s="19"/>
      <c r="S97" s="2"/>
      <c r="T97" s="2">
        <f>-45613.11</f>
        <v>-45613.11</v>
      </c>
      <c r="U97" s="2"/>
      <c r="V97" s="19"/>
      <c r="W97" s="2"/>
      <c r="X97" s="2">
        <f t="shared" si="2"/>
        <v>25157.45</v>
      </c>
      <c r="Y97" s="2"/>
      <c r="Z97" s="19">
        <f t="shared" si="3"/>
        <v>-0.55153989719183805</v>
      </c>
    </row>
    <row r="98" spans="1:26" s="23" customFormat="1" hidden="1" outlineLevel="1" x14ac:dyDescent="0.25">
      <c r="A98" s="44"/>
      <c r="B98" s="10" t="str">
        <f>CONCATENATE("          ", "4203", " - ", "SALES RETURN TAXABLE-RENTAL TE")</f>
        <v xml:space="preserve">          4203 - SALES RETURN TAXABLE-RENTAL TE</v>
      </c>
      <c r="C98" s="10"/>
      <c r="D98" s="2">
        <f t="shared" ref="D98:D99" si="24">0</f>
        <v>0</v>
      </c>
      <c r="E98" s="2"/>
      <c r="F98" s="19"/>
      <c r="G98" s="2"/>
      <c r="H98" s="2">
        <f t="shared" ref="H98:H103" si="25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>0</f>
        <v>0</v>
      </c>
      <c r="Q98" s="2"/>
      <c r="R98" s="19"/>
      <c r="S98" s="2"/>
      <c r="T98" s="2">
        <f>-144.99</f>
        <v>-144.99</v>
      </c>
      <c r="U98" s="2"/>
      <c r="V98" s="19"/>
      <c r="W98" s="2"/>
      <c r="X98" s="2">
        <f t="shared" si="2"/>
        <v>144.99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"4204", " - ", "SALES RETURN TAXABLE-DIGITAL T")</f>
        <v xml:space="preserve">          4204 - SALES RETURN TAXABLE-DIGITAL T</v>
      </c>
      <c r="C99" s="10"/>
      <c r="D99" s="2">
        <f t="shared" si="24"/>
        <v>0</v>
      </c>
      <c r="E99" s="2"/>
      <c r="F99" s="19"/>
      <c r="G99" s="2"/>
      <c r="H99" s="2">
        <f t="shared" si="25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>-1763.1</f>
        <v>-1763.1</v>
      </c>
      <c r="Q99" s="2"/>
      <c r="R99" s="19"/>
      <c r="S99" s="2"/>
      <c r="T99" s="2">
        <f>-17255.33</f>
        <v>-17255.330000000002</v>
      </c>
      <c r="U99" s="2"/>
      <c r="V99" s="19"/>
      <c r="W99" s="2"/>
      <c r="X99" s="2">
        <f t="shared" si="2"/>
        <v>15492.230000000001</v>
      </c>
      <c r="Y99" s="2"/>
      <c r="Z99" s="19">
        <f t="shared" si="3"/>
        <v>-0.89782287559843832</v>
      </c>
    </row>
    <row r="100" spans="1:26" s="23" customFormat="1" hidden="1" outlineLevel="1" x14ac:dyDescent="0.25">
      <c r="A100" s="44"/>
      <c r="B100" s="10" t="str">
        <f>CONCATENATE("          ", "4213", " - ", "NON-TAXABLE SALES-TRADE BOOKS")</f>
        <v xml:space="preserve">          4213 - NON-TAXABLE SALES-TRADE BOOKS</v>
      </c>
      <c r="C100" s="10"/>
      <c r="D100" s="2">
        <f>-8.99</f>
        <v>-8.99</v>
      </c>
      <c r="E100" s="2"/>
      <c r="F100" s="19"/>
      <c r="G100" s="2"/>
      <c r="H100" s="2">
        <f t="shared" si="25"/>
        <v>0</v>
      </c>
      <c r="I100" s="2"/>
      <c r="J100" s="19"/>
      <c r="K100" s="2"/>
      <c r="L100" s="2">
        <f t="shared" si="0"/>
        <v>-8.99</v>
      </c>
      <c r="M100" s="2"/>
      <c r="N100" s="19">
        <f t="shared" si="1"/>
        <v>0</v>
      </c>
      <c r="O100" s="10"/>
      <c r="P100" s="2">
        <f>-78.92</f>
        <v>-78.92</v>
      </c>
      <c r="Q100" s="2"/>
      <c r="R100" s="19"/>
      <c r="S100" s="2"/>
      <c r="T100" s="2">
        <f>-2768.67</f>
        <v>-2768.67</v>
      </c>
      <c r="U100" s="2"/>
      <c r="V100" s="19"/>
      <c r="W100" s="2"/>
      <c r="X100" s="2">
        <f t="shared" si="2"/>
        <v>2689.75</v>
      </c>
      <c r="Y100" s="2"/>
      <c r="Z100" s="19">
        <f t="shared" si="3"/>
        <v>-0.97149533891724182</v>
      </c>
    </row>
    <row r="101" spans="1:26" s="23" customFormat="1" hidden="1" outlineLevel="1" x14ac:dyDescent="0.25">
      <c r="A101" s="44"/>
      <c r="B101" s="10" t="str">
        <f>CONCATENATE("          ", "4214", " - ", "SALES RETURN TAXABLE-REMAINDER")</f>
        <v xml:space="preserve">          4214 - SALES RETURN TAXABLE-REMAINDER</v>
      </c>
      <c r="C101" s="10"/>
      <c r="D101" s="2">
        <f t="shared" ref="D101:D104" si="26">0</f>
        <v>0</v>
      </c>
      <c r="E101" s="2"/>
      <c r="F101" s="19"/>
      <c r="G101" s="2"/>
      <c r="H101" s="2">
        <f t="shared" si="25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 t="shared" ref="P101:P102" si="27">0</f>
        <v>0</v>
      </c>
      <c r="Q101" s="2"/>
      <c r="R101" s="19"/>
      <c r="S101" s="2"/>
      <c r="T101" s="2">
        <f>-11.94</f>
        <v>-11.94</v>
      </c>
      <c r="U101" s="2"/>
      <c r="V101" s="19"/>
      <c r="W101" s="2"/>
      <c r="X101" s="2">
        <f t="shared" si="2"/>
        <v>11.94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"4217", " - ", "NON-TAXABLE SALES-DORM/HOUSEWA")</f>
        <v xml:space="preserve">          4217 - NON-TAXABLE SALES-DORM/HOUSEWA</v>
      </c>
      <c r="C102" s="10"/>
      <c r="D102" s="2">
        <f t="shared" si="26"/>
        <v>0</v>
      </c>
      <c r="E102" s="2"/>
      <c r="F102" s="19"/>
      <c r="G102" s="2"/>
      <c r="H102" s="2">
        <f t="shared" si="25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 t="shared" si="27"/>
        <v>0</v>
      </c>
      <c r="Q102" s="2"/>
      <c r="R102" s="19"/>
      <c r="S102" s="2"/>
      <c r="T102" s="2">
        <f>-2.98</f>
        <v>-2.98</v>
      </c>
      <c r="U102" s="2"/>
      <c r="V102" s="19"/>
      <c r="W102" s="2"/>
      <c r="X102" s="2">
        <f t="shared" si="2"/>
        <v>2.98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"4218", " - ", "SALES RETURN TAXABLE-STUDY GUI")</f>
        <v xml:space="preserve">          4218 - SALES RETURN TAXABLE-STUDY GUI</v>
      </c>
      <c r="C103" s="10"/>
      <c r="D103" s="2">
        <f t="shared" si="26"/>
        <v>0</v>
      </c>
      <c r="E103" s="2"/>
      <c r="F103" s="19"/>
      <c r="G103" s="2"/>
      <c r="H103" s="2">
        <f t="shared" si="25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>-5.21</f>
        <v>-5.21</v>
      </c>
      <c r="Q103" s="2"/>
      <c r="R103" s="19"/>
      <c r="S103" s="2"/>
      <c r="T103" s="2">
        <f>-39.25</f>
        <v>-39.25</v>
      </c>
      <c r="U103" s="2"/>
      <c r="V103" s="19"/>
      <c r="W103" s="2"/>
      <c r="X103" s="2">
        <f t="shared" si="2"/>
        <v>34.04</v>
      </c>
      <c r="Y103" s="2"/>
      <c r="Z103" s="19">
        <f t="shared" si="3"/>
        <v>-0.86726114649681529</v>
      </c>
    </row>
    <row r="104" spans="1:26" s="23" customFormat="1" hidden="1" outlineLevel="1" x14ac:dyDescent="0.25">
      <c r="A104" s="44"/>
      <c r="B104" s="10" t="str">
        <f>CONCATENATE("          ", "4225", " - ", "SALES RETURN TAXABLE-TEST FORM")</f>
        <v xml:space="preserve">          4225 - SALES RETURN TAXABLE-TEST FORM</v>
      </c>
      <c r="C104" s="10"/>
      <c r="D104" s="2">
        <f t="shared" si="26"/>
        <v>0</v>
      </c>
      <c r="E104" s="2"/>
      <c r="F104" s="19"/>
      <c r="G104" s="2"/>
      <c r="H104" s="2">
        <f>-29.5</f>
        <v>-29.5</v>
      </c>
      <c r="I104" s="2"/>
      <c r="J104" s="19"/>
      <c r="K104" s="2"/>
      <c r="L104" s="2">
        <f t="shared" si="0"/>
        <v>29.5</v>
      </c>
      <c r="M104" s="2"/>
      <c r="N104" s="19">
        <f t="shared" si="1"/>
        <v>-1</v>
      </c>
      <c r="O104" s="10"/>
      <c r="P104" s="2">
        <f>0</f>
        <v>0</v>
      </c>
      <c r="Q104" s="2"/>
      <c r="R104" s="19"/>
      <c r="S104" s="2"/>
      <c r="T104" s="2">
        <f>-205.91</f>
        <v>-205.91</v>
      </c>
      <c r="U104" s="2"/>
      <c r="V104" s="19"/>
      <c r="W104" s="2"/>
      <c r="X104" s="2">
        <f t="shared" si="2"/>
        <v>205.91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"4226", " - ", "SALES RETURN TAXABLE-WRITING I")</f>
        <v xml:space="preserve">          4226 - SALES RETURN TAXABLE-WRITING I</v>
      </c>
      <c r="C105" s="10"/>
      <c r="D105" s="2">
        <f>-0.79</f>
        <v>-0.79</v>
      </c>
      <c r="E105" s="2"/>
      <c r="F105" s="19"/>
      <c r="G105" s="2"/>
      <c r="H105" s="2">
        <f>-159.4</f>
        <v>-159.4</v>
      </c>
      <c r="I105" s="2"/>
      <c r="J105" s="19"/>
      <c r="K105" s="2"/>
      <c r="L105" s="2">
        <f t="shared" si="0"/>
        <v>158.61000000000001</v>
      </c>
      <c r="M105" s="2"/>
      <c r="N105" s="19">
        <f t="shared" si="1"/>
        <v>-0.99504391468005027</v>
      </c>
      <c r="O105" s="10"/>
      <c r="P105" s="2">
        <f>-35.02</f>
        <v>-35.020000000000003</v>
      </c>
      <c r="Q105" s="2"/>
      <c r="R105" s="19"/>
      <c r="S105" s="2"/>
      <c r="T105" s="2">
        <f>-924.44</f>
        <v>-924.44</v>
      </c>
      <c r="U105" s="2"/>
      <c r="V105" s="19"/>
      <c r="W105" s="2"/>
      <c r="X105" s="2">
        <f t="shared" si="2"/>
        <v>889.42000000000007</v>
      </c>
      <c r="Y105" s="2"/>
      <c r="Z105" s="19">
        <f t="shared" si="3"/>
        <v>-0.96211760633464583</v>
      </c>
    </row>
    <row r="106" spans="1:26" s="23" customFormat="1" hidden="1" outlineLevel="1" x14ac:dyDescent="0.25">
      <c r="A106" s="44"/>
      <c r="B106" s="10" t="str">
        <f>CONCATENATE("          ", "4227", " - ", "SALES RETURN TAXABLE-SCHOOL SU")</f>
        <v xml:space="preserve">          4227 - SALES RETURN TAXABLE-SCHOOL SU</v>
      </c>
      <c r="C106" s="10"/>
      <c r="D106" s="2">
        <f>-137.82</f>
        <v>-137.82</v>
      </c>
      <c r="E106" s="2"/>
      <c r="F106" s="19"/>
      <c r="G106" s="2"/>
      <c r="H106" s="2">
        <f>-53.42</f>
        <v>-53.42</v>
      </c>
      <c r="I106" s="2"/>
      <c r="J106" s="19"/>
      <c r="K106" s="2"/>
      <c r="L106" s="2">
        <f t="shared" si="0"/>
        <v>-84.399999999999991</v>
      </c>
      <c r="M106" s="2"/>
      <c r="N106" s="19">
        <f t="shared" si="1"/>
        <v>1.5799326095095467</v>
      </c>
      <c r="O106" s="10"/>
      <c r="P106" s="2">
        <f>-1484.48</f>
        <v>-1484.48</v>
      </c>
      <c r="Q106" s="2"/>
      <c r="R106" s="19"/>
      <c r="S106" s="2"/>
      <c r="T106" s="2">
        <f>-8647.03</f>
        <v>-8647.0300000000007</v>
      </c>
      <c r="U106" s="2"/>
      <c r="V106" s="19"/>
      <c r="W106" s="2"/>
      <c r="X106" s="2">
        <f t="shared" si="2"/>
        <v>7162.5500000000011</v>
      </c>
      <c r="Y106" s="2"/>
      <c r="Z106" s="19">
        <f t="shared" si="3"/>
        <v>-0.82832486992643728</v>
      </c>
    </row>
    <row r="107" spans="1:26" s="23" customFormat="1" hidden="1" outlineLevel="1" x14ac:dyDescent="0.25">
      <c r="A107" s="44"/>
      <c r="B107" s="10" t="str">
        <f>CONCATENATE("          ", "4228", " - ", "SALES RETURN TAXABLE-ART/TECH")</f>
        <v xml:space="preserve">          4228 - SALES RETURN TAXABLE-ART/TECH</v>
      </c>
      <c r="C107" s="10"/>
      <c r="D107" s="2">
        <f t="shared" ref="D107:D108" si="28">0</f>
        <v>0</v>
      </c>
      <c r="E107" s="2"/>
      <c r="F107" s="19"/>
      <c r="G107" s="2"/>
      <c r="H107" s="2">
        <f t="shared" ref="H107:H108" si="29"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>-12973.73</f>
        <v>-12973.73</v>
      </c>
      <c r="Q107" s="2"/>
      <c r="R107" s="19"/>
      <c r="S107" s="2"/>
      <c r="T107" s="2">
        <f>-4739.1</f>
        <v>-4739.1000000000004</v>
      </c>
      <c r="U107" s="2"/>
      <c r="V107" s="19"/>
      <c r="W107" s="2"/>
      <c r="X107" s="2">
        <f t="shared" si="2"/>
        <v>-8234.6299999999992</v>
      </c>
      <c r="Y107" s="2"/>
      <c r="Z107" s="19">
        <f t="shared" si="3"/>
        <v>1.7375936359224322</v>
      </c>
    </row>
    <row r="108" spans="1:26" s="23" customFormat="1" hidden="1" outlineLevel="1" x14ac:dyDescent="0.25">
      <c r="A108" s="44"/>
      <c r="B108" s="10" t="str">
        <f>CONCATENATE("          ", "4233", " - ", "SALES RETURN TAXABLE-CANDY")</f>
        <v xml:space="preserve">          4233 - SALES RETURN TAXABLE-CANDY</v>
      </c>
      <c r="C108" s="10"/>
      <c r="D108" s="2">
        <f t="shared" si="28"/>
        <v>0</v>
      </c>
      <c r="E108" s="2"/>
      <c r="F108" s="19"/>
      <c r="G108" s="2"/>
      <c r="H108" s="2">
        <f t="shared" si="29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>0</f>
        <v>0</v>
      </c>
      <c r="Q108" s="2"/>
      <c r="R108" s="19"/>
      <c r="S108" s="2"/>
      <c r="T108" s="2">
        <f>-8.25</f>
        <v>-8.25</v>
      </c>
      <c r="U108" s="2"/>
      <c r="V108" s="19"/>
      <c r="W108" s="2"/>
      <c r="X108" s="2">
        <f t="shared" si="2"/>
        <v>8.25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"4240", " - ", "SALES RETURN TAXABLE-LOGO CLOT")</f>
        <v xml:space="preserve">          4240 - SALES RETURN TAXABLE-LOGO CLOT</v>
      </c>
      <c r="C109" s="10"/>
      <c r="D109" s="2">
        <f>-6427.17</f>
        <v>-6427.17</v>
      </c>
      <c r="E109" s="2"/>
      <c r="F109" s="19"/>
      <c r="G109" s="2"/>
      <c r="H109" s="2">
        <f>-3229.58</f>
        <v>-3229.58</v>
      </c>
      <c r="I109" s="2"/>
      <c r="J109" s="19"/>
      <c r="K109" s="2"/>
      <c r="L109" s="2">
        <f t="shared" si="0"/>
        <v>-3197.59</v>
      </c>
      <c r="M109" s="2"/>
      <c r="N109" s="19">
        <f t="shared" si="1"/>
        <v>0.99009468723487271</v>
      </c>
      <c r="O109" s="10"/>
      <c r="P109" s="2">
        <f>-47093.44</f>
        <v>-47093.440000000002</v>
      </c>
      <c r="Q109" s="2"/>
      <c r="R109" s="19"/>
      <c r="S109" s="2"/>
      <c r="T109" s="2">
        <f>-77684.77</f>
        <v>-77684.77</v>
      </c>
      <c r="U109" s="2"/>
      <c r="V109" s="19"/>
      <c r="W109" s="2"/>
      <c r="X109" s="2">
        <f t="shared" si="2"/>
        <v>30591.33</v>
      </c>
      <c r="Y109" s="2"/>
      <c r="Z109" s="19">
        <f t="shared" si="3"/>
        <v>-0.3937879973127294</v>
      </c>
    </row>
    <row r="110" spans="1:26" s="23" customFormat="1" hidden="1" outlineLevel="1" x14ac:dyDescent="0.25">
      <c r="A110" s="44"/>
      <c r="B110" s="10" t="str">
        <f>CONCATENATE("          ", "4241", " - ", "SALES RETURN TAXABLE-LOGO GIFT")</f>
        <v xml:space="preserve">          4241 - SALES RETURN TAXABLE-LOGO GIFT</v>
      </c>
      <c r="C110" s="10"/>
      <c r="D110" s="2">
        <f>-4505.29</f>
        <v>-4505.29</v>
      </c>
      <c r="E110" s="2"/>
      <c r="F110" s="19"/>
      <c r="G110" s="2"/>
      <c r="H110" s="2">
        <f>-1133.39</f>
        <v>-1133.3900000000001</v>
      </c>
      <c r="I110" s="2"/>
      <c r="J110" s="19"/>
      <c r="K110" s="2"/>
      <c r="L110" s="2">
        <f t="shared" si="0"/>
        <v>-3371.8999999999996</v>
      </c>
      <c r="M110" s="2"/>
      <c r="N110" s="19">
        <f t="shared" si="1"/>
        <v>2.9750571294964656</v>
      </c>
      <c r="O110" s="10"/>
      <c r="P110" s="2">
        <f>-16680.54</f>
        <v>-16680.54</v>
      </c>
      <c r="Q110" s="2"/>
      <c r="R110" s="19"/>
      <c r="S110" s="2"/>
      <c r="T110" s="2">
        <f>-7465.27</f>
        <v>-7465.27</v>
      </c>
      <c r="U110" s="2"/>
      <c r="V110" s="19"/>
      <c r="W110" s="2"/>
      <c r="X110" s="2">
        <f t="shared" si="2"/>
        <v>-9215.27</v>
      </c>
      <c r="Y110" s="2"/>
      <c r="Z110" s="19">
        <f t="shared" si="3"/>
        <v>1.2344188488828938</v>
      </c>
    </row>
    <row r="111" spans="1:26" s="23" customFormat="1" hidden="1" outlineLevel="1" x14ac:dyDescent="0.25">
      <c r="A111" s="44"/>
      <c r="B111" s="10" t="str">
        <f>CONCATENATE("          ", "4242", " - ", "SALES RETURN TAXABLE-EVERYDAY")</f>
        <v xml:space="preserve">          4242 - SALES RETURN TAXABLE-EVERYDAY</v>
      </c>
      <c r="C111" s="10"/>
      <c r="D111" s="2">
        <f>-107</f>
        <v>-107</v>
      </c>
      <c r="E111" s="2"/>
      <c r="F111" s="19"/>
      <c r="G111" s="2"/>
      <c r="H111" s="2">
        <f t="shared" ref="H111:H112" si="30">0</f>
        <v>0</v>
      </c>
      <c r="I111" s="2"/>
      <c r="J111" s="19"/>
      <c r="K111" s="2"/>
      <c r="L111" s="2">
        <f t="shared" si="0"/>
        <v>-107</v>
      </c>
      <c r="M111" s="2"/>
      <c r="N111" s="19">
        <f t="shared" si="1"/>
        <v>0</v>
      </c>
      <c r="O111" s="10"/>
      <c r="P111" s="2">
        <f>-2743.09</f>
        <v>-2743.09</v>
      </c>
      <c r="Q111" s="2"/>
      <c r="R111" s="19"/>
      <c r="S111" s="2"/>
      <c r="T111" s="2">
        <f>-4181.41</f>
        <v>-4181.41</v>
      </c>
      <c r="U111" s="2"/>
      <c r="V111" s="19"/>
      <c r="W111" s="2"/>
      <c r="X111" s="2">
        <f t="shared" si="2"/>
        <v>1438.3199999999997</v>
      </c>
      <c r="Y111" s="2"/>
      <c r="Z111" s="19">
        <f t="shared" si="3"/>
        <v>-0.34397966236269578</v>
      </c>
    </row>
    <row r="112" spans="1:26" s="23" customFormat="1" hidden="1" outlineLevel="1" x14ac:dyDescent="0.25">
      <c r="A112" s="44"/>
      <c r="B112" s="10" t="str">
        <f>CONCATENATE("          ", "4243", " - ", "SALES RETURN TAXABLE-CARDS")</f>
        <v xml:space="preserve">          4243 - SALES RETURN TAXABLE-CARDS</v>
      </c>
      <c r="C112" s="10"/>
      <c r="D112" s="2">
        <f>-76.9</f>
        <v>-76.900000000000006</v>
      </c>
      <c r="E112" s="2"/>
      <c r="F112" s="19"/>
      <c r="G112" s="2"/>
      <c r="H112" s="2">
        <f t="shared" si="30"/>
        <v>0</v>
      </c>
      <c r="I112" s="2"/>
      <c r="J112" s="19"/>
      <c r="K112" s="2"/>
      <c r="L112" s="2">
        <f t="shared" si="0"/>
        <v>-76.900000000000006</v>
      </c>
      <c r="M112" s="2"/>
      <c r="N112" s="19">
        <f t="shared" si="1"/>
        <v>0</v>
      </c>
      <c r="O112" s="10"/>
      <c r="P112" s="2">
        <f>-6218.99</f>
        <v>-6218.99</v>
      </c>
      <c r="Q112" s="2"/>
      <c r="R112" s="19"/>
      <c r="S112" s="2"/>
      <c r="T112" s="2">
        <f>-3006.31</f>
        <v>-3006.31</v>
      </c>
      <c r="U112" s="2"/>
      <c r="V112" s="19"/>
      <c r="W112" s="2"/>
      <c r="X112" s="2">
        <f t="shared" si="2"/>
        <v>-3212.68</v>
      </c>
      <c r="Y112" s="2"/>
      <c r="Z112" s="19">
        <f t="shared" si="3"/>
        <v>1.0686456153889652</v>
      </c>
    </row>
    <row r="113" spans="1:26" s="23" customFormat="1" hidden="1" outlineLevel="1" x14ac:dyDescent="0.25">
      <c r="A113" s="44"/>
      <c r="B113" s="10" t="str">
        <f>CONCATENATE("          ", "4244", " - ", "SALES RETURN TAXABLE-ACCESSORI")</f>
        <v xml:space="preserve">          4244 - SALES RETURN TAXABLE-ACCESSORI</v>
      </c>
      <c r="C113" s="10"/>
      <c r="D113" s="2">
        <f>-24.41</f>
        <v>-24.41</v>
      </c>
      <c r="E113" s="2"/>
      <c r="F113" s="19"/>
      <c r="G113" s="2"/>
      <c r="H113" s="2">
        <f>-255.71</f>
        <v>-255.71</v>
      </c>
      <c r="I113" s="2"/>
      <c r="J113" s="19"/>
      <c r="K113" s="2"/>
      <c r="L113" s="2">
        <f t="shared" si="0"/>
        <v>231.3</v>
      </c>
      <c r="M113" s="2"/>
      <c r="N113" s="19">
        <f t="shared" si="1"/>
        <v>-0.90454029955809312</v>
      </c>
      <c r="O113" s="10"/>
      <c r="P113" s="2">
        <f>-1267.91</f>
        <v>-1267.9100000000001</v>
      </c>
      <c r="Q113" s="2"/>
      <c r="R113" s="19"/>
      <c r="S113" s="2"/>
      <c r="T113" s="2">
        <f>-2726.41</f>
        <v>-2726.41</v>
      </c>
      <c r="U113" s="2"/>
      <c r="V113" s="19"/>
      <c r="W113" s="2"/>
      <c r="X113" s="2">
        <f t="shared" si="2"/>
        <v>1458.4999999999998</v>
      </c>
      <c r="Y113" s="2"/>
      <c r="Z113" s="19">
        <f t="shared" si="3"/>
        <v>-0.5349525566587563</v>
      </c>
    </row>
    <row r="114" spans="1:26" s="23" customFormat="1" hidden="1" outlineLevel="1" x14ac:dyDescent="0.25">
      <c r="A114" s="44"/>
      <c r="B114" s="10" t="str">
        <f>CONCATENATE("          ", "4245", " - ", "SALES RETURN TAXABLE-SPECIAL O")</f>
        <v xml:space="preserve">          4245 - SALES RETURN TAXABLE-SPECIAL O</v>
      </c>
      <c r="C114" s="10"/>
      <c r="D114" s="2">
        <f>-36</f>
        <v>-36</v>
      </c>
      <c r="E114" s="2"/>
      <c r="F114" s="19"/>
      <c r="G114" s="2"/>
      <c r="H114" s="2">
        <f>-175</f>
        <v>-175</v>
      </c>
      <c r="I114" s="2"/>
      <c r="J114" s="19"/>
      <c r="K114" s="2"/>
      <c r="L114" s="2">
        <f t="shared" si="0"/>
        <v>139</v>
      </c>
      <c r="M114" s="2"/>
      <c r="N114" s="19">
        <f t="shared" si="1"/>
        <v>-0.79428571428571426</v>
      </c>
      <c r="O114" s="10"/>
      <c r="P114" s="2">
        <f>-15460.73</f>
        <v>-15460.73</v>
      </c>
      <c r="Q114" s="2"/>
      <c r="R114" s="19"/>
      <c r="S114" s="2"/>
      <c r="T114" s="2">
        <f>-1910.03</f>
        <v>-1910.03</v>
      </c>
      <c r="U114" s="2"/>
      <c r="V114" s="19"/>
      <c r="W114" s="2"/>
      <c r="X114" s="2">
        <f t="shared" si="2"/>
        <v>-13550.699999999999</v>
      </c>
      <c r="Y114" s="2"/>
      <c r="Z114" s="19">
        <f t="shared" si="3"/>
        <v>7.0944958979701882</v>
      </c>
    </row>
    <row r="115" spans="1:26" s="23" customFormat="1" hidden="1" outlineLevel="1" x14ac:dyDescent="0.25">
      <c r="A115" s="44"/>
      <c r="B115" s="10" t="str">
        <f>CONCATENATE("          ", "4281", " - ", "SALES RETURN TAXABLE-ELECTRONI")</f>
        <v xml:space="preserve">          4281 - SALES RETURN TAXABLE-ELECTRONI</v>
      </c>
      <c r="C115" s="10"/>
      <c r="D115" s="2">
        <f>-79.99</f>
        <v>-79.989999999999995</v>
      </c>
      <c r="E115" s="2"/>
      <c r="F115" s="19"/>
      <c r="G115" s="2"/>
      <c r="H115" s="2">
        <f>-159</f>
        <v>-159</v>
      </c>
      <c r="I115" s="2"/>
      <c r="J115" s="19"/>
      <c r="K115" s="2"/>
      <c r="L115" s="2">
        <f t="shared" si="0"/>
        <v>79.010000000000005</v>
      </c>
      <c r="M115" s="2"/>
      <c r="N115" s="19">
        <f t="shared" si="1"/>
        <v>-0.49691823899371074</v>
      </c>
      <c r="O115" s="10"/>
      <c r="P115" s="2">
        <f>-14842.13</f>
        <v>-14842.13</v>
      </c>
      <c r="Q115" s="2"/>
      <c r="R115" s="19"/>
      <c r="S115" s="2"/>
      <c r="T115" s="2">
        <f>-7995.67</f>
        <v>-7995.67</v>
      </c>
      <c r="U115" s="2"/>
      <c r="V115" s="19"/>
      <c r="W115" s="2"/>
      <c r="X115" s="2">
        <f t="shared" si="2"/>
        <v>-6846.4599999999991</v>
      </c>
      <c r="Y115" s="2"/>
      <c r="Z115" s="19">
        <f t="shared" si="3"/>
        <v>0.85627095665528952</v>
      </c>
    </row>
    <row r="116" spans="1:26" s="23" customFormat="1" hidden="1" outlineLevel="1" x14ac:dyDescent="0.25">
      <c r="A116" s="44"/>
      <c r="B116" s="10" t="str">
        <f>CONCATENATE("          ", "4282", " - ", "SALES RETURN TAXABLE-COMPUTER")</f>
        <v xml:space="preserve">          4282 - SALES RETURN TAXABLE-COMPUTER</v>
      </c>
      <c r="C116" s="10"/>
      <c r="D116" s="2">
        <f>-25075.01</f>
        <v>-25075.01</v>
      </c>
      <c r="E116" s="2"/>
      <c r="F116" s="19"/>
      <c r="G116" s="2"/>
      <c r="H116" s="2">
        <f>-183</f>
        <v>-183</v>
      </c>
      <c r="I116" s="2"/>
      <c r="J116" s="19"/>
      <c r="K116" s="2"/>
      <c r="L116" s="2">
        <f t="shared" si="0"/>
        <v>-24892.01</v>
      </c>
      <c r="M116" s="2"/>
      <c r="N116" s="19">
        <f t="shared" si="1"/>
        <v>136.02191256830599</v>
      </c>
      <c r="O116" s="10"/>
      <c r="P116" s="2">
        <f>-240220.17</f>
        <v>-240220.17</v>
      </c>
      <c r="Q116" s="2"/>
      <c r="R116" s="19"/>
      <c r="S116" s="2"/>
      <c r="T116" s="2">
        <f>-215628.8</f>
        <v>-215628.79999999999</v>
      </c>
      <c r="U116" s="2"/>
      <c r="V116" s="19"/>
      <c r="W116" s="2"/>
      <c r="X116" s="2">
        <f t="shared" si="2"/>
        <v>-24591.370000000024</v>
      </c>
      <c r="Y116" s="2"/>
      <c r="Z116" s="19">
        <f t="shared" si="3"/>
        <v>0.11404492349815992</v>
      </c>
    </row>
    <row r="117" spans="1:26" s="23" customFormat="1" hidden="1" outlineLevel="1" x14ac:dyDescent="0.25">
      <c r="A117" s="44"/>
      <c r="B117" s="10" t="str">
        <f>CONCATENATE("          ", "4283", " - ", "SALES RETURN TAXABLE-COMPUTER")</f>
        <v xml:space="preserve">          4283 - SALES RETURN TAXABLE-COMPUTER</v>
      </c>
      <c r="C117" s="10"/>
      <c r="D117" s="2">
        <f>-181.97</f>
        <v>-181.97</v>
      </c>
      <c r="E117" s="2"/>
      <c r="F117" s="19"/>
      <c r="G117" s="2"/>
      <c r="H117" s="2">
        <f>-119</f>
        <v>-119</v>
      </c>
      <c r="I117" s="2"/>
      <c r="J117" s="19"/>
      <c r="K117" s="2"/>
      <c r="L117" s="2">
        <f t="shared" si="0"/>
        <v>-62.97</v>
      </c>
      <c r="M117" s="2"/>
      <c r="N117" s="19">
        <f t="shared" si="1"/>
        <v>0.52915966386554625</v>
      </c>
      <c r="O117" s="10"/>
      <c r="P117" s="2">
        <f>-4129.17</f>
        <v>-4129.17</v>
      </c>
      <c r="Q117" s="2"/>
      <c r="R117" s="19"/>
      <c r="S117" s="2"/>
      <c r="T117" s="2">
        <f>-6708.02</f>
        <v>-6708.02</v>
      </c>
      <c r="U117" s="2"/>
      <c r="V117" s="19"/>
      <c r="W117" s="2"/>
      <c r="X117" s="2">
        <f t="shared" si="2"/>
        <v>2578.8500000000004</v>
      </c>
      <c r="Y117" s="2"/>
      <c r="Z117" s="19">
        <f t="shared" si="3"/>
        <v>-0.38444280130351433</v>
      </c>
    </row>
    <row r="118" spans="1:26" s="23" customFormat="1" hidden="1" outlineLevel="1" x14ac:dyDescent="0.25">
      <c r="A118" s="44"/>
      <c r="B118" s="10" t="str">
        <f>CONCATENATE("          ", "4284", " - ", "SALES RETURN TAXABLE-SOFTWARE")</f>
        <v xml:space="preserve">          4284 - SALES RETURN TAXABLE-SOFTWARE</v>
      </c>
      <c r="C118" s="10"/>
      <c r="D118" s="2">
        <f t="shared" ref="D118:D123" si="31">0</f>
        <v>0</v>
      </c>
      <c r="E118" s="2"/>
      <c r="F118" s="19"/>
      <c r="G118" s="2"/>
      <c r="H118" s="2">
        <f t="shared" ref="H118:H120" si="32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>0</f>
        <v>0</v>
      </c>
      <c r="Q118" s="2"/>
      <c r="R118" s="19"/>
      <c r="S118" s="2"/>
      <c r="T118" s="2">
        <f>-129</f>
        <v>-129</v>
      </c>
      <c r="U118" s="2"/>
      <c r="V118" s="19"/>
      <c r="W118" s="2"/>
      <c r="X118" s="2">
        <f t="shared" si="2"/>
        <v>129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"4285", " - ", "SALES RETURN TAXABLE-SOFTWARE")</f>
        <v xml:space="preserve">          4285 - SALES RETURN TAXABLE-SOFTWARE</v>
      </c>
      <c r="C119" s="10"/>
      <c r="D119" s="2">
        <f t="shared" si="31"/>
        <v>0</v>
      </c>
      <c r="E119" s="2"/>
      <c r="F119" s="19"/>
      <c r="G119" s="2"/>
      <c r="H119" s="2">
        <f t="shared" si="32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0"/>
      <c r="P119" s="2">
        <f>-1091.79</f>
        <v>-1091.79</v>
      </c>
      <c r="Q119" s="2"/>
      <c r="R119" s="19"/>
      <c r="S119" s="2"/>
      <c r="T119" s="2">
        <f>-805.97</f>
        <v>-805.97</v>
      </c>
      <c r="U119" s="2"/>
      <c r="V119" s="19"/>
      <c r="W119" s="2"/>
      <c r="X119" s="2">
        <f t="shared" si="2"/>
        <v>-285.81999999999994</v>
      </c>
      <c r="Y119" s="2"/>
      <c r="Z119" s="19">
        <f t="shared" si="3"/>
        <v>0.35462858419047844</v>
      </c>
    </row>
    <row r="120" spans="1:26" s="23" customFormat="1" hidden="1" outlineLevel="1" x14ac:dyDescent="0.25">
      <c r="A120" s="44"/>
      <c r="B120" s="10" t="str">
        <f>CONCATENATE("          ", "4286", " - ", "SALES RETURN TAXABLE-COMPUTER")</f>
        <v xml:space="preserve">          4286 - SALES RETURN TAXABLE-COMPUTER</v>
      </c>
      <c r="C120" s="10"/>
      <c r="D120" s="2">
        <f t="shared" si="31"/>
        <v>0</v>
      </c>
      <c r="E120" s="2"/>
      <c r="F120" s="19"/>
      <c r="G120" s="2"/>
      <c r="H120" s="2">
        <f t="shared" si="32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0"/>
      <c r="P120" s="2">
        <f>-4802.29</f>
        <v>-4802.29</v>
      </c>
      <c r="Q120" s="2"/>
      <c r="R120" s="19"/>
      <c r="S120" s="2"/>
      <c r="T120" s="2">
        <f>-3660.86</f>
        <v>-3660.86</v>
      </c>
      <c r="U120" s="2"/>
      <c r="V120" s="19"/>
      <c r="W120" s="2"/>
      <c r="X120" s="2">
        <f t="shared" si="2"/>
        <v>-1141.4299999999998</v>
      </c>
      <c r="Y120" s="2"/>
      <c r="Z120" s="19">
        <f t="shared" si="3"/>
        <v>0.31179285741601692</v>
      </c>
    </row>
    <row r="121" spans="1:26" s="23" customFormat="1" hidden="1" outlineLevel="1" x14ac:dyDescent="0.25">
      <c r="A121" s="44"/>
      <c r="B121" s="10" t="str">
        <f>CONCATENATE("          ", "4288", " - ", "TAXABLE SALES RETURN-MUSIC")</f>
        <v xml:space="preserve">          4288 - TAXABLE SALES RETURN-MUSIC</v>
      </c>
      <c r="C121" s="10"/>
      <c r="D121" s="2">
        <f t="shared" si="31"/>
        <v>0</v>
      </c>
      <c r="E121" s="2"/>
      <c r="F121" s="19"/>
      <c r="G121" s="2"/>
      <c r="H121" s="2">
        <f>-149</f>
        <v>-149</v>
      </c>
      <c r="I121" s="2"/>
      <c r="J121" s="19"/>
      <c r="K121" s="2"/>
      <c r="L121" s="2">
        <f t="shared" si="0"/>
        <v>149</v>
      </c>
      <c r="M121" s="2"/>
      <c r="N121" s="19">
        <f t="shared" si="1"/>
        <v>-1</v>
      </c>
      <c r="O121" s="10"/>
      <c r="P121" s="2">
        <f t="shared" ref="P121:P123" si="33">0</f>
        <v>0</v>
      </c>
      <c r="Q121" s="2"/>
      <c r="R121" s="19"/>
      <c r="S121" s="2"/>
      <c r="T121" s="2">
        <f>-152.99</f>
        <v>-152.99</v>
      </c>
      <c r="U121" s="2"/>
      <c r="V121" s="19"/>
      <c r="W121" s="2"/>
      <c r="X121" s="2">
        <f t="shared" si="2"/>
        <v>152.99</v>
      </c>
      <c r="Y121" s="2"/>
      <c r="Z121" s="19">
        <f t="shared" si="3"/>
        <v>-1</v>
      </c>
    </row>
    <row r="122" spans="1:26" s="23" customFormat="1" hidden="1" outlineLevel="1" x14ac:dyDescent="0.25">
      <c r="A122" s="44"/>
      <c r="B122" s="10" t="str">
        <f>CONCATENATE("          ", "4292", " - ", "SALES RETURN TAXABLE-GRAD MERC")</f>
        <v xml:space="preserve">          4292 - SALES RETURN TAXABLE-GRAD MERC</v>
      </c>
      <c r="C122" s="10"/>
      <c r="D122" s="2">
        <f t="shared" si="31"/>
        <v>0</v>
      </c>
      <c r="E122" s="2"/>
      <c r="F122" s="19"/>
      <c r="G122" s="2"/>
      <c r="H122" s="2">
        <f>-64.89</f>
        <v>-64.89</v>
      </c>
      <c r="I122" s="2"/>
      <c r="J122" s="19"/>
      <c r="K122" s="2"/>
      <c r="L122" s="2">
        <f t="shared" si="0"/>
        <v>64.89</v>
      </c>
      <c r="M122" s="2"/>
      <c r="N122" s="19">
        <f t="shared" si="1"/>
        <v>-1</v>
      </c>
      <c r="O122" s="10"/>
      <c r="P122" s="2">
        <f t="shared" si="33"/>
        <v>0</v>
      </c>
      <c r="Q122" s="2"/>
      <c r="R122" s="19"/>
      <c r="S122" s="2"/>
      <c r="T122" s="2">
        <f>-578.84</f>
        <v>-578.84</v>
      </c>
      <c r="U122" s="2"/>
      <c r="V122" s="19"/>
      <c r="W122" s="2"/>
      <c r="X122" s="2">
        <f t="shared" si="2"/>
        <v>578.84</v>
      </c>
      <c r="Y122" s="2"/>
      <c r="Z122" s="19">
        <f t="shared" si="3"/>
        <v>-1</v>
      </c>
    </row>
    <row r="123" spans="1:26" s="23" customFormat="1" hidden="1" outlineLevel="1" x14ac:dyDescent="0.25">
      <c r="A123" s="44"/>
      <c r="B123" s="10" t="str">
        <f>CONCATENATE("          ", "4295", " - ", "SALES RETURN TAXABLE-CUSTOMER")</f>
        <v xml:space="preserve">          4295 - SALES RETURN TAXABLE-CUSTOMER</v>
      </c>
      <c r="C123" s="10"/>
      <c r="D123" s="2">
        <f t="shared" si="31"/>
        <v>0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0"/>
      <c r="P123" s="2">
        <f t="shared" si="33"/>
        <v>0</v>
      </c>
      <c r="Q123" s="2"/>
      <c r="R123" s="19"/>
      <c r="S123" s="2"/>
      <c r="T123" s="2">
        <f>--0.99</f>
        <v>0.99</v>
      </c>
      <c r="U123" s="2"/>
      <c r="V123" s="19"/>
      <c r="W123" s="2"/>
      <c r="X123" s="2">
        <f t="shared" si="2"/>
        <v>-0.99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"4301", " - ", "SALES RETURN NON TAXABLE-NEW T")</f>
        <v xml:space="preserve">          4301 - SALES RETURN NON TAXABLE-NEW T</v>
      </c>
      <c r="C124" s="10"/>
      <c r="D124" s="2">
        <f>-1333.16</f>
        <v>-1333.16</v>
      </c>
      <c r="E124" s="2"/>
      <c r="F124" s="19"/>
      <c r="G124" s="2"/>
      <c r="H124" s="2">
        <f>-5710.44</f>
        <v>-5710.44</v>
      </c>
      <c r="I124" s="2"/>
      <c r="J124" s="19"/>
      <c r="K124" s="2"/>
      <c r="L124" s="2">
        <f t="shared" si="0"/>
        <v>4377.28</v>
      </c>
      <c r="M124" s="2"/>
      <c r="N124" s="19">
        <f t="shared" si="1"/>
        <v>-0.76653988134014195</v>
      </c>
      <c r="O124" s="10"/>
      <c r="P124" s="2">
        <f>-4796.36</f>
        <v>-4796.3599999999997</v>
      </c>
      <c r="Q124" s="2"/>
      <c r="R124" s="19"/>
      <c r="S124" s="2"/>
      <c r="T124" s="2">
        <f>-21289.87</f>
        <v>-21289.87</v>
      </c>
      <c r="U124" s="2"/>
      <c r="V124" s="19"/>
      <c r="W124" s="2"/>
      <c r="X124" s="2">
        <f t="shared" si="2"/>
        <v>16493.509999999998</v>
      </c>
      <c r="Y124" s="2"/>
      <c r="Z124" s="19">
        <f t="shared" si="3"/>
        <v>-0.77471163515794128</v>
      </c>
    </row>
    <row r="125" spans="1:26" s="23" customFormat="1" hidden="1" outlineLevel="1" x14ac:dyDescent="0.25">
      <c r="A125" s="44"/>
      <c r="B125" s="10" t="str">
        <f>CONCATENATE("          ", "4302", " - ", "SALES RETURN NON TAXABLE-TEXT")</f>
        <v xml:space="preserve">          4302 - SALES RETURN NON TAXABLE-TEXT</v>
      </c>
      <c r="C125" s="10"/>
      <c r="D125" s="2">
        <f>-134.22</f>
        <v>-134.22</v>
      </c>
      <c r="E125" s="2"/>
      <c r="F125" s="19"/>
      <c r="G125" s="2"/>
      <c r="H125" s="2">
        <f>-67.5</f>
        <v>-67.5</v>
      </c>
      <c r="I125" s="2"/>
      <c r="J125" s="19"/>
      <c r="K125" s="2"/>
      <c r="L125" s="2">
        <f t="shared" si="0"/>
        <v>-66.72</v>
      </c>
      <c r="M125" s="2"/>
      <c r="N125" s="19">
        <f t="shared" si="1"/>
        <v>0.98844444444444446</v>
      </c>
      <c r="O125" s="10"/>
      <c r="P125" s="2">
        <f>-2577.54</f>
        <v>-2577.54</v>
      </c>
      <c r="Q125" s="2"/>
      <c r="R125" s="19"/>
      <c r="S125" s="2"/>
      <c r="T125" s="2">
        <f>-1379.87</f>
        <v>-1379.87</v>
      </c>
      <c r="U125" s="2"/>
      <c r="V125" s="19"/>
      <c r="W125" s="2"/>
      <c r="X125" s="2">
        <f t="shared" si="2"/>
        <v>-1197.67</v>
      </c>
      <c r="Y125" s="2"/>
      <c r="Z125" s="19">
        <f t="shared" si="3"/>
        <v>0.86795857580786606</v>
      </c>
    </row>
    <row r="126" spans="1:26" s="23" customFormat="1" hidden="1" outlineLevel="1" x14ac:dyDescent="0.25">
      <c r="A126" s="44"/>
      <c r="B126" s="10" t="str">
        <f>CONCATENATE("          ", "4303", " - ", "SALES RETURN NON-TAXABLE-RENTA")</f>
        <v xml:space="preserve">          4303 - SALES RETURN NON-TAXABLE-RENTA</v>
      </c>
      <c r="C126" s="10"/>
      <c r="D126" s="2">
        <f>0</f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>0</f>
        <v>0</v>
      </c>
      <c r="Q126" s="2"/>
      <c r="R126" s="19"/>
      <c r="S126" s="2"/>
      <c r="T126" s="2">
        <f>-184.99</f>
        <v>-184.99</v>
      </c>
      <c r="U126" s="2"/>
      <c r="V126" s="19"/>
      <c r="W126" s="2"/>
      <c r="X126" s="2">
        <f t="shared" si="2"/>
        <v>184.99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"4304", " - ", "SALES RETURN NON TAXABLE-DIGIT")</f>
        <v xml:space="preserve">          4304 - SALES RETURN NON TAXABLE-DIGIT</v>
      </c>
      <c r="C127" s="10"/>
      <c r="D127" s="2">
        <f>-3338.22</f>
        <v>-3338.22</v>
      </c>
      <c r="E127" s="2"/>
      <c r="F127" s="19"/>
      <c r="G127" s="2"/>
      <c r="H127" s="2">
        <f>-438.2</f>
        <v>-438.2</v>
      </c>
      <c r="I127" s="2"/>
      <c r="J127" s="19"/>
      <c r="K127" s="2"/>
      <c r="L127" s="2">
        <f t="shared" si="0"/>
        <v>-2900.02</v>
      </c>
      <c r="M127" s="2"/>
      <c r="N127" s="19">
        <f t="shared" si="1"/>
        <v>6.618028297581013</v>
      </c>
      <c r="O127" s="10"/>
      <c r="P127" s="2">
        <f>-30881.98</f>
        <v>-30881.98</v>
      </c>
      <c r="Q127" s="2"/>
      <c r="R127" s="19"/>
      <c r="S127" s="2"/>
      <c r="T127" s="2">
        <f>-19474.33</f>
        <v>-19474.330000000002</v>
      </c>
      <c r="U127" s="2"/>
      <c r="V127" s="19"/>
      <c r="W127" s="2"/>
      <c r="X127" s="2">
        <f t="shared" si="2"/>
        <v>-11407.649999999998</v>
      </c>
      <c r="Y127" s="2"/>
      <c r="Z127" s="19">
        <f t="shared" si="3"/>
        <v>0.58577881755110428</v>
      </c>
    </row>
    <row r="128" spans="1:26" s="23" customFormat="1" hidden="1" outlineLevel="1" x14ac:dyDescent="0.25">
      <c r="A128" s="44"/>
      <c r="B128" s="10" t="str">
        <f>CONCATENATE("          ", "4311", " - ", "SALES RETURN NON TAXABLE-NO VA")</f>
        <v xml:space="preserve">          4311 - SALES RETURN NON TAXABLE-NO VA</v>
      </c>
      <c r="C128" s="10"/>
      <c r="D128" s="2">
        <f t="shared" ref="D128:D129" si="34">0</f>
        <v>0</v>
      </c>
      <c r="E128" s="2"/>
      <c r="F128" s="19"/>
      <c r="G128" s="2"/>
      <c r="H128" s="2">
        <f t="shared" ref="H128:H132" si="35"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0"/>
      <c r="P128" s="2">
        <f t="shared" ref="P128:P129" si="36">0</f>
        <v>0</v>
      </c>
      <c r="Q128" s="2"/>
      <c r="R128" s="19"/>
      <c r="S128" s="2"/>
      <c r="T128" s="2">
        <f>-941.28</f>
        <v>-941.28</v>
      </c>
      <c r="U128" s="2"/>
      <c r="V128" s="19"/>
      <c r="W128" s="2"/>
      <c r="X128" s="2">
        <f t="shared" si="2"/>
        <v>941.28</v>
      </c>
      <c r="Y128" s="2"/>
      <c r="Z128" s="19">
        <f t="shared" si="3"/>
        <v>-1</v>
      </c>
    </row>
    <row r="129" spans="1:26" s="23" customFormat="1" hidden="1" outlineLevel="1" x14ac:dyDescent="0.25">
      <c r="A129" s="44"/>
      <c r="B129" s="10" t="str">
        <f>CONCATENATE("          ", "4313", " - ", "SALES RETURN NON TAXABLE-TRADE")</f>
        <v xml:space="preserve">          4313 - SALES RETURN NON TAXABLE-TRADE</v>
      </c>
      <c r="C129" s="10"/>
      <c r="D129" s="2">
        <f t="shared" si="34"/>
        <v>0</v>
      </c>
      <c r="E129" s="2"/>
      <c r="F129" s="19"/>
      <c r="G129" s="2"/>
      <c r="H129" s="2">
        <f t="shared" si="35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0"/>
      <c r="P129" s="2">
        <f t="shared" si="36"/>
        <v>0</v>
      </c>
      <c r="Q129" s="2"/>
      <c r="R129" s="19"/>
      <c r="S129" s="2"/>
      <c r="T129" s="2">
        <f>-2481.44</f>
        <v>-2481.44</v>
      </c>
      <c r="U129" s="2"/>
      <c r="V129" s="19"/>
      <c r="W129" s="2"/>
      <c r="X129" s="2">
        <f t="shared" si="2"/>
        <v>2481.44</v>
      </c>
      <c r="Y129" s="2"/>
      <c r="Z129" s="19">
        <f t="shared" si="3"/>
        <v>-1</v>
      </c>
    </row>
    <row r="130" spans="1:26" s="23" customFormat="1" hidden="1" outlineLevel="1" x14ac:dyDescent="0.25">
      <c r="A130" s="44"/>
      <c r="B130" s="10" t="str">
        <f>CONCATENATE("          ", "4327", " - ", "SALES RETURN NON TAXABLE-SCHOO")</f>
        <v xml:space="preserve">          4327 - SALES RETURN NON TAXABLE-SCHOO</v>
      </c>
      <c r="C130" s="10"/>
      <c r="D130" s="2">
        <f>-17.41</f>
        <v>-17.41</v>
      </c>
      <c r="E130" s="2"/>
      <c r="F130" s="19"/>
      <c r="G130" s="2"/>
      <c r="H130" s="2">
        <f t="shared" si="35"/>
        <v>0</v>
      </c>
      <c r="I130" s="2"/>
      <c r="J130" s="19"/>
      <c r="K130" s="2"/>
      <c r="L130" s="2">
        <f t="shared" si="0"/>
        <v>-17.41</v>
      </c>
      <c r="M130" s="2"/>
      <c r="N130" s="19">
        <f t="shared" si="1"/>
        <v>0</v>
      </c>
      <c r="O130" s="10"/>
      <c r="P130" s="2">
        <f>-17.41</f>
        <v>-17.41</v>
      </c>
      <c r="Q130" s="2"/>
      <c r="R130" s="19"/>
      <c r="S130" s="2"/>
      <c r="T130" s="2">
        <f>-21.87</f>
        <v>-21.87</v>
      </c>
      <c r="U130" s="2"/>
      <c r="V130" s="19"/>
      <c r="W130" s="2"/>
      <c r="X130" s="2">
        <f t="shared" si="2"/>
        <v>4.4600000000000009</v>
      </c>
      <c r="Y130" s="2"/>
      <c r="Z130" s="19">
        <f t="shared" si="3"/>
        <v>-0.20393232738911754</v>
      </c>
    </row>
    <row r="131" spans="1:26" s="23" customFormat="1" hidden="1" outlineLevel="1" x14ac:dyDescent="0.25">
      <c r="A131" s="44"/>
      <c r="B131" s="10" t="str">
        <f>CONCATENATE("          ", "4331", " - ", "SALES RETURN NON TAXABLE-FOOD")</f>
        <v xml:space="preserve">          4331 - SALES RETURN NON TAXABLE-FOOD</v>
      </c>
      <c r="C131" s="10"/>
      <c r="D131" s="2">
        <f t="shared" ref="D131:D132" si="37">0</f>
        <v>0</v>
      </c>
      <c r="E131" s="2"/>
      <c r="F131" s="19"/>
      <c r="G131" s="2"/>
      <c r="H131" s="2">
        <f t="shared" si="35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0"/>
      <c r="P131" s="2">
        <f t="shared" ref="P131:P132" si="38">0</f>
        <v>0</v>
      </c>
      <c r="Q131" s="2"/>
      <c r="R131" s="19"/>
      <c r="S131" s="2"/>
      <c r="T131" s="2">
        <f>-12.57</f>
        <v>-12.57</v>
      </c>
      <c r="U131" s="2"/>
      <c r="V131" s="19"/>
      <c r="W131" s="2"/>
      <c r="X131" s="2">
        <f t="shared" si="2"/>
        <v>12.57</v>
      </c>
      <c r="Y131" s="2"/>
      <c r="Z131" s="19">
        <f t="shared" si="3"/>
        <v>-1</v>
      </c>
    </row>
    <row r="132" spans="1:26" s="23" customFormat="1" hidden="1" outlineLevel="1" x14ac:dyDescent="0.25">
      <c r="A132" s="44"/>
      <c r="B132" s="10" t="str">
        <f>CONCATENATE("          ", "4332", " - ", "SALES RETURN NON TAXABLE-JUICE")</f>
        <v xml:space="preserve">          4332 - SALES RETURN NON TAXABLE-JUICE</v>
      </c>
      <c r="C132" s="10"/>
      <c r="D132" s="2">
        <f t="shared" si="37"/>
        <v>0</v>
      </c>
      <c r="E132" s="2"/>
      <c r="F132" s="19"/>
      <c r="G132" s="2"/>
      <c r="H132" s="2">
        <f t="shared" si="35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0"/>
      <c r="P132" s="2">
        <f t="shared" si="38"/>
        <v>0</v>
      </c>
      <c r="Q132" s="2"/>
      <c r="R132" s="19"/>
      <c r="S132" s="2"/>
      <c r="T132" s="2">
        <f>-2.79</f>
        <v>-2.79</v>
      </c>
      <c r="U132" s="2"/>
      <c r="V132" s="19"/>
      <c r="W132" s="2"/>
      <c r="X132" s="2">
        <f t="shared" si="2"/>
        <v>2.79</v>
      </c>
      <c r="Y132" s="2"/>
      <c r="Z132" s="19">
        <f t="shared" si="3"/>
        <v>-1</v>
      </c>
    </row>
    <row r="133" spans="1:26" s="23" customFormat="1" hidden="1" outlineLevel="1" x14ac:dyDescent="0.25">
      <c r="A133" s="44"/>
      <c r="B133" s="10" t="str">
        <f>CONCATENATE("          ", "4340", " - ", "SALES RETURN NON TAXABLE-LOGO")</f>
        <v xml:space="preserve">          4340 - SALES RETURN NON TAXABLE-LOGO</v>
      </c>
      <c r="C133" s="10"/>
      <c r="D133" s="2">
        <f>-143.74</f>
        <v>-143.74</v>
      </c>
      <c r="E133" s="2"/>
      <c r="F133" s="19"/>
      <c r="G133" s="2"/>
      <c r="H133" s="2">
        <f>-598.43</f>
        <v>-598.42999999999995</v>
      </c>
      <c r="I133" s="2"/>
      <c r="J133" s="19"/>
      <c r="K133" s="2"/>
      <c r="L133" s="2">
        <f t="shared" si="0"/>
        <v>454.68999999999994</v>
      </c>
      <c r="M133" s="2"/>
      <c r="N133" s="19">
        <f t="shared" si="1"/>
        <v>-0.7598048226191868</v>
      </c>
      <c r="O133" s="10"/>
      <c r="P133" s="2">
        <f>-3451.26</f>
        <v>-3451.26</v>
      </c>
      <c r="Q133" s="2"/>
      <c r="R133" s="19"/>
      <c r="S133" s="2"/>
      <c r="T133" s="2">
        <f>-1618.83</f>
        <v>-1618.83</v>
      </c>
      <c r="U133" s="2"/>
      <c r="V133" s="19"/>
      <c r="W133" s="2"/>
      <c r="X133" s="2">
        <f t="shared" si="2"/>
        <v>-1832.4300000000003</v>
      </c>
      <c r="Y133" s="2"/>
      <c r="Z133" s="19">
        <f t="shared" si="3"/>
        <v>1.131947147013584</v>
      </c>
    </row>
    <row r="134" spans="1:26" s="23" customFormat="1" hidden="1" outlineLevel="1" x14ac:dyDescent="0.25">
      <c r="A134" s="44"/>
      <c r="B134" s="10" t="str">
        <f>CONCATENATE("          ", "4341", " - ", "SALES RETURN NON TAXABLE-LOGO")</f>
        <v xml:space="preserve">          4341 - SALES RETURN NON TAXABLE-LOGO</v>
      </c>
      <c r="C134" s="10"/>
      <c r="D134" s="2">
        <f>-104.3</f>
        <v>-104.3</v>
      </c>
      <c r="E134" s="2"/>
      <c r="F134" s="19"/>
      <c r="G134" s="2"/>
      <c r="H134" s="2">
        <f>-39.95</f>
        <v>-39.950000000000003</v>
      </c>
      <c r="I134" s="2"/>
      <c r="J134" s="19"/>
      <c r="K134" s="2"/>
      <c r="L134" s="2">
        <f t="shared" si="0"/>
        <v>-64.349999999999994</v>
      </c>
      <c r="M134" s="2"/>
      <c r="N134" s="19">
        <f t="shared" si="1"/>
        <v>1.610763454317897</v>
      </c>
      <c r="O134" s="10"/>
      <c r="P134" s="2">
        <f>-506.74</f>
        <v>-506.74</v>
      </c>
      <c r="Q134" s="2"/>
      <c r="R134" s="19"/>
      <c r="S134" s="2"/>
      <c r="T134" s="2">
        <f>-285.45</f>
        <v>-285.45</v>
      </c>
      <c r="U134" s="2"/>
      <c r="V134" s="19"/>
      <c r="W134" s="2"/>
      <c r="X134" s="2">
        <f t="shared" si="2"/>
        <v>-221.29000000000002</v>
      </c>
      <c r="Y134" s="2"/>
      <c r="Z134" s="19">
        <f t="shared" si="3"/>
        <v>0.77523208968295687</v>
      </c>
    </row>
    <row r="135" spans="1:26" s="23" customFormat="1" hidden="1" outlineLevel="1" x14ac:dyDescent="0.25">
      <c r="A135" s="44"/>
      <c r="B135" s="10" t="str">
        <f>CONCATENATE("          ", "4342", " - ", "SALES RETURN NON TAXABLE-EVERY")</f>
        <v xml:space="preserve">          4342 - SALES RETURN NON TAXABLE-EVERY</v>
      </c>
      <c r="C135" s="10"/>
      <c r="D135" s="2">
        <f t="shared" ref="D135:D140" si="39">0</f>
        <v>0</v>
      </c>
      <c r="E135" s="2"/>
      <c r="F135" s="19"/>
      <c r="G135" s="2"/>
      <c r="H135" s="2">
        <f t="shared" ref="H135:H140" si="40">0</f>
        <v>0</v>
      </c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0"/>
      <c r="P135" s="2">
        <f>-118.7</f>
        <v>-118.7</v>
      </c>
      <c r="Q135" s="2"/>
      <c r="R135" s="19"/>
      <c r="S135" s="2"/>
      <c r="T135" s="2">
        <f>-149.22</f>
        <v>-149.22</v>
      </c>
      <c r="U135" s="2"/>
      <c r="V135" s="19"/>
      <c r="W135" s="2"/>
      <c r="X135" s="2">
        <f t="shared" si="2"/>
        <v>30.519999999999996</v>
      </c>
      <c r="Y135" s="2"/>
      <c r="Z135" s="19">
        <f t="shared" si="3"/>
        <v>-0.20453022383058569</v>
      </c>
    </row>
    <row r="136" spans="1:26" s="23" customFormat="1" hidden="1" outlineLevel="1" x14ac:dyDescent="0.25">
      <c r="A136" s="44"/>
      <c r="B136" s="10" t="str">
        <f>CONCATENATE("          ", "4346", " - ", "SALES RETURN NON TAXABLE-COIN-")</f>
        <v xml:space="preserve">          4346 - SALES RETURN NON TAXABLE-COIN-</v>
      </c>
      <c r="C136" s="10"/>
      <c r="D136" s="2">
        <f t="shared" si="39"/>
        <v>0</v>
      </c>
      <c r="E136" s="2"/>
      <c r="F136" s="19"/>
      <c r="G136" s="2"/>
      <c r="H136" s="2">
        <f t="shared" si="40"/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0"/>
      <c r="P136" s="2">
        <f t="shared" ref="P136:P137" si="41">0</f>
        <v>0</v>
      </c>
      <c r="Q136" s="2"/>
      <c r="R136" s="19"/>
      <c r="S136" s="2"/>
      <c r="T136" s="2">
        <f>-8.15</f>
        <v>-8.15</v>
      </c>
      <c r="U136" s="2"/>
      <c r="V136" s="19"/>
      <c r="W136" s="2"/>
      <c r="X136" s="2">
        <f t="shared" si="2"/>
        <v>8.15</v>
      </c>
      <c r="Y136" s="2"/>
      <c r="Z136" s="19">
        <f t="shared" si="3"/>
        <v>-1</v>
      </c>
    </row>
    <row r="137" spans="1:26" s="23" customFormat="1" hidden="1" outlineLevel="1" x14ac:dyDescent="0.25">
      <c r="A137" s="44"/>
      <c r="B137" s="10" t="str">
        <f>CONCATENATE("          ", "4347", " - ", "SALES RETURN NON TAXABLE-MISC")</f>
        <v xml:space="preserve">          4347 - SALES RETURN NON TAXABLE-MISC</v>
      </c>
      <c r="C137" s="10"/>
      <c r="D137" s="2">
        <f t="shared" si="39"/>
        <v>0</v>
      </c>
      <c r="E137" s="2"/>
      <c r="F137" s="19"/>
      <c r="G137" s="2"/>
      <c r="H137" s="2">
        <f t="shared" si="40"/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0"/>
      <c r="P137" s="2">
        <f t="shared" si="41"/>
        <v>0</v>
      </c>
      <c r="Q137" s="2"/>
      <c r="R137" s="19"/>
      <c r="S137" s="2"/>
      <c r="T137" s="2">
        <f>-84</f>
        <v>-84</v>
      </c>
      <c r="U137" s="2"/>
      <c r="V137" s="19"/>
      <c r="W137" s="2"/>
      <c r="X137" s="2">
        <f t="shared" si="2"/>
        <v>84</v>
      </c>
      <c r="Y137" s="2"/>
      <c r="Z137" s="19">
        <f t="shared" si="3"/>
        <v>-1</v>
      </c>
    </row>
    <row r="138" spans="1:26" s="23" customFormat="1" hidden="1" outlineLevel="1" x14ac:dyDescent="0.25">
      <c r="A138" s="44"/>
      <c r="B138" s="10" t="str">
        <f>CONCATENATE("          ", "4381", " - ", "SALES RETURN NON TAXABLE-ELECT")</f>
        <v xml:space="preserve">          4381 - SALES RETURN NON TAXABLE-ELECT</v>
      </c>
      <c r="C138" s="10"/>
      <c r="D138" s="2">
        <f t="shared" si="39"/>
        <v>0</v>
      </c>
      <c r="E138" s="2"/>
      <c r="F138" s="19"/>
      <c r="G138" s="2"/>
      <c r="H138" s="2">
        <f t="shared" si="40"/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0"/>
      <c r="P138" s="2">
        <f>-5624.15</f>
        <v>-5624.15</v>
      </c>
      <c r="Q138" s="2"/>
      <c r="R138" s="19"/>
      <c r="S138" s="2"/>
      <c r="T138" s="2">
        <f>-1279.84</f>
        <v>-1279.8399999999999</v>
      </c>
      <c r="U138" s="2"/>
      <c r="V138" s="19"/>
      <c r="W138" s="2"/>
      <c r="X138" s="2">
        <f t="shared" si="2"/>
        <v>-4344.3099999999995</v>
      </c>
      <c r="Y138" s="2"/>
      <c r="Z138" s="19">
        <f t="shared" si="3"/>
        <v>3.3944164895611948</v>
      </c>
    </row>
    <row r="139" spans="1:26" s="23" customFormat="1" hidden="1" outlineLevel="1" x14ac:dyDescent="0.25">
      <c r="A139" s="44"/>
      <c r="B139" s="10" t="str">
        <f>CONCATENATE("          ", "4383", " - ", "SALES RETURN NON TAXABLE-COMPU")</f>
        <v xml:space="preserve">          4383 - SALES RETURN NON TAXABLE-COMPU</v>
      </c>
      <c r="C139" s="10"/>
      <c r="D139" s="2">
        <f t="shared" si="39"/>
        <v>0</v>
      </c>
      <c r="E139" s="2"/>
      <c r="F139" s="19"/>
      <c r="G139" s="2"/>
      <c r="H139" s="2">
        <f t="shared" si="40"/>
        <v>0</v>
      </c>
      <c r="I139" s="2"/>
      <c r="J139" s="19"/>
      <c r="K139" s="2"/>
      <c r="L139" s="2">
        <f t="shared" si="0"/>
        <v>0</v>
      </c>
      <c r="M139" s="2"/>
      <c r="N139" s="19">
        <f t="shared" si="1"/>
        <v>0</v>
      </c>
      <c r="O139" s="10"/>
      <c r="P139" s="2">
        <f>-14.99</f>
        <v>-14.99</v>
      </c>
      <c r="Q139" s="2"/>
      <c r="R139" s="19"/>
      <c r="S139" s="2"/>
      <c r="T139" s="2">
        <f>-49.98</f>
        <v>-49.98</v>
      </c>
      <c r="U139" s="2"/>
      <c r="V139" s="19"/>
      <c r="W139" s="2"/>
      <c r="X139" s="2">
        <f t="shared" si="2"/>
        <v>34.989999999999995</v>
      </c>
      <c r="Y139" s="2"/>
      <c r="Z139" s="19">
        <f t="shared" si="3"/>
        <v>-0.70008003201280511</v>
      </c>
    </row>
    <row r="140" spans="1:26" s="23" customFormat="1" hidden="1" outlineLevel="1" x14ac:dyDescent="0.25">
      <c r="A140" s="44"/>
      <c r="B140" s="10" t="str">
        <f>CONCATENATE("          ", "4386", " - ", "SALES RETURN NON TAXABLE-COMPU")</f>
        <v xml:space="preserve">          4386 - SALES RETURN NON TAXABLE-COMPU</v>
      </c>
      <c r="C140" s="10"/>
      <c r="D140" s="2">
        <f t="shared" si="39"/>
        <v>0</v>
      </c>
      <c r="E140" s="2"/>
      <c r="F140" s="19"/>
      <c r="G140" s="2"/>
      <c r="H140" s="2">
        <f t="shared" si="40"/>
        <v>0</v>
      </c>
      <c r="I140" s="2"/>
      <c r="J140" s="19"/>
      <c r="K140" s="2"/>
      <c r="L140" s="2">
        <f t="shared" si="0"/>
        <v>0</v>
      </c>
      <c r="M140" s="2"/>
      <c r="N140" s="19">
        <f t="shared" si="1"/>
        <v>0</v>
      </c>
      <c r="O140" s="10"/>
      <c r="P140" s="2">
        <f>0</f>
        <v>0</v>
      </c>
      <c r="Q140" s="2"/>
      <c r="R140" s="19"/>
      <c r="S140" s="2"/>
      <c r="T140" s="2">
        <f>-104.96</f>
        <v>-104.96</v>
      </c>
      <c r="U140" s="2"/>
      <c r="V140" s="19"/>
      <c r="W140" s="2"/>
      <c r="X140" s="2">
        <f t="shared" si="2"/>
        <v>104.96</v>
      </c>
      <c r="Y140" s="2"/>
      <c r="Z140" s="19">
        <f t="shared" si="3"/>
        <v>-1</v>
      </c>
    </row>
    <row r="141" spans="1:26" x14ac:dyDescent="0.25">
      <c r="A141" s="9"/>
      <c r="B141" s="11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4" customFormat="1" collapsed="1" x14ac:dyDescent="0.25">
      <c r="A142" s="11"/>
      <c r="B142" s="29" t="s">
        <v>256</v>
      </c>
      <c r="C142" s="11"/>
      <c r="D142" s="4">
        <f>SUM(OSRRefD16x_0)</f>
        <v>334574</v>
      </c>
      <c r="E142" s="4"/>
      <c r="F142" s="13">
        <f t="shared" ref="F142:F203" si="42">IF(D$12=0,0,D142/D$12)</f>
        <v>0.41383939475601994</v>
      </c>
      <c r="G142" s="4"/>
      <c r="H142" s="4">
        <f>SUM(OSRRefH16x_0)</f>
        <v>287855.75000000006</v>
      </c>
      <c r="I142" s="4"/>
      <c r="J142" s="13">
        <f t="shared" ref="J142:J203" si="43">IF(H$12=0,0,H142/H$12)</f>
        <v>0.5699905955905531</v>
      </c>
      <c r="K142" s="4"/>
      <c r="L142" s="4">
        <f t="shared" ref="L142:L203" si="44">+D142-H142</f>
        <v>46718.249999999942</v>
      </c>
      <c r="M142" s="4"/>
      <c r="N142" s="13">
        <f t="shared" ref="N142:N203" si="45">IF(H142=0,0,L142/H142)</f>
        <v>0.16229743543424069</v>
      </c>
      <c r="O142" s="11"/>
      <c r="P142" s="4">
        <f>SUM(OSRRefP16x_0)</f>
        <v>5970496.9100000011</v>
      </c>
      <c r="Q142" s="4"/>
      <c r="R142" s="13">
        <f t="shared" ref="R142:R203" si="46">IF(P$12=0,0,P142/P$12)</f>
        <v>0.60847137781565741</v>
      </c>
      <c r="S142" s="4"/>
      <c r="T142" s="4">
        <f>SUM(OSRRefT16x_0)</f>
        <v>12442770.380000003</v>
      </c>
      <c r="U142" s="4"/>
      <c r="V142" s="13">
        <f t="shared" ref="V142:V203" si="47">IF(T$12=0,0,T142/T$12)</f>
        <v>0.44361355150999576</v>
      </c>
      <c r="W142" s="4"/>
      <c r="X142" s="4">
        <f t="shared" ref="X142:X203" si="48">+P142-T142</f>
        <v>-6472273.4700000016</v>
      </c>
      <c r="Y142" s="4"/>
      <c r="Z142" s="13">
        <f t="shared" ref="Z142:Z203" si="49">IF(T142=0,0,X142/T142)</f>
        <v>-0.52016337779593425</v>
      </c>
    </row>
    <row r="143" spans="1:26" s="23" customFormat="1" hidden="1" outlineLevel="1" x14ac:dyDescent="0.25">
      <c r="A143" s="44"/>
      <c r="B143" s="10" t="str">
        <f>CONCATENATE("          ", "5000", " - ", "PURCHASES @ COST")</f>
        <v xml:space="preserve">          5000 - PURCHASES @ COST</v>
      </c>
      <c r="C143" s="10"/>
      <c r="D143" s="2"/>
      <c r="E143" s="2"/>
      <c r="F143" s="19">
        <f t="shared" si="42"/>
        <v>0</v>
      </c>
      <c r="G143" s="2"/>
      <c r="H143" s="2">
        <v>0</v>
      </c>
      <c r="I143" s="2"/>
      <c r="J143" s="19">
        <f t="shared" si="43"/>
        <v>0</v>
      </c>
      <c r="K143" s="2"/>
      <c r="L143" s="2">
        <f t="shared" si="44"/>
        <v>0</v>
      </c>
      <c r="M143" s="2"/>
      <c r="N143" s="19">
        <f t="shared" si="45"/>
        <v>0</v>
      </c>
      <c r="O143" s="10"/>
      <c r="P143" s="2">
        <v>0</v>
      </c>
      <c r="Q143" s="2"/>
      <c r="R143" s="19">
        <f t="shared" si="46"/>
        <v>0</v>
      </c>
      <c r="S143" s="2"/>
      <c r="T143" s="2">
        <v>0</v>
      </c>
      <c r="U143" s="2"/>
      <c r="V143" s="19">
        <f t="shared" si="47"/>
        <v>0</v>
      </c>
      <c r="W143" s="2"/>
      <c r="X143" s="2">
        <f t="shared" si="48"/>
        <v>0</v>
      </c>
      <c r="Y143" s="2"/>
      <c r="Z143" s="19">
        <f t="shared" si="49"/>
        <v>0</v>
      </c>
    </row>
    <row r="144" spans="1:26" s="23" customFormat="1" hidden="1" outlineLevel="1" x14ac:dyDescent="0.25">
      <c r="A144" s="44"/>
      <c r="B144" s="10" t="str">
        <f>CONCATENATE("          ", "5001", " - ", "PURCHASES @ COST-NEW TEXT")</f>
        <v xml:space="preserve">          5001 - PURCHASES @ COST-NEW TEXT</v>
      </c>
      <c r="C144" s="10"/>
      <c r="D144" s="2">
        <v>65020.01</v>
      </c>
      <c r="E144" s="2"/>
      <c r="F144" s="19">
        <f t="shared" si="42"/>
        <v>8.0424185936236417E-2</v>
      </c>
      <c r="G144" s="2"/>
      <c r="H144" s="2">
        <v>71528.210000000006</v>
      </c>
      <c r="I144" s="2"/>
      <c r="J144" s="19">
        <f t="shared" si="43"/>
        <v>0.14163485363563574</v>
      </c>
      <c r="K144" s="2"/>
      <c r="L144" s="2">
        <f t="shared" si="44"/>
        <v>-6508.2000000000044</v>
      </c>
      <c r="M144" s="2"/>
      <c r="N144" s="19">
        <f t="shared" si="45"/>
        <v>-9.0987877370341072E-2</v>
      </c>
      <c r="O144" s="10"/>
      <c r="P144" s="2">
        <v>1071566.48</v>
      </c>
      <c r="Q144" s="2"/>
      <c r="R144" s="19">
        <f t="shared" si="46"/>
        <v>0.10920657733104396</v>
      </c>
      <c r="S144" s="2"/>
      <c r="T144" s="2">
        <v>1641280.46</v>
      </c>
      <c r="U144" s="2"/>
      <c r="V144" s="19">
        <f t="shared" si="47"/>
        <v>5.8515445648251153E-2</v>
      </c>
      <c r="W144" s="2"/>
      <c r="X144" s="2">
        <f t="shared" si="48"/>
        <v>-569713.98</v>
      </c>
      <c r="Y144" s="2"/>
      <c r="Z144" s="19">
        <f t="shared" si="49"/>
        <v>-0.34711555635043628</v>
      </c>
    </row>
    <row r="145" spans="1:26" s="23" customFormat="1" hidden="1" outlineLevel="1" x14ac:dyDescent="0.25">
      <c r="A145" s="44"/>
      <c r="B145" s="10" t="str">
        <f>CONCATENATE("          ", "5002", " - ", "PURCHASES @ COST-USED TEXT")</f>
        <v xml:space="preserve">          5002 - PURCHASES @ COST-USED TEXT</v>
      </c>
      <c r="C145" s="10"/>
      <c r="D145" s="2">
        <v>4952.26</v>
      </c>
      <c r="E145" s="2"/>
      <c r="F145" s="19">
        <f t="shared" si="42"/>
        <v>6.1255216516359528E-3</v>
      </c>
      <c r="G145" s="2"/>
      <c r="H145" s="2">
        <v>14738.6</v>
      </c>
      <c r="I145" s="2"/>
      <c r="J145" s="19">
        <f t="shared" si="43"/>
        <v>2.9184282030742567E-2</v>
      </c>
      <c r="K145" s="2"/>
      <c r="L145" s="2">
        <f t="shared" si="44"/>
        <v>-9786.34</v>
      </c>
      <c r="M145" s="2"/>
      <c r="N145" s="19">
        <f t="shared" si="45"/>
        <v>-0.66399386644593106</v>
      </c>
      <c r="O145" s="10"/>
      <c r="P145" s="2">
        <v>279913.28000000003</v>
      </c>
      <c r="Q145" s="2"/>
      <c r="R145" s="19">
        <f t="shared" si="46"/>
        <v>2.8526808022500072E-2</v>
      </c>
      <c r="S145" s="2"/>
      <c r="T145" s="2">
        <v>610321.38</v>
      </c>
      <c r="U145" s="2"/>
      <c r="V145" s="19">
        <f t="shared" si="47"/>
        <v>2.1759369230140983E-2</v>
      </c>
      <c r="W145" s="2"/>
      <c r="X145" s="2">
        <f t="shared" si="48"/>
        <v>-330408.09999999998</v>
      </c>
      <c r="Y145" s="2"/>
      <c r="Z145" s="19">
        <f t="shared" si="49"/>
        <v>-0.54136740220373725</v>
      </c>
    </row>
    <row r="146" spans="1:26" s="23" customFormat="1" hidden="1" outlineLevel="1" x14ac:dyDescent="0.25">
      <c r="A146" s="44"/>
      <c r="B146" s="10" t="str">
        <f>CONCATENATE("          ", "5003", " - ", "PURCHASES @ COST-RENTAL TEXT")</f>
        <v xml:space="preserve">          5003 - PURCHASES @ COST-RENTAL TEXT</v>
      </c>
      <c r="C146" s="10"/>
      <c r="D146" s="2">
        <v>7179.56</v>
      </c>
      <c r="E146" s="2"/>
      <c r="F146" s="19">
        <f t="shared" si="42"/>
        <v>8.8805010700608259E-3</v>
      </c>
      <c r="G146" s="2"/>
      <c r="H146" s="2"/>
      <c r="I146" s="2"/>
      <c r="J146" s="19">
        <f t="shared" si="43"/>
        <v>0</v>
      </c>
      <c r="K146" s="2"/>
      <c r="L146" s="2">
        <f t="shared" si="44"/>
        <v>7179.56</v>
      </c>
      <c r="M146" s="2"/>
      <c r="N146" s="19">
        <f t="shared" si="45"/>
        <v>0</v>
      </c>
      <c r="O146" s="10"/>
      <c r="P146" s="2">
        <v>7212.08</v>
      </c>
      <c r="Q146" s="2"/>
      <c r="R146" s="19">
        <f t="shared" si="46"/>
        <v>7.3500486151608204E-4</v>
      </c>
      <c r="S146" s="2"/>
      <c r="T146" s="2">
        <v>-78.400000000000006</v>
      </c>
      <c r="U146" s="2"/>
      <c r="V146" s="19">
        <f t="shared" si="47"/>
        <v>-2.7951413854173897E-6</v>
      </c>
      <c r="W146" s="2"/>
      <c r="X146" s="2">
        <f t="shared" si="48"/>
        <v>7290.48</v>
      </c>
      <c r="Y146" s="2"/>
      <c r="Z146" s="19">
        <f t="shared" si="49"/>
        <v>-92.990816326530606</v>
      </c>
    </row>
    <row r="147" spans="1:26" s="23" customFormat="1" hidden="1" outlineLevel="1" x14ac:dyDescent="0.25">
      <c r="A147" s="44"/>
      <c r="B147" s="10" t="str">
        <f>CONCATENATE("          ", "5004", " - ", "PURCHASES @ COST-DIGITAL TEXT")</f>
        <v xml:space="preserve">          5004 - PURCHASES @ COST-DIGITAL TEXT</v>
      </c>
      <c r="C147" s="10"/>
      <c r="D147" s="2">
        <v>-7843.95</v>
      </c>
      <c r="E147" s="2"/>
      <c r="F147" s="19">
        <f t="shared" si="42"/>
        <v>-9.7022946209104188E-3</v>
      </c>
      <c r="G147" s="2"/>
      <c r="H147" s="2">
        <v>-46518.26</v>
      </c>
      <c r="I147" s="2"/>
      <c r="J147" s="19">
        <f t="shared" si="43"/>
        <v>-9.211200652839556E-2</v>
      </c>
      <c r="K147" s="2"/>
      <c r="L147" s="2">
        <f t="shared" si="44"/>
        <v>38674.310000000005</v>
      </c>
      <c r="M147" s="2"/>
      <c r="N147" s="19">
        <f t="shared" si="45"/>
        <v>-0.83137911865147152</v>
      </c>
      <c r="O147" s="10"/>
      <c r="P147" s="2">
        <v>199606.43</v>
      </c>
      <c r="Q147" s="2"/>
      <c r="R147" s="19">
        <f t="shared" si="46"/>
        <v>2.0342494320621723E-2</v>
      </c>
      <c r="S147" s="2"/>
      <c r="T147" s="2">
        <v>446269.65</v>
      </c>
      <c r="U147" s="2"/>
      <c r="V147" s="19">
        <f t="shared" si="47"/>
        <v>1.5910545507279765E-2</v>
      </c>
      <c r="W147" s="2"/>
      <c r="X147" s="2">
        <f t="shared" si="48"/>
        <v>-246663.22000000003</v>
      </c>
      <c r="Y147" s="2"/>
      <c r="Z147" s="19">
        <f t="shared" si="49"/>
        <v>-0.55272237312127326</v>
      </c>
    </row>
    <row r="148" spans="1:26" s="23" customFormat="1" hidden="1" outlineLevel="1" x14ac:dyDescent="0.25">
      <c r="A148" s="44"/>
      <c r="B148" s="10" t="str">
        <f>CONCATENATE("          ", "5011", " - ", "PURCHASES @ COST-NO VALUE TEXT")</f>
        <v xml:space="preserve">          5011 - PURCHASES @ COST-NO VALUE TEXT</v>
      </c>
      <c r="C148" s="10"/>
      <c r="D148" s="2"/>
      <c r="E148" s="2"/>
      <c r="F148" s="19">
        <f t="shared" si="42"/>
        <v>0</v>
      </c>
      <c r="G148" s="2"/>
      <c r="H148" s="2"/>
      <c r="I148" s="2"/>
      <c r="J148" s="19">
        <f t="shared" si="43"/>
        <v>0</v>
      </c>
      <c r="K148" s="2"/>
      <c r="L148" s="2">
        <f t="shared" si="44"/>
        <v>0</v>
      </c>
      <c r="M148" s="2"/>
      <c r="N148" s="19">
        <f t="shared" si="45"/>
        <v>0</v>
      </c>
      <c r="O148" s="10"/>
      <c r="P148" s="2">
        <v>67.17</v>
      </c>
      <c r="Q148" s="2"/>
      <c r="R148" s="19">
        <f t="shared" si="46"/>
        <v>6.8454976300921835E-6</v>
      </c>
      <c r="S148" s="2"/>
      <c r="T148" s="2">
        <v>6363</v>
      </c>
      <c r="U148" s="2"/>
      <c r="V148" s="19">
        <f t="shared" si="47"/>
        <v>2.2685567137003637E-4</v>
      </c>
      <c r="W148" s="2"/>
      <c r="X148" s="2">
        <f t="shared" si="48"/>
        <v>-6295.83</v>
      </c>
      <c r="Y148" s="2"/>
      <c r="Z148" s="19">
        <f t="shared" si="49"/>
        <v>-0.98944365865157946</v>
      </c>
    </row>
    <row r="149" spans="1:26" s="23" customFormat="1" hidden="1" outlineLevel="1" x14ac:dyDescent="0.25">
      <c r="A149" s="44"/>
      <c r="B149" s="10" t="str">
        <f>CONCATENATE("          ", "5013", " - ", "PURCHASES @ COST-TRADE BOOKS")</f>
        <v xml:space="preserve">          5013 - PURCHASES @ COST-TRADE BOOKS</v>
      </c>
      <c r="C149" s="10"/>
      <c r="D149" s="2"/>
      <c r="E149" s="2"/>
      <c r="F149" s="19">
        <f t="shared" si="42"/>
        <v>0</v>
      </c>
      <c r="G149" s="2"/>
      <c r="H149" s="2"/>
      <c r="I149" s="2"/>
      <c r="J149" s="19">
        <f t="shared" si="43"/>
        <v>0</v>
      </c>
      <c r="K149" s="2"/>
      <c r="L149" s="2">
        <f t="shared" si="44"/>
        <v>0</v>
      </c>
      <c r="M149" s="2"/>
      <c r="N149" s="19">
        <f t="shared" si="45"/>
        <v>0</v>
      </c>
      <c r="O149" s="10"/>
      <c r="P149" s="2">
        <v>9670.02</v>
      </c>
      <c r="Q149" s="2"/>
      <c r="R149" s="19">
        <f t="shared" si="46"/>
        <v>9.8550095270126558E-4</v>
      </c>
      <c r="S149" s="2"/>
      <c r="T149" s="2">
        <v>3197.85</v>
      </c>
      <c r="U149" s="2"/>
      <c r="V149" s="19">
        <f t="shared" si="47"/>
        <v>1.1401075101220662E-4</v>
      </c>
      <c r="W149" s="2"/>
      <c r="X149" s="2">
        <f t="shared" si="48"/>
        <v>6472.17</v>
      </c>
      <c r="Y149" s="2"/>
      <c r="Z149" s="19">
        <f t="shared" si="49"/>
        <v>2.0239129415075756</v>
      </c>
    </row>
    <row r="150" spans="1:26" s="23" customFormat="1" hidden="1" outlineLevel="1" x14ac:dyDescent="0.25">
      <c r="A150" s="44"/>
      <c r="B150" s="10" t="str">
        <f>CONCATENATE("          ", "5014", " - ", "PURCHASES @ COST-REMAINDERS")</f>
        <v xml:space="preserve">          5014 - PURCHASES @ COST-REMAINDERS</v>
      </c>
      <c r="C150" s="10"/>
      <c r="D150" s="2"/>
      <c r="E150" s="2"/>
      <c r="F150" s="19">
        <f t="shared" si="42"/>
        <v>0</v>
      </c>
      <c r="G150" s="2"/>
      <c r="H150" s="2"/>
      <c r="I150" s="2"/>
      <c r="J150" s="19">
        <f t="shared" si="43"/>
        <v>0</v>
      </c>
      <c r="K150" s="2"/>
      <c r="L150" s="2">
        <f t="shared" si="44"/>
        <v>0</v>
      </c>
      <c r="M150" s="2"/>
      <c r="N150" s="19">
        <f t="shared" si="45"/>
        <v>0</v>
      </c>
      <c r="O150" s="10"/>
      <c r="P150" s="2">
        <v>111.57</v>
      </c>
      <c r="Q150" s="2"/>
      <c r="R150" s="19">
        <f t="shared" si="46"/>
        <v>1.1370435768786435E-5</v>
      </c>
      <c r="S150" s="2"/>
      <c r="T150" s="2">
        <v>615.07000000000005</v>
      </c>
      <c r="U150" s="2"/>
      <c r="V150" s="19">
        <f t="shared" si="47"/>
        <v>2.1928668519498393E-5</v>
      </c>
      <c r="W150" s="2"/>
      <c r="X150" s="2">
        <f t="shared" si="48"/>
        <v>-503.50000000000006</v>
      </c>
      <c r="Y150" s="2"/>
      <c r="Z150" s="19">
        <f t="shared" si="49"/>
        <v>-0.81860601232380059</v>
      </c>
    </row>
    <row r="151" spans="1:26" s="23" customFormat="1" hidden="1" outlineLevel="1" x14ac:dyDescent="0.25">
      <c r="A151" s="44"/>
      <c r="B151" s="10" t="str">
        <f>CONCATENATE("          ", "5017", " - ", "PURCHASES @ COST-DORM/HOUSEWAR")</f>
        <v xml:space="preserve">          5017 - PURCHASES @ COST-DORM/HOUSEWAR</v>
      </c>
      <c r="C151" s="10"/>
      <c r="D151" s="2"/>
      <c r="E151" s="2"/>
      <c r="F151" s="19">
        <f t="shared" si="42"/>
        <v>0</v>
      </c>
      <c r="G151" s="2"/>
      <c r="H151" s="2"/>
      <c r="I151" s="2"/>
      <c r="J151" s="19">
        <f t="shared" si="43"/>
        <v>0</v>
      </c>
      <c r="K151" s="2"/>
      <c r="L151" s="2">
        <f t="shared" si="44"/>
        <v>0</v>
      </c>
      <c r="M151" s="2"/>
      <c r="N151" s="19">
        <f t="shared" si="45"/>
        <v>0</v>
      </c>
      <c r="O151" s="10"/>
      <c r="P151" s="2"/>
      <c r="Q151" s="2"/>
      <c r="R151" s="19">
        <f t="shared" si="46"/>
        <v>0</v>
      </c>
      <c r="S151" s="2"/>
      <c r="T151" s="2">
        <v>14.46</v>
      </c>
      <c r="U151" s="2"/>
      <c r="V151" s="19">
        <f t="shared" si="47"/>
        <v>5.1553245450427881E-7</v>
      </c>
      <c r="W151" s="2"/>
      <c r="X151" s="2">
        <f t="shared" si="48"/>
        <v>-14.46</v>
      </c>
      <c r="Y151" s="2"/>
      <c r="Z151" s="19">
        <f t="shared" si="49"/>
        <v>-1</v>
      </c>
    </row>
    <row r="152" spans="1:26" s="23" customFormat="1" hidden="1" outlineLevel="1" x14ac:dyDescent="0.25">
      <c r="A152" s="44"/>
      <c r="B152" s="10" t="str">
        <f>CONCATENATE("          ", "5018", " - ", "PURCHASES @ COST-STUDY GUIDES")</f>
        <v xml:space="preserve">          5018 - PURCHASES @ COST-STUDY GUIDES</v>
      </c>
      <c r="C152" s="10"/>
      <c r="D152" s="2"/>
      <c r="E152" s="2"/>
      <c r="F152" s="19">
        <f t="shared" si="42"/>
        <v>0</v>
      </c>
      <c r="G152" s="2"/>
      <c r="H152" s="2"/>
      <c r="I152" s="2"/>
      <c r="J152" s="19">
        <f t="shared" si="43"/>
        <v>0</v>
      </c>
      <c r="K152" s="2"/>
      <c r="L152" s="2">
        <f t="shared" si="44"/>
        <v>0</v>
      </c>
      <c r="M152" s="2"/>
      <c r="N152" s="19">
        <f t="shared" si="45"/>
        <v>0</v>
      </c>
      <c r="O152" s="10"/>
      <c r="P152" s="2">
        <v>967.21</v>
      </c>
      <c r="Q152" s="2"/>
      <c r="R152" s="19">
        <f t="shared" si="46"/>
        <v>9.8571293178524049E-5</v>
      </c>
      <c r="S152" s="2"/>
      <c r="T152" s="2">
        <v>-205.14</v>
      </c>
      <c r="U152" s="2"/>
      <c r="V152" s="19">
        <f t="shared" si="47"/>
        <v>-7.3137156097515725E-6</v>
      </c>
      <c r="W152" s="2"/>
      <c r="X152" s="2">
        <f t="shared" si="48"/>
        <v>1172.3499999999999</v>
      </c>
      <c r="Y152" s="2"/>
      <c r="Z152" s="19">
        <f t="shared" si="49"/>
        <v>-5.7148776445354388</v>
      </c>
    </row>
    <row r="153" spans="1:26" s="23" customFormat="1" hidden="1" outlineLevel="1" x14ac:dyDescent="0.25">
      <c r="A153" s="44"/>
      <c r="B153" s="10" t="str">
        <f>CONCATENATE("          ", "5025", " - ", "PURCHASES @ COST-TEST FORMS")</f>
        <v xml:space="preserve">          5025 - PURCHASES @ COST-TEST FORMS</v>
      </c>
      <c r="C153" s="10"/>
      <c r="D153" s="2"/>
      <c r="E153" s="2"/>
      <c r="F153" s="19">
        <f t="shared" si="42"/>
        <v>0</v>
      </c>
      <c r="G153" s="2"/>
      <c r="H153" s="2"/>
      <c r="I153" s="2"/>
      <c r="J153" s="19">
        <f t="shared" si="43"/>
        <v>0</v>
      </c>
      <c r="K153" s="2"/>
      <c r="L153" s="2">
        <f t="shared" si="44"/>
        <v>0</v>
      </c>
      <c r="M153" s="2"/>
      <c r="N153" s="19">
        <f t="shared" si="45"/>
        <v>0</v>
      </c>
      <c r="O153" s="10"/>
      <c r="P153" s="2">
        <v>599.29</v>
      </c>
      <c r="Q153" s="2"/>
      <c r="R153" s="19">
        <f t="shared" si="46"/>
        <v>6.1075454440046812E-5</v>
      </c>
      <c r="S153" s="2"/>
      <c r="T153" s="2">
        <v>26400.39</v>
      </c>
      <c r="U153" s="2"/>
      <c r="V153" s="19">
        <f t="shared" si="47"/>
        <v>9.4123498316529841E-4</v>
      </c>
      <c r="W153" s="2"/>
      <c r="X153" s="2">
        <f t="shared" si="48"/>
        <v>-25801.1</v>
      </c>
      <c r="Y153" s="2"/>
      <c r="Z153" s="19">
        <f t="shared" si="49"/>
        <v>-0.97729995655367208</v>
      </c>
    </row>
    <row r="154" spans="1:26" s="23" customFormat="1" hidden="1" outlineLevel="1" x14ac:dyDescent="0.25">
      <c r="A154" s="44"/>
      <c r="B154" s="10" t="str">
        <f>CONCATENATE("          ", "5026", " - ", "PURCHASES @ COST-WRITING INSTR")</f>
        <v xml:space="preserve">          5026 - PURCHASES @ COST-WRITING INSTR</v>
      </c>
      <c r="C154" s="10"/>
      <c r="D154" s="2">
        <v>-2.0499999999999998</v>
      </c>
      <c r="E154" s="2"/>
      <c r="F154" s="19">
        <f t="shared" si="42"/>
        <v>-2.5356744972706807E-6</v>
      </c>
      <c r="G154" s="2"/>
      <c r="H154" s="2">
        <v>-7248</v>
      </c>
      <c r="I154" s="2"/>
      <c r="J154" s="19">
        <f t="shared" si="43"/>
        <v>-1.4351951756531972E-2</v>
      </c>
      <c r="K154" s="2"/>
      <c r="L154" s="2">
        <f t="shared" si="44"/>
        <v>7245.95</v>
      </c>
      <c r="M154" s="2"/>
      <c r="N154" s="19">
        <f t="shared" si="45"/>
        <v>-0.99971716335540839</v>
      </c>
      <c r="O154" s="10"/>
      <c r="P154" s="2">
        <v>582.5</v>
      </c>
      <c r="Q154" s="2"/>
      <c r="R154" s="19">
        <f t="shared" si="46"/>
        <v>5.936433481507662E-5</v>
      </c>
      <c r="S154" s="2"/>
      <c r="T154" s="2">
        <v>44186.57</v>
      </c>
      <c r="U154" s="2"/>
      <c r="V154" s="19">
        <f t="shared" si="47"/>
        <v>1.5753534500847254E-3</v>
      </c>
      <c r="W154" s="2"/>
      <c r="X154" s="2">
        <f t="shared" si="48"/>
        <v>-43604.07</v>
      </c>
      <c r="Y154" s="2"/>
      <c r="Z154" s="19">
        <f t="shared" si="49"/>
        <v>-0.98681726144391835</v>
      </c>
    </row>
    <row r="155" spans="1:26" s="23" customFormat="1" hidden="1" outlineLevel="1" x14ac:dyDescent="0.25">
      <c r="A155" s="44"/>
      <c r="B155" s="10" t="str">
        <f>CONCATENATE("          ", "5027", " - ", "PURCHASES @ COST-SCHOOL SUPPLI")</f>
        <v xml:space="preserve">          5027 - PURCHASES @ COST-SCHOOL SUPPLI</v>
      </c>
      <c r="C155" s="10"/>
      <c r="D155" s="2">
        <v>0.39</v>
      </c>
      <c r="E155" s="2"/>
      <c r="F155" s="19">
        <f t="shared" si="42"/>
        <v>4.8239661167588573E-7</v>
      </c>
      <c r="G155" s="2"/>
      <c r="H155" s="2">
        <v>-2393.63</v>
      </c>
      <c r="I155" s="2"/>
      <c r="J155" s="19">
        <f t="shared" si="43"/>
        <v>-4.739688504827211E-3</v>
      </c>
      <c r="K155" s="2"/>
      <c r="L155" s="2">
        <f t="shared" si="44"/>
        <v>2394.02</v>
      </c>
      <c r="M155" s="2"/>
      <c r="N155" s="19">
        <f t="shared" si="45"/>
        <v>-1.0001629324498773</v>
      </c>
      <c r="O155" s="10"/>
      <c r="P155" s="2">
        <v>23734.99</v>
      </c>
      <c r="Q155" s="2"/>
      <c r="R155" s="19">
        <f t="shared" si="46"/>
        <v>2.4189045376695204E-3</v>
      </c>
      <c r="S155" s="2"/>
      <c r="T155" s="2">
        <v>141214.54</v>
      </c>
      <c r="U155" s="2"/>
      <c r="V155" s="19">
        <f t="shared" si="47"/>
        <v>5.0346250634780536E-3</v>
      </c>
      <c r="W155" s="2"/>
      <c r="X155" s="2">
        <f t="shared" si="48"/>
        <v>-117479.55</v>
      </c>
      <c r="Y155" s="2"/>
      <c r="Z155" s="19">
        <f t="shared" si="49"/>
        <v>-0.83192247767120864</v>
      </c>
    </row>
    <row r="156" spans="1:26" s="23" customFormat="1" hidden="1" outlineLevel="1" x14ac:dyDescent="0.25">
      <c r="A156" s="44"/>
      <c r="B156" s="10" t="str">
        <f>CONCATENATE("          ", "5028", " - ", "PURCHASES @ COST-ART/TECH")</f>
        <v xml:space="preserve">          5028 - PURCHASES @ COST-ART/TECH</v>
      </c>
      <c r="C156" s="10"/>
      <c r="D156" s="2">
        <v>674.12</v>
      </c>
      <c r="E156" s="2"/>
      <c r="F156" s="19">
        <f t="shared" si="42"/>
        <v>8.3382872785371296E-4</v>
      </c>
      <c r="G156" s="2"/>
      <c r="H156" s="2">
        <v>-60.3</v>
      </c>
      <c r="I156" s="2"/>
      <c r="J156" s="19">
        <f t="shared" si="43"/>
        <v>-1.1940158539167741E-4</v>
      </c>
      <c r="K156" s="2"/>
      <c r="L156" s="2">
        <f t="shared" si="44"/>
        <v>734.42</v>
      </c>
      <c r="M156" s="2"/>
      <c r="N156" s="19">
        <f t="shared" si="45"/>
        <v>-12.179436152570482</v>
      </c>
      <c r="O156" s="10"/>
      <c r="P156" s="2">
        <v>47680.74</v>
      </c>
      <c r="Q156" s="2"/>
      <c r="R156" s="19">
        <f t="shared" si="46"/>
        <v>4.8592882636748777E-3</v>
      </c>
      <c r="S156" s="2"/>
      <c r="T156" s="2">
        <v>159627.69</v>
      </c>
      <c r="U156" s="2"/>
      <c r="V156" s="19">
        <f t="shared" si="47"/>
        <v>5.691096461448694E-3</v>
      </c>
      <c r="W156" s="2"/>
      <c r="X156" s="2">
        <f t="shared" si="48"/>
        <v>-111946.95000000001</v>
      </c>
      <c r="Y156" s="2"/>
      <c r="Z156" s="19">
        <f t="shared" si="49"/>
        <v>-0.70130031951223504</v>
      </c>
    </row>
    <row r="157" spans="1:26" s="23" customFormat="1" hidden="1" outlineLevel="1" x14ac:dyDescent="0.25">
      <c r="A157" s="44"/>
      <c r="B157" s="10" t="str">
        <f>CONCATENATE("          ", "5031", " - ", "PURCHASES @ COST-FOOD")</f>
        <v xml:space="preserve">          5031 - PURCHASES @ COST-FOOD</v>
      </c>
      <c r="C157" s="10"/>
      <c r="D157" s="2">
        <v>280.37</v>
      </c>
      <c r="E157" s="2"/>
      <c r="F157" s="19">
        <f t="shared" si="42"/>
        <v>3.4679368721940532E-4</v>
      </c>
      <c r="G157" s="2"/>
      <c r="H157" s="2"/>
      <c r="I157" s="2"/>
      <c r="J157" s="19">
        <f t="shared" si="43"/>
        <v>0</v>
      </c>
      <c r="K157" s="2"/>
      <c r="L157" s="2">
        <f t="shared" si="44"/>
        <v>280.37</v>
      </c>
      <c r="M157" s="2"/>
      <c r="N157" s="19">
        <f t="shared" si="45"/>
        <v>0</v>
      </c>
      <c r="O157" s="10"/>
      <c r="P157" s="2">
        <v>8066.09</v>
      </c>
      <c r="Q157" s="2"/>
      <c r="R157" s="19">
        <f t="shared" si="46"/>
        <v>8.2203960070135866E-4</v>
      </c>
      <c r="S157" s="2"/>
      <c r="T157" s="2">
        <v>33239.879999999997</v>
      </c>
      <c r="U157" s="2"/>
      <c r="V157" s="19">
        <f t="shared" si="47"/>
        <v>1.1850786254375993E-3</v>
      </c>
      <c r="W157" s="2"/>
      <c r="X157" s="2">
        <f t="shared" si="48"/>
        <v>-25173.789999999997</v>
      </c>
      <c r="Y157" s="2"/>
      <c r="Z157" s="19">
        <f t="shared" si="49"/>
        <v>-0.75733696992889266</v>
      </c>
    </row>
    <row r="158" spans="1:26" s="23" customFormat="1" hidden="1" outlineLevel="1" x14ac:dyDescent="0.25">
      <c r="A158" s="44"/>
      <c r="B158" s="10" t="str">
        <f>CONCATENATE("          ", "5032", " - ", "PURCHASES @ COST-JUICE")</f>
        <v xml:space="preserve">          5032 - PURCHASES @ COST-JUICE</v>
      </c>
      <c r="C158" s="10"/>
      <c r="D158" s="2"/>
      <c r="E158" s="2"/>
      <c r="F158" s="19">
        <f t="shared" si="42"/>
        <v>0</v>
      </c>
      <c r="G158" s="2"/>
      <c r="H158" s="2"/>
      <c r="I158" s="2"/>
      <c r="J158" s="19">
        <f t="shared" si="43"/>
        <v>0</v>
      </c>
      <c r="K158" s="2"/>
      <c r="L158" s="2">
        <f t="shared" si="44"/>
        <v>0</v>
      </c>
      <c r="M158" s="2"/>
      <c r="N158" s="19">
        <f t="shared" si="45"/>
        <v>0</v>
      </c>
      <c r="O158" s="10"/>
      <c r="P158" s="2"/>
      <c r="Q158" s="2"/>
      <c r="R158" s="19">
        <f t="shared" si="46"/>
        <v>0</v>
      </c>
      <c r="S158" s="2"/>
      <c r="T158" s="2">
        <v>7802.45</v>
      </c>
      <c r="U158" s="2"/>
      <c r="V158" s="19">
        <f t="shared" si="47"/>
        <v>2.7817539416645298E-4</v>
      </c>
      <c r="W158" s="2"/>
      <c r="X158" s="2">
        <f t="shared" si="48"/>
        <v>-7802.45</v>
      </c>
      <c r="Y158" s="2"/>
      <c r="Z158" s="19">
        <f t="shared" si="49"/>
        <v>-1</v>
      </c>
    </row>
    <row r="159" spans="1:26" s="23" customFormat="1" hidden="1" outlineLevel="1" x14ac:dyDescent="0.25">
      <c r="A159" s="44"/>
      <c r="B159" s="10" t="str">
        <f>CONCATENATE("          ", "5033", " - ", "PURCHASES @ COST-CANDY")</f>
        <v xml:space="preserve">          5033 - PURCHASES @ COST-CANDY</v>
      </c>
      <c r="C159" s="10"/>
      <c r="D159" s="2"/>
      <c r="E159" s="2"/>
      <c r="F159" s="19">
        <f t="shared" si="42"/>
        <v>0</v>
      </c>
      <c r="G159" s="2"/>
      <c r="H159" s="2"/>
      <c r="I159" s="2"/>
      <c r="J159" s="19">
        <f t="shared" si="43"/>
        <v>0</v>
      </c>
      <c r="K159" s="2"/>
      <c r="L159" s="2">
        <f t="shared" si="44"/>
        <v>0</v>
      </c>
      <c r="M159" s="2"/>
      <c r="N159" s="19">
        <f t="shared" si="45"/>
        <v>0</v>
      </c>
      <c r="O159" s="10"/>
      <c r="P159" s="2"/>
      <c r="Q159" s="2"/>
      <c r="R159" s="19">
        <f t="shared" si="46"/>
        <v>0</v>
      </c>
      <c r="S159" s="2"/>
      <c r="T159" s="2">
        <v>9998.41</v>
      </c>
      <c r="U159" s="2"/>
      <c r="V159" s="19">
        <f t="shared" si="47"/>
        <v>3.564664487164679E-4</v>
      </c>
      <c r="W159" s="2"/>
      <c r="X159" s="2">
        <f t="shared" si="48"/>
        <v>-9998.41</v>
      </c>
      <c r="Y159" s="2"/>
      <c r="Z159" s="19">
        <f t="shared" si="49"/>
        <v>-1</v>
      </c>
    </row>
    <row r="160" spans="1:26" s="23" customFormat="1" hidden="1" outlineLevel="1" x14ac:dyDescent="0.25">
      <c r="A160" s="44"/>
      <c r="B160" s="10" t="str">
        <f>CONCATENATE("          ", "5034", " - ", "PURCHASES @ COST-SODA")</f>
        <v xml:space="preserve">          5034 - PURCHASES @ COST-SODA</v>
      </c>
      <c r="C160" s="10"/>
      <c r="D160" s="2"/>
      <c r="E160" s="2"/>
      <c r="F160" s="19">
        <f t="shared" si="42"/>
        <v>0</v>
      </c>
      <c r="G160" s="2"/>
      <c r="H160" s="2"/>
      <c r="I160" s="2"/>
      <c r="J160" s="19">
        <f t="shared" si="43"/>
        <v>0</v>
      </c>
      <c r="K160" s="2"/>
      <c r="L160" s="2">
        <f t="shared" si="44"/>
        <v>0</v>
      </c>
      <c r="M160" s="2"/>
      <c r="N160" s="19">
        <f t="shared" si="45"/>
        <v>0</v>
      </c>
      <c r="O160" s="10"/>
      <c r="P160" s="2"/>
      <c r="Q160" s="2"/>
      <c r="R160" s="19">
        <f t="shared" si="46"/>
        <v>0</v>
      </c>
      <c r="S160" s="2"/>
      <c r="T160" s="2">
        <v>4033.88</v>
      </c>
      <c r="U160" s="2"/>
      <c r="V160" s="19">
        <f t="shared" si="47"/>
        <v>1.438171547424426E-4</v>
      </c>
      <c r="W160" s="2"/>
      <c r="X160" s="2">
        <f t="shared" si="48"/>
        <v>-4033.88</v>
      </c>
      <c r="Y160" s="2"/>
      <c r="Z160" s="19">
        <f t="shared" si="49"/>
        <v>-1</v>
      </c>
    </row>
    <row r="161" spans="1:26" s="23" customFormat="1" hidden="1" outlineLevel="1" x14ac:dyDescent="0.25">
      <c r="A161" s="44"/>
      <c r="B161" s="10" t="str">
        <f>CONCATENATE("          ", "5035", " - ", "PURCHASES @ COST-HEALTH &amp; BEAU")</f>
        <v xml:space="preserve">          5035 - PURCHASES @ COST-HEALTH &amp; BEAU</v>
      </c>
      <c r="C161" s="10"/>
      <c r="D161" s="2"/>
      <c r="E161" s="2"/>
      <c r="F161" s="19">
        <f t="shared" si="42"/>
        <v>0</v>
      </c>
      <c r="G161" s="2"/>
      <c r="H161" s="2"/>
      <c r="I161" s="2"/>
      <c r="J161" s="19">
        <f t="shared" si="43"/>
        <v>0</v>
      </c>
      <c r="K161" s="2"/>
      <c r="L161" s="2">
        <f t="shared" si="44"/>
        <v>0</v>
      </c>
      <c r="M161" s="2"/>
      <c r="N161" s="19">
        <f t="shared" si="45"/>
        <v>0</v>
      </c>
      <c r="O161" s="10"/>
      <c r="P161" s="2"/>
      <c r="Q161" s="2"/>
      <c r="R161" s="19">
        <f t="shared" si="46"/>
        <v>0</v>
      </c>
      <c r="S161" s="2"/>
      <c r="T161" s="2">
        <v>1117.6500000000001</v>
      </c>
      <c r="U161" s="2"/>
      <c r="V161" s="19">
        <f t="shared" si="47"/>
        <v>3.9846808283313081E-5</v>
      </c>
      <c r="W161" s="2"/>
      <c r="X161" s="2">
        <f t="shared" si="48"/>
        <v>-1117.6500000000001</v>
      </c>
      <c r="Y161" s="2"/>
      <c r="Z161" s="19">
        <f t="shared" si="49"/>
        <v>-1</v>
      </c>
    </row>
    <row r="162" spans="1:26" s="23" customFormat="1" hidden="1" outlineLevel="1" x14ac:dyDescent="0.25">
      <c r="A162" s="44"/>
      <c r="B162" s="10" t="str">
        <f>CONCATENATE("          ", "5037", " - ", "PURCHASES @ COST-WATER")</f>
        <v xml:space="preserve">          5037 - PURCHASES @ COST-WATER</v>
      </c>
      <c r="C162" s="10"/>
      <c r="D162" s="2"/>
      <c r="E162" s="2"/>
      <c r="F162" s="19">
        <f t="shared" si="42"/>
        <v>0</v>
      </c>
      <c r="G162" s="2"/>
      <c r="H162" s="2"/>
      <c r="I162" s="2"/>
      <c r="J162" s="19">
        <f t="shared" si="43"/>
        <v>0</v>
      </c>
      <c r="K162" s="2"/>
      <c r="L162" s="2">
        <f t="shared" si="44"/>
        <v>0</v>
      </c>
      <c r="M162" s="2"/>
      <c r="N162" s="19">
        <f t="shared" si="45"/>
        <v>0</v>
      </c>
      <c r="O162" s="10"/>
      <c r="P162" s="2"/>
      <c r="Q162" s="2"/>
      <c r="R162" s="19">
        <f t="shared" si="46"/>
        <v>0</v>
      </c>
      <c r="S162" s="2"/>
      <c r="T162" s="2">
        <v>5693.57</v>
      </c>
      <c r="U162" s="2"/>
      <c r="V162" s="19">
        <f t="shared" si="47"/>
        <v>2.0298894308381233E-4</v>
      </c>
      <c r="W162" s="2"/>
      <c r="X162" s="2">
        <f t="shared" si="48"/>
        <v>-5693.57</v>
      </c>
      <c r="Y162" s="2"/>
      <c r="Z162" s="19">
        <f t="shared" si="49"/>
        <v>-1</v>
      </c>
    </row>
    <row r="163" spans="1:26" s="23" customFormat="1" hidden="1" outlineLevel="1" x14ac:dyDescent="0.25">
      <c r="A163" s="44"/>
      <c r="B163" s="10" t="str">
        <f>CONCATENATE("          ", "5040", " - ", "PURCHASES @ COST-LOGO CLOTHING")</f>
        <v xml:space="preserve">          5040 - PURCHASES @ COST-LOGO CLOTHING</v>
      </c>
      <c r="C163" s="10"/>
      <c r="D163" s="2">
        <v>48288.73</v>
      </c>
      <c r="E163" s="2"/>
      <c r="F163" s="19">
        <f t="shared" si="42"/>
        <v>5.9729024959312031E-2</v>
      </c>
      <c r="G163" s="2"/>
      <c r="H163" s="2">
        <v>1557.89</v>
      </c>
      <c r="I163" s="2"/>
      <c r="J163" s="19">
        <f t="shared" si="43"/>
        <v>3.0848181735628581E-3</v>
      </c>
      <c r="K163" s="2"/>
      <c r="L163" s="2">
        <f t="shared" si="44"/>
        <v>46730.840000000004</v>
      </c>
      <c r="M163" s="2"/>
      <c r="N163" s="19">
        <f t="shared" si="45"/>
        <v>29.996238502076526</v>
      </c>
      <c r="O163" s="10"/>
      <c r="P163" s="2">
        <v>327378.98</v>
      </c>
      <c r="Q163" s="2"/>
      <c r="R163" s="19">
        <f t="shared" si="46"/>
        <v>3.3364180910108621E-2</v>
      </c>
      <c r="S163" s="2"/>
      <c r="T163" s="2">
        <v>976469.33</v>
      </c>
      <c r="U163" s="2"/>
      <c r="V163" s="19">
        <f t="shared" si="47"/>
        <v>3.48133907636963E-2</v>
      </c>
      <c r="W163" s="2"/>
      <c r="X163" s="2">
        <f t="shared" si="48"/>
        <v>-649090.35</v>
      </c>
      <c r="Y163" s="2"/>
      <c r="Z163" s="19">
        <f t="shared" si="49"/>
        <v>-0.66473193786844287</v>
      </c>
    </row>
    <row r="164" spans="1:26" s="23" customFormat="1" hidden="1" outlineLevel="1" x14ac:dyDescent="0.25">
      <c r="A164" s="44"/>
      <c r="B164" s="10" t="str">
        <f>CONCATENATE("          ", "5041", " - ", "PURCHASES @ COST-LOGO GIFTS")</f>
        <v xml:space="preserve">          5041 - PURCHASES @ COST-LOGO GIFTS</v>
      </c>
      <c r="C164" s="10"/>
      <c r="D164" s="2">
        <v>22136.9</v>
      </c>
      <c r="E164" s="2"/>
      <c r="F164" s="19">
        <f t="shared" si="42"/>
        <v>2.738145013591773E-2</v>
      </c>
      <c r="G164" s="2"/>
      <c r="H164" s="2">
        <v>4290.8100000000004</v>
      </c>
      <c r="I164" s="2"/>
      <c r="J164" s="19">
        <f t="shared" si="43"/>
        <v>8.4963435591121628E-3</v>
      </c>
      <c r="K164" s="2"/>
      <c r="L164" s="2">
        <f t="shared" si="44"/>
        <v>17846.09</v>
      </c>
      <c r="M164" s="2"/>
      <c r="N164" s="19">
        <f t="shared" si="45"/>
        <v>4.1591424462980182</v>
      </c>
      <c r="O164" s="10"/>
      <c r="P164" s="2">
        <v>106398.85</v>
      </c>
      <c r="Q164" s="2"/>
      <c r="R164" s="19">
        <f t="shared" si="46"/>
        <v>1.0843428249509211E-2</v>
      </c>
      <c r="S164" s="2"/>
      <c r="T164" s="2">
        <v>149750.84</v>
      </c>
      <c r="U164" s="2"/>
      <c r="V164" s="19">
        <f t="shared" si="47"/>
        <v>5.3389639079721666E-3</v>
      </c>
      <c r="W164" s="2"/>
      <c r="X164" s="2">
        <f t="shared" si="48"/>
        <v>-43351.989999999991</v>
      </c>
      <c r="Y164" s="2"/>
      <c r="Z164" s="19">
        <f t="shared" si="49"/>
        <v>-0.28949413572571608</v>
      </c>
    </row>
    <row r="165" spans="1:26" s="23" customFormat="1" hidden="1" outlineLevel="1" x14ac:dyDescent="0.25">
      <c r="A165" s="44"/>
      <c r="B165" s="10" t="str">
        <f>CONCATENATE("          ", "5042", " - ", "PURCHASES @ COST-EVERYDAY GIFT")</f>
        <v xml:space="preserve">          5042 - PURCHASES @ COST-EVERYDAY GIFT</v>
      </c>
      <c r="C165" s="10"/>
      <c r="D165" s="2">
        <v>-0.11</v>
      </c>
      <c r="E165" s="2"/>
      <c r="F165" s="19">
        <f t="shared" si="42"/>
        <v>-1.36060582780378E-7</v>
      </c>
      <c r="G165" s="2"/>
      <c r="H165" s="2">
        <v>10730.16</v>
      </c>
      <c r="I165" s="2"/>
      <c r="J165" s="19">
        <f t="shared" si="43"/>
        <v>2.1247066592145297E-2</v>
      </c>
      <c r="K165" s="2"/>
      <c r="L165" s="2">
        <f t="shared" si="44"/>
        <v>-10730.27</v>
      </c>
      <c r="M165" s="2"/>
      <c r="N165" s="19">
        <f t="shared" si="45"/>
        <v>-1.0000102514780769</v>
      </c>
      <c r="O165" s="10"/>
      <c r="P165" s="2">
        <v>18748.07</v>
      </c>
      <c r="Q165" s="2"/>
      <c r="R165" s="19">
        <f t="shared" si="46"/>
        <v>1.9106724542772421E-3</v>
      </c>
      <c r="S165" s="2"/>
      <c r="T165" s="2">
        <v>126615.2</v>
      </c>
      <c r="U165" s="2"/>
      <c r="V165" s="19">
        <f t="shared" si="47"/>
        <v>4.5141248155982127E-3</v>
      </c>
      <c r="W165" s="2"/>
      <c r="X165" s="2">
        <f t="shared" si="48"/>
        <v>-107867.13</v>
      </c>
      <c r="Y165" s="2"/>
      <c r="Z165" s="19">
        <f t="shared" si="49"/>
        <v>-0.8519287573687836</v>
      </c>
    </row>
    <row r="166" spans="1:26" s="23" customFormat="1" hidden="1" outlineLevel="1" x14ac:dyDescent="0.25">
      <c r="A166" s="44"/>
      <c r="B166" s="10" t="str">
        <f>CONCATENATE("          ", "5043", " - ", "PURCHASES @ COST-CARDS")</f>
        <v xml:space="preserve">          5043 - PURCHASES @ COST-CARDS</v>
      </c>
      <c r="C166" s="10"/>
      <c r="D166" s="2">
        <v>178</v>
      </c>
      <c r="E166" s="2"/>
      <c r="F166" s="19">
        <f t="shared" si="42"/>
        <v>2.2017076122642987E-4</v>
      </c>
      <c r="G166" s="2"/>
      <c r="H166" s="2"/>
      <c r="I166" s="2"/>
      <c r="J166" s="19">
        <f t="shared" si="43"/>
        <v>0</v>
      </c>
      <c r="K166" s="2"/>
      <c r="L166" s="2">
        <f t="shared" si="44"/>
        <v>178</v>
      </c>
      <c r="M166" s="2"/>
      <c r="N166" s="19">
        <f t="shared" si="45"/>
        <v>0</v>
      </c>
      <c r="O166" s="10"/>
      <c r="P166" s="2">
        <v>55583.33</v>
      </c>
      <c r="Q166" s="2"/>
      <c r="R166" s="19">
        <f t="shared" si="46"/>
        <v>5.6646650854195587E-3</v>
      </c>
      <c r="S166" s="2"/>
      <c r="T166" s="2">
        <v>30914.66</v>
      </c>
      <c r="U166" s="2"/>
      <c r="V166" s="19">
        <f t="shared" si="47"/>
        <v>1.1021791528330045E-3</v>
      </c>
      <c r="W166" s="2"/>
      <c r="X166" s="2">
        <f t="shared" si="48"/>
        <v>24668.670000000002</v>
      </c>
      <c r="Y166" s="2"/>
      <c r="Z166" s="19">
        <f t="shared" si="49"/>
        <v>0.79796025574921414</v>
      </c>
    </row>
    <row r="167" spans="1:26" s="23" customFormat="1" hidden="1" outlineLevel="1" x14ac:dyDescent="0.25">
      <c r="A167" s="44"/>
      <c r="B167" s="10" t="str">
        <f>CONCATENATE("          ", "5044", " - ", "PURCHASES @ COST-ACCESSORIES")</f>
        <v xml:space="preserve">          5044 - PURCHASES @ COST-ACCESSORIES</v>
      </c>
      <c r="C167" s="10"/>
      <c r="D167" s="2"/>
      <c r="E167" s="2"/>
      <c r="F167" s="19">
        <f t="shared" si="42"/>
        <v>0</v>
      </c>
      <c r="G167" s="2"/>
      <c r="H167" s="2">
        <v>1395</v>
      </c>
      <c r="I167" s="2"/>
      <c r="J167" s="19">
        <f t="shared" si="43"/>
        <v>2.762275482941791E-3</v>
      </c>
      <c r="K167" s="2"/>
      <c r="L167" s="2">
        <f t="shared" si="44"/>
        <v>-1395</v>
      </c>
      <c r="M167" s="2"/>
      <c r="N167" s="19">
        <f t="shared" si="45"/>
        <v>-1</v>
      </c>
      <c r="O167" s="10"/>
      <c r="P167" s="2">
        <v>2555.71</v>
      </c>
      <c r="Q167" s="2"/>
      <c r="R167" s="19">
        <f t="shared" si="46"/>
        <v>2.6046012726221369E-4</v>
      </c>
      <c r="S167" s="2"/>
      <c r="T167" s="2">
        <v>37869.03</v>
      </c>
      <c r="U167" s="2"/>
      <c r="V167" s="19">
        <f t="shared" si="47"/>
        <v>1.3501185328904681E-3</v>
      </c>
      <c r="W167" s="2"/>
      <c r="X167" s="2">
        <f t="shared" si="48"/>
        <v>-35313.32</v>
      </c>
      <c r="Y167" s="2"/>
      <c r="Z167" s="19">
        <f t="shared" si="49"/>
        <v>-0.93251187051794038</v>
      </c>
    </row>
    <row r="168" spans="1:26" s="23" customFormat="1" hidden="1" outlineLevel="1" x14ac:dyDescent="0.25">
      <c r="A168" s="44"/>
      <c r="B168" s="10" t="str">
        <f>CONCATENATE("          ", "5045", " - ", "PURCHASES @ COST-SPECIAL ORDER")</f>
        <v xml:space="preserve">          5045 - PURCHASES @ COST-SPECIAL ORDER</v>
      </c>
      <c r="C168" s="10"/>
      <c r="D168" s="2">
        <v>24141.17</v>
      </c>
      <c r="E168" s="2"/>
      <c r="F168" s="19">
        <f t="shared" si="42"/>
        <v>2.9860560538183437E-2</v>
      </c>
      <c r="G168" s="2"/>
      <c r="H168" s="2">
        <v>16919.25</v>
      </c>
      <c r="I168" s="2"/>
      <c r="J168" s="19">
        <f t="shared" si="43"/>
        <v>3.3502243343916056E-2</v>
      </c>
      <c r="K168" s="2"/>
      <c r="L168" s="2">
        <f t="shared" si="44"/>
        <v>7221.9199999999983</v>
      </c>
      <c r="M168" s="2"/>
      <c r="N168" s="19">
        <f t="shared" si="45"/>
        <v>0.42684634366180524</v>
      </c>
      <c r="O168" s="10"/>
      <c r="P168" s="2">
        <v>139139.24</v>
      </c>
      <c r="Q168" s="2"/>
      <c r="R168" s="19">
        <f t="shared" si="46"/>
        <v>1.4180100307768758E-2</v>
      </c>
      <c r="S168" s="2"/>
      <c r="T168" s="2">
        <v>78842.399999999994</v>
      </c>
      <c r="U168" s="2"/>
      <c r="V168" s="19">
        <f t="shared" si="47"/>
        <v>2.8109139689493877E-3</v>
      </c>
      <c r="W168" s="2"/>
      <c r="X168" s="2">
        <f t="shared" si="48"/>
        <v>60296.84</v>
      </c>
      <c r="Y168" s="2"/>
      <c r="Z168" s="19">
        <f t="shared" si="49"/>
        <v>0.7647768205939951</v>
      </c>
    </row>
    <row r="169" spans="1:26" s="23" customFormat="1" hidden="1" outlineLevel="1" x14ac:dyDescent="0.25">
      <c r="A169" s="44"/>
      <c r="B169" s="10" t="str">
        <f>CONCATENATE("          ", "5053", " - ", "PURCHASES @ COST-FOOD")</f>
        <v xml:space="preserve">          5053 - PURCHASES @ COST-FOOD</v>
      </c>
      <c r="C169" s="10"/>
      <c r="D169" s="2">
        <v>28040.93</v>
      </c>
      <c r="E169" s="2"/>
      <c r="F169" s="19">
        <f t="shared" si="42"/>
        <v>3.4684229795488956E-2</v>
      </c>
      <c r="G169" s="2"/>
      <c r="H169" s="2">
        <v>16470.77</v>
      </c>
      <c r="I169" s="2"/>
      <c r="J169" s="19">
        <f t="shared" si="43"/>
        <v>3.2614196527722697E-2</v>
      </c>
      <c r="K169" s="2"/>
      <c r="L169" s="2">
        <f t="shared" si="44"/>
        <v>11570.16</v>
      </c>
      <c r="M169" s="2"/>
      <c r="N169" s="19">
        <f t="shared" si="45"/>
        <v>0.70246624778319411</v>
      </c>
      <c r="O169" s="10"/>
      <c r="P169" s="2">
        <v>453376.95</v>
      </c>
      <c r="Q169" s="2"/>
      <c r="R169" s="19">
        <f t="shared" si="46"/>
        <v>4.6205014690537775E-2</v>
      </c>
      <c r="S169" s="2"/>
      <c r="T169" s="2">
        <v>4932103.71</v>
      </c>
      <c r="U169" s="2"/>
      <c r="V169" s="19">
        <f t="shared" si="47"/>
        <v>0.17584090812489347</v>
      </c>
      <c r="W169" s="2"/>
      <c r="X169" s="2">
        <f t="shared" si="48"/>
        <v>-4478726.76</v>
      </c>
      <c r="Y169" s="2"/>
      <c r="Z169" s="19">
        <f t="shared" si="49"/>
        <v>-0.90807635510973461</v>
      </c>
    </row>
    <row r="170" spans="1:26" s="23" customFormat="1" hidden="1" outlineLevel="1" x14ac:dyDescent="0.25">
      <c r="A170" s="44"/>
      <c r="B170" s="10" t="str">
        <f>CONCATENATE("          ", "5059", " - ", "PURCHASES @ COST-FOOD")</f>
        <v xml:space="preserve">          5059 - PURCHASES @ COST-FOOD</v>
      </c>
      <c r="C170" s="10"/>
      <c r="D170" s="2">
        <v>1355</v>
      </c>
      <c r="E170" s="2"/>
      <c r="F170" s="19">
        <f t="shared" si="42"/>
        <v>1.6760189969764745E-3</v>
      </c>
      <c r="G170" s="2"/>
      <c r="H170" s="2">
        <v>25568</v>
      </c>
      <c r="I170" s="2"/>
      <c r="J170" s="19">
        <f t="shared" si="43"/>
        <v>5.0627856306706603E-2</v>
      </c>
      <c r="K170" s="2"/>
      <c r="L170" s="2">
        <f t="shared" si="44"/>
        <v>-24213</v>
      </c>
      <c r="M170" s="2"/>
      <c r="N170" s="19">
        <f t="shared" si="45"/>
        <v>-0.94700406758448064</v>
      </c>
      <c r="O170" s="10"/>
      <c r="P170" s="2">
        <v>33849.300000000003</v>
      </c>
      <c r="Q170" s="2"/>
      <c r="R170" s="19">
        <f t="shared" si="46"/>
        <v>3.4496844265338596E-3</v>
      </c>
      <c r="S170" s="2"/>
      <c r="T170" s="2">
        <v>140201.53</v>
      </c>
      <c r="U170" s="2"/>
      <c r="V170" s="19">
        <f t="shared" si="47"/>
        <v>4.9985089132887463E-3</v>
      </c>
      <c r="W170" s="2"/>
      <c r="X170" s="2">
        <f t="shared" si="48"/>
        <v>-106352.23</v>
      </c>
      <c r="Y170" s="2"/>
      <c r="Z170" s="19">
        <f t="shared" si="49"/>
        <v>-0.7585668287642795</v>
      </c>
    </row>
    <row r="171" spans="1:26" s="23" customFormat="1" hidden="1" outlineLevel="1" x14ac:dyDescent="0.25">
      <c r="A171" s="44"/>
      <c r="B171" s="10" t="str">
        <f>CONCATENATE("          ", "5081", " - ", "PURCHASES @ COST-ELECTRONICS")</f>
        <v xml:space="preserve">          5081 - PURCHASES @ COST-ELECTRONICS</v>
      </c>
      <c r="C171" s="10"/>
      <c r="D171" s="2">
        <v>-28.91</v>
      </c>
      <c r="E171" s="2"/>
      <c r="F171" s="19">
        <f t="shared" si="42"/>
        <v>-3.5759194983461168E-5</v>
      </c>
      <c r="G171" s="2"/>
      <c r="H171" s="2">
        <v>1637.44</v>
      </c>
      <c r="I171" s="2"/>
      <c r="J171" s="19">
        <f t="shared" si="43"/>
        <v>3.2423371804933378E-3</v>
      </c>
      <c r="K171" s="2"/>
      <c r="L171" s="2">
        <f t="shared" si="44"/>
        <v>-1666.3500000000001</v>
      </c>
      <c r="M171" s="2"/>
      <c r="N171" s="19">
        <f t="shared" si="45"/>
        <v>-1.0176556087551301</v>
      </c>
      <c r="O171" s="10"/>
      <c r="P171" s="2">
        <v>32419.46</v>
      </c>
      <c r="Q171" s="2"/>
      <c r="R171" s="19">
        <f t="shared" si="46"/>
        <v>3.3039651123845217E-3</v>
      </c>
      <c r="S171" s="2"/>
      <c r="T171" s="2">
        <v>260469.61</v>
      </c>
      <c r="U171" s="2"/>
      <c r="V171" s="19">
        <f t="shared" si="47"/>
        <v>9.2863442162567228E-3</v>
      </c>
      <c r="W171" s="2"/>
      <c r="X171" s="2">
        <f t="shared" si="48"/>
        <v>-228050.15</v>
      </c>
      <c r="Y171" s="2"/>
      <c r="Z171" s="19">
        <f t="shared" si="49"/>
        <v>-0.87553457771906673</v>
      </c>
    </row>
    <row r="172" spans="1:26" s="23" customFormat="1" hidden="1" outlineLevel="1" x14ac:dyDescent="0.25">
      <c r="A172" s="44"/>
      <c r="B172" s="10" t="str">
        <f>CONCATENATE("          ", "5082", " - ", "PURCHASES @ COST-COMPUTER HARD")</f>
        <v xml:space="preserve">          5082 - PURCHASES @ COST-COMPUTER HARD</v>
      </c>
      <c r="C172" s="10"/>
      <c r="D172" s="2">
        <v>129194.07</v>
      </c>
      <c r="E172" s="2"/>
      <c r="F172" s="19">
        <f t="shared" si="42"/>
        <v>0.15980200414517229</v>
      </c>
      <c r="G172" s="2"/>
      <c r="H172" s="2">
        <v>140818.03</v>
      </c>
      <c r="I172" s="2"/>
      <c r="J172" s="19">
        <f t="shared" si="43"/>
        <v>0.27883741349473951</v>
      </c>
      <c r="K172" s="2"/>
      <c r="L172" s="2">
        <f t="shared" si="44"/>
        <v>-11623.959999999992</v>
      </c>
      <c r="M172" s="2"/>
      <c r="N172" s="19">
        <f t="shared" si="45"/>
        <v>-8.2545963751942786E-2</v>
      </c>
      <c r="O172" s="10"/>
      <c r="P172" s="2">
        <v>1802534.87</v>
      </c>
      <c r="Q172" s="2"/>
      <c r="R172" s="19">
        <f t="shared" si="46"/>
        <v>0.18370177431507401</v>
      </c>
      <c r="S172" s="2"/>
      <c r="T172" s="2">
        <v>1641649.9</v>
      </c>
      <c r="U172" s="2"/>
      <c r="V172" s="19">
        <f t="shared" si="47"/>
        <v>5.8528617038983662E-2</v>
      </c>
      <c r="W172" s="2"/>
      <c r="X172" s="2">
        <f t="shared" si="48"/>
        <v>160884.9700000002</v>
      </c>
      <c r="Y172" s="2"/>
      <c r="Z172" s="19">
        <f t="shared" si="49"/>
        <v>9.8001997868120486E-2</v>
      </c>
    </row>
    <row r="173" spans="1:26" s="23" customFormat="1" hidden="1" outlineLevel="1" x14ac:dyDescent="0.25">
      <c r="A173" s="44"/>
      <c r="B173" s="10" t="str">
        <f>CONCATENATE("          ", "5083", " - ", "PURCHASES @ COST-COMPUTER EQUI")</f>
        <v xml:space="preserve">          5083 - PURCHASES @ COST-COMPUTER EQUI</v>
      </c>
      <c r="C173" s="10"/>
      <c r="D173" s="2">
        <v>7514.45</v>
      </c>
      <c r="E173" s="2"/>
      <c r="F173" s="19">
        <f t="shared" si="42"/>
        <v>9.2947313297637411E-3</v>
      </c>
      <c r="G173" s="2"/>
      <c r="H173" s="2">
        <v>14533.49</v>
      </c>
      <c r="I173" s="2"/>
      <c r="J173" s="19">
        <f t="shared" si="43"/>
        <v>2.8778138429089384E-2</v>
      </c>
      <c r="K173" s="2"/>
      <c r="L173" s="2">
        <f t="shared" si="44"/>
        <v>-7019.04</v>
      </c>
      <c r="M173" s="2"/>
      <c r="N173" s="19">
        <f t="shared" si="45"/>
        <v>-0.48295626171002287</v>
      </c>
      <c r="O173" s="10"/>
      <c r="P173" s="2">
        <v>127029.94</v>
      </c>
      <c r="Q173" s="2"/>
      <c r="R173" s="19">
        <f t="shared" si="46"/>
        <v>1.2946004960856815E-2</v>
      </c>
      <c r="S173" s="2"/>
      <c r="T173" s="2">
        <v>94945.82</v>
      </c>
      <c r="U173" s="2"/>
      <c r="V173" s="19">
        <f t="shared" si="47"/>
        <v>3.3850381486529354E-3</v>
      </c>
      <c r="W173" s="2"/>
      <c r="X173" s="2">
        <f t="shared" si="48"/>
        <v>32084.119999999995</v>
      </c>
      <c r="Y173" s="2"/>
      <c r="Z173" s="19">
        <f t="shared" si="49"/>
        <v>0.33792030023017328</v>
      </c>
    </row>
    <row r="174" spans="1:26" s="23" customFormat="1" hidden="1" outlineLevel="1" x14ac:dyDescent="0.25">
      <c r="A174" s="44"/>
      <c r="B174" s="10" t="str">
        <f>CONCATENATE("          ", "5084", " - ", "PURCHASES @ COST-SOFTWARE LICE")</f>
        <v xml:space="preserve">          5084 - PURCHASES @ COST-SOFTWARE LICE</v>
      </c>
      <c r="C174" s="10"/>
      <c r="D174" s="2"/>
      <c r="E174" s="2"/>
      <c r="F174" s="19">
        <f t="shared" si="42"/>
        <v>0</v>
      </c>
      <c r="G174" s="2"/>
      <c r="H174" s="2"/>
      <c r="I174" s="2"/>
      <c r="J174" s="19">
        <f t="shared" si="43"/>
        <v>0</v>
      </c>
      <c r="K174" s="2"/>
      <c r="L174" s="2">
        <f t="shared" si="44"/>
        <v>0</v>
      </c>
      <c r="M174" s="2"/>
      <c r="N174" s="19">
        <f t="shared" si="45"/>
        <v>0</v>
      </c>
      <c r="O174" s="10"/>
      <c r="P174" s="2"/>
      <c r="Q174" s="2"/>
      <c r="R174" s="19">
        <f t="shared" si="46"/>
        <v>0</v>
      </c>
      <c r="S174" s="2"/>
      <c r="T174" s="2">
        <v>2728</v>
      </c>
      <c r="U174" s="2"/>
      <c r="V174" s="19">
        <f t="shared" si="47"/>
        <v>9.7259511472176514E-5</v>
      </c>
      <c r="W174" s="2"/>
      <c r="X174" s="2">
        <f t="shared" si="48"/>
        <v>-2728</v>
      </c>
      <c r="Y174" s="2"/>
      <c r="Z174" s="19">
        <f t="shared" si="49"/>
        <v>-1</v>
      </c>
    </row>
    <row r="175" spans="1:26" s="23" customFormat="1" hidden="1" outlineLevel="1" x14ac:dyDescent="0.25">
      <c r="A175" s="44"/>
      <c r="B175" s="10" t="str">
        <f>CONCATENATE("          ", "5085", " - ", "PURCHASES @ COST-SOFTWARE")</f>
        <v xml:space="preserve">          5085 - PURCHASES @ COST-SOFTWARE</v>
      </c>
      <c r="C175" s="10"/>
      <c r="D175" s="2">
        <v>8375.49</v>
      </c>
      <c r="E175" s="2"/>
      <c r="F175" s="19">
        <f t="shared" si="42"/>
        <v>1.0359764095192984E-2</v>
      </c>
      <c r="G175" s="2"/>
      <c r="H175" s="2">
        <v>3661.64</v>
      </c>
      <c r="I175" s="2"/>
      <c r="J175" s="19">
        <f t="shared" si="43"/>
        <v>7.2505078131605586E-3</v>
      </c>
      <c r="K175" s="2"/>
      <c r="L175" s="2">
        <f t="shared" si="44"/>
        <v>4713.8500000000004</v>
      </c>
      <c r="M175" s="2"/>
      <c r="N175" s="19">
        <f t="shared" si="45"/>
        <v>1.2873603084956469</v>
      </c>
      <c r="O175" s="10"/>
      <c r="P175" s="2">
        <v>46286.37</v>
      </c>
      <c r="Q175" s="2"/>
      <c r="R175" s="19">
        <f t="shared" si="46"/>
        <v>4.7171838043854391E-3</v>
      </c>
      <c r="S175" s="2"/>
      <c r="T175" s="2">
        <v>15328.14</v>
      </c>
      <c r="U175" s="2"/>
      <c r="V175" s="19">
        <f t="shared" si="47"/>
        <v>5.4648365402387375E-4</v>
      </c>
      <c r="W175" s="2"/>
      <c r="X175" s="2">
        <f t="shared" si="48"/>
        <v>30958.230000000003</v>
      </c>
      <c r="Y175" s="2"/>
      <c r="Z175" s="19">
        <f t="shared" si="49"/>
        <v>2.0196990632914367</v>
      </c>
    </row>
    <row r="176" spans="1:26" s="23" customFormat="1" hidden="1" outlineLevel="1" x14ac:dyDescent="0.25">
      <c r="A176" s="44"/>
      <c r="B176" s="10" t="str">
        <f>CONCATENATE("          ", "5086", " - ", "PURCHASES @ COST-COMPUTER SUPP")</f>
        <v xml:space="preserve">          5086 - PURCHASES @ COST-COMPUTER SUPP</v>
      </c>
      <c r="C176" s="10"/>
      <c r="D176" s="2">
        <v>83.62</v>
      </c>
      <c r="E176" s="2"/>
      <c r="F176" s="19">
        <f t="shared" si="42"/>
        <v>1.0343078120086554E-4</v>
      </c>
      <c r="G176" s="2"/>
      <c r="H176" s="2">
        <v>-67.5</v>
      </c>
      <c r="I176" s="2"/>
      <c r="J176" s="19">
        <f t="shared" si="43"/>
        <v>-1.3365849111008667E-4</v>
      </c>
      <c r="K176" s="2"/>
      <c r="L176" s="2">
        <f t="shared" si="44"/>
        <v>151.12</v>
      </c>
      <c r="M176" s="2"/>
      <c r="N176" s="19">
        <f t="shared" si="45"/>
        <v>-2.2388148148148148</v>
      </c>
      <c r="O176" s="10"/>
      <c r="P176" s="2">
        <v>23776.22</v>
      </c>
      <c r="Q176" s="2"/>
      <c r="R176" s="19">
        <f t="shared" si="46"/>
        <v>2.4231064115311949E-3</v>
      </c>
      <c r="S176" s="2"/>
      <c r="T176" s="2">
        <v>30309.27</v>
      </c>
      <c r="U176" s="2"/>
      <c r="V176" s="19">
        <f t="shared" si="47"/>
        <v>1.0805955987090526E-3</v>
      </c>
      <c r="W176" s="2"/>
      <c r="X176" s="2">
        <f t="shared" si="48"/>
        <v>-6533.0499999999993</v>
      </c>
      <c r="Y176" s="2"/>
      <c r="Z176" s="19">
        <f t="shared" si="49"/>
        <v>-0.21554626686818915</v>
      </c>
    </row>
    <row r="177" spans="1:26" s="23" customFormat="1" hidden="1" outlineLevel="1" x14ac:dyDescent="0.25">
      <c r="A177" s="44"/>
      <c r="B177" s="10" t="str">
        <f>CONCATENATE("          ", "5088", " - ", "PURCHASES @ COST-MUSIC")</f>
        <v xml:space="preserve">          5088 - PURCHASES @ COST-MUSIC</v>
      </c>
      <c r="C177" s="10"/>
      <c r="D177" s="2"/>
      <c r="E177" s="2"/>
      <c r="F177" s="19">
        <f t="shared" si="42"/>
        <v>0</v>
      </c>
      <c r="G177" s="2"/>
      <c r="H177" s="2"/>
      <c r="I177" s="2"/>
      <c r="J177" s="19">
        <f t="shared" si="43"/>
        <v>0</v>
      </c>
      <c r="K177" s="2"/>
      <c r="L177" s="2">
        <f t="shared" si="44"/>
        <v>0</v>
      </c>
      <c r="M177" s="2"/>
      <c r="N177" s="19">
        <f t="shared" si="45"/>
        <v>0</v>
      </c>
      <c r="O177" s="10"/>
      <c r="P177" s="2"/>
      <c r="Q177" s="2"/>
      <c r="R177" s="19">
        <f t="shared" si="46"/>
        <v>0</v>
      </c>
      <c r="S177" s="2"/>
      <c r="T177" s="2">
        <v>95.65</v>
      </c>
      <c r="U177" s="2"/>
      <c r="V177" s="19">
        <f t="shared" si="47"/>
        <v>3.4101437948363947E-6</v>
      </c>
      <c r="W177" s="2"/>
      <c r="X177" s="2">
        <f t="shared" si="48"/>
        <v>-95.65</v>
      </c>
      <c r="Y177" s="2"/>
      <c r="Z177" s="19">
        <f t="shared" si="49"/>
        <v>-1</v>
      </c>
    </row>
    <row r="178" spans="1:26" s="23" customFormat="1" hidden="1" outlineLevel="1" x14ac:dyDescent="0.25">
      <c r="A178" s="44"/>
      <c r="B178" s="10" t="str">
        <f>CONCATENATE("          ", "5092", " - ", "PURCHASES @ COST-GRAD MERCH")</f>
        <v xml:space="preserve">          5092 - PURCHASES @ COST-GRAD MERCH</v>
      </c>
      <c r="C178" s="10"/>
      <c r="D178" s="2"/>
      <c r="E178" s="2"/>
      <c r="F178" s="19">
        <f t="shared" si="42"/>
        <v>0</v>
      </c>
      <c r="G178" s="2"/>
      <c r="H178" s="2">
        <v>-3999.6</v>
      </c>
      <c r="I178" s="2"/>
      <c r="J178" s="19">
        <f t="shared" si="43"/>
        <v>-7.9197111265763339E-3</v>
      </c>
      <c r="K178" s="2"/>
      <c r="L178" s="2">
        <f t="shared" si="44"/>
        <v>3999.6</v>
      </c>
      <c r="M178" s="2"/>
      <c r="N178" s="19">
        <f t="shared" si="45"/>
        <v>-1</v>
      </c>
      <c r="O178" s="10"/>
      <c r="P178" s="2">
        <v>0</v>
      </c>
      <c r="Q178" s="2"/>
      <c r="R178" s="19">
        <f t="shared" si="46"/>
        <v>0</v>
      </c>
      <c r="S178" s="2"/>
      <c r="T178" s="2">
        <v>4485.88</v>
      </c>
      <c r="U178" s="2"/>
      <c r="V178" s="19">
        <f t="shared" si="47"/>
        <v>1.5993200048490002E-4</v>
      </c>
      <c r="W178" s="2"/>
      <c r="X178" s="2">
        <f t="shared" si="48"/>
        <v>-4485.88</v>
      </c>
      <c r="Y178" s="2"/>
      <c r="Z178" s="19">
        <f t="shared" si="49"/>
        <v>-1</v>
      </c>
    </row>
    <row r="179" spans="1:26" s="23" customFormat="1" hidden="1" outlineLevel="1" x14ac:dyDescent="0.25">
      <c r="A179" s="44"/>
      <c r="B179" s="10" t="str">
        <f>CONCATENATE("          ", "5095", " - ", "PURCHASES @ COST-CUSTOMER SERV")</f>
        <v xml:space="preserve">          5095 - PURCHASES @ COST-CUSTOMER SERV</v>
      </c>
      <c r="C179" s="10"/>
      <c r="D179" s="2"/>
      <c r="E179" s="2"/>
      <c r="F179" s="19">
        <f t="shared" si="42"/>
        <v>0</v>
      </c>
      <c r="G179" s="2"/>
      <c r="H179" s="2"/>
      <c r="I179" s="2"/>
      <c r="J179" s="19">
        <f t="shared" si="43"/>
        <v>0</v>
      </c>
      <c r="K179" s="2"/>
      <c r="L179" s="2">
        <f t="shared" si="44"/>
        <v>0</v>
      </c>
      <c r="M179" s="2"/>
      <c r="N179" s="19">
        <f t="shared" si="45"/>
        <v>0</v>
      </c>
      <c r="O179" s="10"/>
      <c r="P179" s="2"/>
      <c r="Q179" s="2"/>
      <c r="R179" s="19">
        <f t="shared" si="46"/>
        <v>0</v>
      </c>
      <c r="S179" s="2"/>
      <c r="T179" s="2">
        <v>0</v>
      </c>
      <c r="U179" s="2"/>
      <c r="V179" s="19">
        <f t="shared" si="47"/>
        <v>0</v>
      </c>
      <c r="W179" s="2"/>
      <c r="X179" s="2">
        <f t="shared" si="48"/>
        <v>0</v>
      </c>
      <c r="Y179" s="2"/>
      <c r="Z179" s="19">
        <f t="shared" si="49"/>
        <v>0</v>
      </c>
    </row>
    <row r="180" spans="1:26" s="23" customFormat="1" hidden="1" outlineLevel="1" x14ac:dyDescent="0.25">
      <c r="A180" s="44"/>
      <c r="B180" s="10" t="str">
        <f>CONCATENATE("          ", "5200", " - ", "PURCHASES OFFSET")</f>
        <v xml:space="preserve">          5200 - PURCHASES OFFSET</v>
      </c>
      <c r="C180" s="10"/>
      <c r="D180" s="2">
        <v>-307740.75</v>
      </c>
      <c r="E180" s="2"/>
      <c r="F180" s="19">
        <f t="shared" si="42"/>
        <v>-0.38064896172973284</v>
      </c>
      <c r="G180" s="2"/>
      <c r="H180" s="2">
        <v>-215779</v>
      </c>
      <c r="I180" s="2"/>
      <c r="J180" s="19">
        <f t="shared" si="43"/>
        <v>-0.4272695637517539</v>
      </c>
      <c r="K180" s="2"/>
      <c r="L180" s="2">
        <f t="shared" si="44"/>
        <v>-91961.75</v>
      </c>
      <c r="M180" s="2"/>
      <c r="N180" s="19">
        <f t="shared" si="45"/>
        <v>0.4261848928765079</v>
      </c>
      <c r="O180" s="10"/>
      <c r="P180" s="2">
        <v>-3876506.96</v>
      </c>
      <c r="Q180" s="2"/>
      <c r="R180" s="19">
        <f t="shared" si="46"/>
        <v>-0.39506653577066925</v>
      </c>
      <c r="S180" s="2"/>
      <c r="T180" s="2">
        <v>-5516370</v>
      </c>
      <c r="U180" s="2"/>
      <c r="V180" s="19">
        <f t="shared" si="47"/>
        <v>-0.1966713531157516</v>
      </c>
      <c r="W180" s="2"/>
      <c r="X180" s="2">
        <f t="shared" si="48"/>
        <v>1639863.04</v>
      </c>
      <c r="Y180" s="2"/>
      <c r="Z180" s="19">
        <f t="shared" si="49"/>
        <v>-0.29727212641646589</v>
      </c>
    </row>
    <row r="181" spans="1:26" s="23" customFormat="1" hidden="1" outlineLevel="1" x14ac:dyDescent="0.25">
      <c r="A181" s="44"/>
      <c r="B181" s="10" t="str">
        <f>CONCATENATE("          ", "5300", " - ", "COG$ OFFSET")</f>
        <v xml:space="preserve">          5300 - COG$ OFFSET</v>
      </c>
      <c r="C181" s="10"/>
      <c r="D181" s="2">
        <v>297791</v>
      </c>
      <c r="E181" s="2"/>
      <c r="F181" s="19">
        <f t="shared" si="42"/>
        <v>0.36834197278865044</v>
      </c>
      <c r="G181" s="2"/>
      <c r="H181" s="2">
        <v>237795</v>
      </c>
      <c r="I181" s="2"/>
      <c r="J181" s="19">
        <f t="shared" si="43"/>
        <v>0.47086401323737864</v>
      </c>
      <c r="K181" s="2"/>
      <c r="L181" s="2">
        <f t="shared" si="44"/>
        <v>59996</v>
      </c>
      <c r="M181" s="2"/>
      <c r="N181" s="19">
        <f t="shared" si="45"/>
        <v>0.25230135200487813</v>
      </c>
      <c r="O181" s="10"/>
      <c r="P181" s="2">
        <v>4928176</v>
      </c>
      <c r="Q181" s="2"/>
      <c r="R181" s="19">
        <f t="shared" si="46"/>
        <v>0.50224530487832619</v>
      </c>
      <c r="S181" s="2"/>
      <c r="T181" s="2">
        <v>6157688.4699999997</v>
      </c>
      <c r="U181" s="2"/>
      <c r="V181" s="19">
        <f t="shared" si="47"/>
        <v>0.21953584031893478</v>
      </c>
      <c r="W181" s="2"/>
      <c r="X181" s="2">
        <f t="shared" si="48"/>
        <v>-1229512.4699999997</v>
      </c>
      <c r="Y181" s="2"/>
      <c r="Z181" s="19">
        <f t="shared" si="49"/>
        <v>-0.19967110645336036</v>
      </c>
    </row>
    <row r="182" spans="1:26" s="23" customFormat="1" hidden="1" outlineLevel="1" x14ac:dyDescent="0.25">
      <c r="A182" s="44"/>
      <c r="B182" s="10" t="str">
        <f>CONCATENATE("          ", "5500", " - ", "FREIGHT-IN")</f>
        <v xml:space="preserve">          5500 - FREIGHT-IN</v>
      </c>
      <c r="C182" s="10"/>
      <c r="D182" s="2">
        <v>0</v>
      </c>
      <c r="E182" s="2"/>
      <c r="F182" s="19">
        <f t="shared" si="42"/>
        <v>0</v>
      </c>
      <c r="G182" s="2"/>
      <c r="H182" s="2"/>
      <c r="I182" s="2"/>
      <c r="J182" s="19">
        <f t="shared" si="43"/>
        <v>0</v>
      </c>
      <c r="K182" s="2"/>
      <c r="L182" s="2">
        <f t="shared" si="44"/>
        <v>0</v>
      </c>
      <c r="M182" s="2"/>
      <c r="N182" s="19">
        <f t="shared" si="45"/>
        <v>0</v>
      </c>
      <c r="O182" s="10"/>
      <c r="P182" s="2">
        <v>0</v>
      </c>
      <c r="Q182" s="2"/>
      <c r="R182" s="19">
        <f t="shared" si="46"/>
        <v>0</v>
      </c>
      <c r="S182" s="2"/>
      <c r="T182" s="2">
        <v>156.47999999999999</v>
      </c>
      <c r="U182" s="2"/>
      <c r="V182" s="19">
        <f t="shared" si="47"/>
        <v>5.5788740304861369E-6</v>
      </c>
      <c r="W182" s="2"/>
      <c r="X182" s="2">
        <f t="shared" si="48"/>
        <v>-156.47999999999999</v>
      </c>
      <c r="Y182" s="2"/>
      <c r="Z182" s="19">
        <f t="shared" si="49"/>
        <v>-1</v>
      </c>
    </row>
    <row r="183" spans="1:26" s="23" customFormat="1" hidden="1" outlineLevel="1" x14ac:dyDescent="0.25">
      <c r="A183" s="44"/>
      <c r="B183" s="10" t="str">
        <f>CONCATENATE("          ", "5501", " - ", "FREIGHT-IN-NEW TEXT")</f>
        <v xml:space="preserve">          5501 - FREIGHT-IN-NEW TEXT</v>
      </c>
      <c r="C183" s="10"/>
      <c r="D183" s="2">
        <v>1522.41</v>
      </c>
      <c r="E183" s="2"/>
      <c r="F183" s="19">
        <f t="shared" si="42"/>
        <v>1.8830908348243208E-3</v>
      </c>
      <c r="G183" s="2"/>
      <c r="H183" s="2">
        <v>-21.22</v>
      </c>
      <c r="I183" s="2"/>
      <c r="J183" s="19">
        <f t="shared" si="43"/>
        <v>-4.2018269353422795E-5</v>
      </c>
      <c r="K183" s="2"/>
      <c r="L183" s="2">
        <f t="shared" si="44"/>
        <v>1543.63</v>
      </c>
      <c r="M183" s="2"/>
      <c r="N183" s="19">
        <f t="shared" si="45"/>
        <v>-72.744109330819995</v>
      </c>
      <c r="O183" s="10"/>
      <c r="P183" s="2">
        <v>51836.14</v>
      </c>
      <c r="Q183" s="2"/>
      <c r="R183" s="19">
        <f t="shared" si="46"/>
        <v>5.2827776317273577E-3</v>
      </c>
      <c r="S183" s="2"/>
      <c r="T183" s="2">
        <v>69747.73</v>
      </c>
      <c r="U183" s="2"/>
      <c r="V183" s="19">
        <f t="shared" si="47"/>
        <v>2.4866679421163013E-3</v>
      </c>
      <c r="W183" s="2"/>
      <c r="X183" s="2">
        <f t="shared" si="48"/>
        <v>-17911.589999999997</v>
      </c>
      <c r="Y183" s="2"/>
      <c r="Z183" s="19">
        <f t="shared" si="49"/>
        <v>-0.25680534692670282</v>
      </c>
    </row>
    <row r="184" spans="1:26" s="23" customFormat="1" hidden="1" outlineLevel="1" x14ac:dyDescent="0.25">
      <c r="A184" s="44"/>
      <c r="B184" s="10" t="str">
        <f>CONCATENATE("          ", "5502", " - ", "FREIGHT-IN-USED TEXT")</f>
        <v xml:space="preserve">          5502 - FREIGHT-IN-USED TEXT</v>
      </c>
      <c r="C184" s="10"/>
      <c r="D184" s="2">
        <v>133.97</v>
      </c>
      <c r="E184" s="2"/>
      <c r="F184" s="19">
        <f t="shared" si="42"/>
        <v>1.657094206826113E-4</v>
      </c>
      <c r="G184" s="2"/>
      <c r="H184" s="2">
        <v>379.42</v>
      </c>
      <c r="I184" s="2"/>
      <c r="J184" s="19">
        <f t="shared" si="43"/>
        <v>7.5129932884428273E-4</v>
      </c>
      <c r="K184" s="2"/>
      <c r="L184" s="2">
        <f t="shared" si="44"/>
        <v>-245.45000000000002</v>
      </c>
      <c r="M184" s="2"/>
      <c r="N184" s="19">
        <f t="shared" si="45"/>
        <v>-0.64690843919666863</v>
      </c>
      <c r="O184" s="10"/>
      <c r="P184" s="2">
        <v>17992.87</v>
      </c>
      <c r="Q184" s="2"/>
      <c r="R184" s="19">
        <f t="shared" si="46"/>
        <v>1.833707740710983E-3</v>
      </c>
      <c r="S184" s="2"/>
      <c r="T184" s="2">
        <v>15680.76</v>
      </c>
      <c r="U184" s="2"/>
      <c r="V184" s="19">
        <f t="shared" si="47"/>
        <v>5.5905537284180597E-4</v>
      </c>
      <c r="W184" s="2"/>
      <c r="X184" s="2">
        <f t="shared" si="48"/>
        <v>2312.1099999999988</v>
      </c>
      <c r="Y184" s="2"/>
      <c r="Z184" s="19">
        <f t="shared" si="49"/>
        <v>0.14744884814256443</v>
      </c>
    </row>
    <row r="185" spans="1:26" s="23" customFormat="1" hidden="1" outlineLevel="1" x14ac:dyDescent="0.25">
      <c r="A185" s="44"/>
      <c r="B185" s="10" t="str">
        <f>CONCATENATE("          ", "5504", " - ", "FREIGHT-IN-DIGITAL TEXT")</f>
        <v xml:space="preserve">          5504 - FREIGHT-IN-DIGITAL TEXT</v>
      </c>
      <c r="C185" s="10"/>
      <c r="D185" s="2"/>
      <c r="E185" s="2"/>
      <c r="F185" s="19">
        <f t="shared" si="42"/>
        <v>0</v>
      </c>
      <c r="G185" s="2"/>
      <c r="H185" s="2"/>
      <c r="I185" s="2"/>
      <c r="J185" s="19">
        <f t="shared" si="43"/>
        <v>0</v>
      </c>
      <c r="K185" s="2"/>
      <c r="L185" s="2">
        <f t="shared" si="44"/>
        <v>0</v>
      </c>
      <c r="M185" s="2"/>
      <c r="N185" s="19">
        <f t="shared" si="45"/>
        <v>0</v>
      </c>
      <c r="O185" s="10"/>
      <c r="P185" s="2">
        <v>28.92</v>
      </c>
      <c r="Q185" s="2"/>
      <c r="R185" s="19">
        <f t="shared" si="46"/>
        <v>2.9473245714197701E-6</v>
      </c>
      <c r="S185" s="2"/>
      <c r="T185" s="2">
        <v>118.75</v>
      </c>
      <c r="U185" s="2"/>
      <c r="V185" s="19">
        <f t="shared" si="47"/>
        <v>4.2337122387540181E-6</v>
      </c>
      <c r="W185" s="2"/>
      <c r="X185" s="2">
        <f t="shared" si="48"/>
        <v>-89.83</v>
      </c>
      <c r="Y185" s="2"/>
      <c r="Z185" s="19">
        <f t="shared" si="49"/>
        <v>-0.75646315789473684</v>
      </c>
    </row>
    <row r="186" spans="1:26" s="23" customFormat="1" hidden="1" outlineLevel="1" x14ac:dyDescent="0.25">
      <c r="A186" s="44"/>
      <c r="B186" s="10" t="str">
        <f>CONCATENATE("          ", "5513", " - ", "FREIGHT-IN-TRADE BOOKS")</f>
        <v xml:space="preserve">          5513 - FREIGHT-IN-TRADE BOOKS</v>
      </c>
      <c r="C186" s="10"/>
      <c r="D186" s="2"/>
      <c r="E186" s="2"/>
      <c r="F186" s="19">
        <f t="shared" si="42"/>
        <v>0</v>
      </c>
      <c r="G186" s="2"/>
      <c r="H186" s="2"/>
      <c r="I186" s="2"/>
      <c r="J186" s="19">
        <f t="shared" si="43"/>
        <v>0</v>
      </c>
      <c r="K186" s="2"/>
      <c r="L186" s="2">
        <f t="shared" si="44"/>
        <v>0</v>
      </c>
      <c r="M186" s="2"/>
      <c r="N186" s="19">
        <f t="shared" si="45"/>
        <v>0</v>
      </c>
      <c r="O186" s="10"/>
      <c r="P186" s="2">
        <v>85.28</v>
      </c>
      <c r="Q186" s="2"/>
      <c r="R186" s="19">
        <f t="shared" si="46"/>
        <v>8.6911424429695005E-6</v>
      </c>
      <c r="S186" s="2"/>
      <c r="T186" s="2">
        <v>30.24</v>
      </c>
      <c r="U186" s="2"/>
      <c r="V186" s="19">
        <f t="shared" si="47"/>
        <v>1.0781259629467074E-6</v>
      </c>
      <c r="W186" s="2"/>
      <c r="X186" s="2">
        <f t="shared" si="48"/>
        <v>55.040000000000006</v>
      </c>
      <c r="Y186" s="2"/>
      <c r="Z186" s="19">
        <f t="shared" si="49"/>
        <v>1.8201058201058204</v>
      </c>
    </row>
    <row r="187" spans="1:26" s="23" customFormat="1" hidden="1" outlineLevel="1" x14ac:dyDescent="0.25">
      <c r="A187" s="44"/>
      <c r="B187" s="10" t="str">
        <f>CONCATENATE("          ", "5518", " - ", "FREIGHT-IN-STUDY GUIDES")</f>
        <v xml:space="preserve">          5518 - FREIGHT-IN-STUDY GUIDES</v>
      </c>
      <c r="C187" s="10"/>
      <c r="D187" s="2"/>
      <c r="E187" s="2"/>
      <c r="F187" s="19">
        <f t="shared" si="42"/>
        <v>0</v>
      </c>
      <c r="G187" s="2"/>
      <c r="H187" s="2"/>
      <c r="I187" s="2"/>
      <c r="J187" s="19">
        <f t="shared" si="43"/>
        <v>0</v>
      </c>
      <c r="K187" s="2"/>
      <c r="L187" s="2">
        <f t="shared" si="44"/>
        <v>0</v>
      </c>
      <c r="M187" s="2"/>
      <c r="N187" s="19">
        <f t="shared" si="45"/>
        <v>0</v>
      </c>
      <c r="O187" s="10"/>
      <c r="P187" s="2"/>
      <c r="Q187" s="2"/>
      <c r="R187" s="19">
        <f t="shared" si="46"/>
        <v>0</v>
      </c>
      <c r="S187" s="2"/>
      <c r="T187" s="2">
        <v>21.13</v>
      </c>
      <c r="U187" s="2"/>
      <c r="V187" s="19">
        <f t="shared" si="47"/>
        <v>7.5333338614629385E-7</v>
      </c>
      <c r="W187" s="2"/>
      <c r="X187" s="2">
        <f t="shared" si="48"/>
        <v>-21.13</v>
      </c>
      <c r="Y187" s="2"/>
      <c r="Z187" s="19">
        <f t="shared" si="49"/>
        <v>-1</v>
      </c>
    </row>
    <row r="188" spans="1:26" s="23" customFormat="1" hidden="1" outlineLevel="1" x14ac:dyDescent="0.25">
      <c r="A188" s="44"/>
      <c r="B188" s="10" t="str">
        <f>CONCATENATE("          ", "5525", " - ", "FREIGHT-IN-TEST FORMS")</f>
        <v xml:space="preserve">          5525 - FREIGHT-IN-TEST FORMS</v>
      </c>
      <c r="C188" s="10"/>
      <c r="D188" s="2"/>
      <c r="E188" s="2"/>
      <c r="F188" s="19">
        <f t="shared" si="42"/>
        <v>0</v>
      </c>
      <c r="G188" s="2"/>
      <c r="H188" s="2">
        <v>377.1</v>
      </c>
      <c r="I188" s="2"/>
      <c r="J188" s="19">
        <f t="shared" si="43"/>
        <v>7.4670543700168415E-4</v>
      </c>
      <c r="K188" s="2"/>
      <c r="L188" s="2">
        <f t="shared" si="44"/>
        <v>-377.1</v>
      </c>
      <c r="M188" s="2"/>
      <c r="N188" s="19">
        <f t="shared" si="45"/>
        <v>-1</v>
      </c>
      <c r="O188" s="10"/>
      <c r="P188" s="2">
        <v>48.14</v>
      </c>
      <c r="Q188" s="2"/>
      <c r="R188" s="19">
        <f t="shared" si="46"/>
        <v>4.9060928377644435E-6</v>
      </c>
      <c r="S188" s="2"/>
      <c r="T188" s="2">
        <v>1614.32</v>
      </c>
      <c r="U188" s="2"/>
      <c r="V188" s="19">
        <f t="shared" si="47"/>
        <v>5.7554242873813778E-5</v>
      </c>
      <c r="W188" s="2"/>
      <c r="X188" s="2">
        <f t="shared" si="48"/>
        <v>-1566.1799999999998</v>
      </c>
      <c r="Y188" s="2"/>
      <c r="Z188" s="19">
        <f t="shared" si="49"/>
        <v>-0.9701793944199415</v>
      </c>
    </row>
    <row r="189" spans="1:26" s="23" customFormat="1" hidden="1" outlineLevel="1" x14ac:dyDescent="0.25">
      <c r="A189" s="44"/>
      <c r="B189" s="10" t="str">
        <f>CONCATENATE("          ", "5526", " - ", "FREIGHT-IN-WRITING INSTRUMENTS")</f>
        <v xml:space="preserve">          5526 - FREIGHT-IN-WRITING INSTRUMENTS</v>
      </c>
      <c r="C189" s="10"/>
      <c r="D189" s="2"/>
      <c r="E189" s="2"/>
      <c r="F189" s="19">
        <f t="shared" si="42"/>
        <v>0</v>
      </c>
      <c r="G189" s="2"/>
      <c r="H189" s="2">
        <v>14.15</v>
      </c>
      <c r="I189" s="2"/>
      <c r="J189" s="19">
        <f t="shared" si="43"/>
        <v>2.8018779988262612E-5</v>
      </c>
      <c r="K189" s="2"/>
      <c r="L189" s="2">
        <f t="shared" si="44"/>
        <v>-14.15</v>
      </c>
      <c r="M189" s="2"/>
      <c r="N189" s="19">
        <f t="shared" si="45"/>
        <v>-1</v>
      </c>
      <c r="O189" s="10"/>
      <c r="P189" s="2">
        <v>0</v>
      </c>
      <c r="Q189" s="2"/>
      <c r="R189" s="19">
        <f t="shared" si="46"/>
        <v>0</v>
      </c>
      <c r="S189" s="2"/>
      <c r="T189" s="2">
        <v>274.5</v>
      </c>
      <c r="U189" s="2"/>
      <c r="V189" s="19">
        <f t="shared" si="47"/>
        <v>9.7865600803198139E-6</v>
      </c>
      <c r="W189" s="2"/>
      <c r="X189" s="2">
        <f t="shared" si="48"/>
        <v>-274.5</v>
      </c>
      <c r="Y189" s="2"/>
      <c r="Z189" s="19">
        <f t="shared" si="49"/>
        <v>-1</v>
      </c>
    </row>
    <row r="190" spans="1:26" s="23" customFormat="1" hidden="1" outlineLevel="1" x14ac:dyDescent="0.25">
      <c r="A190" s="44"/>
      <c r="B190" s="10" t="str">
        <f>CONCATENATE("          ", "5527", " - ", "FREIGHT-IN-SCHOOL SUPPLIES")</f>
        <v xml:space="preserve">          5527 - FREIGHT-IN-SCHOOL SUPPLIES</v>
      </c>
      <c r="C190" s="10"/>
      <c r="D190" s="2"/>
      <c r="E190" s="2"/>
      <c r="F190" s="19">
        <f t="shared" si="42"/>
        <v>0</v>
      </c>
      <c r="G190" s="2"/>
      <c r="H190" s="2">
        <v>-250.91</v>
      </c>
      <c r="I190" s="2"/>
      <c r="J190" s="19">
        <f t="shared" si="43"/>
        <v>-4.9683336302861988E-4</v>
      </c>
      <c r="K190" s="2"/>
      <c r="L190" s="2">
        <f t="shared" si="44"/>
        <v>250.91</v>
      </c>
      <c r="M190" s="2"/>
      <c r="N190" s="19">
        <f t="shared" si="45"/>
        <v>-1</v>
      </c>
      <c r="O190" s="10"/>
      <c r="P190" s="2">
        <v>218.62</v>
      </c>
      <c r="Q190" s="2"/>
      <c r="R190" s="19">
        <f t="shared" si="46"/>
        <v>2.2280224682012104E-5</v>
      </c>
      <c r="S190" s="2"/>
      <c r="T190" s="2">
        <v>1808</v>
      </c>
      <c r="U190" s="2"/>
      <c r="V190" s="19">
        <f t="shared" si="47"/>
        <v>6.4459382969829596E-5</v>
      </c>
      <c r="W190" s="2"/>
      <c r="X190" s="2">
        <f t="shared" si="48"/>
        <v>-1589.38</v>
      </c>
      <c r="Y190" s="2"/>
      <c r="Z190" s="19">
        <f t="shared" si="49"/>
        <v>-0.87908185840707975</v>
      </c>
    </row>
    <row r="191" spans="1:26" s="23" customFormat="1" hidden="1" outlineLevel="1" x14ac:dyDescent="0.25">
      <c r="A191" s="44"/>
      <c r="B191" s="10" t="str">
        <f>CONCATENATE("          ", "5528", " - ", "FREIGHT-IN-ART/TECH")</f>
        <v xml:space="preserve">          5528 - FREIGHT-IN-ART/TECH</v>
      </c>
      <c r="C191" s="10"/>
      <c r="D191" s="2">
        <v>28.53</v>
      </c>
      <c r="E191" s="2"/>
      <c r="F191" s="19">
        <f t="shared" si="42"/>
        <v>3.5289167515674408E-5</v>
      </c>
      <c r="G191" s="2"/>
      <c r="H191" s="2">
        <v>-19.75</v>
      </c>
      <c r="I191" s="2"/>
      <c r="J191" s="19">
        <f t="shared" si="43"/>
        <v>-3.9107484435914245E-5</v>
      </c>
      <c r="K191" s="2"/>
      <c r="L191" s="2">
        <f t="shared" si="44"/>
        <v>48.28</v>
      </c>
      <c r="M191" s="2"/>
      <c r="N191" s="19">
        <f t="shared" si="45"/>
        <v>-2.4445569620253167</v>
      </c>
      <c r="O191" s="10"/>
      <c r="P191" s="2">
        <v>572.96</v>
      </c>
      <c r="Q191" s="2"/>
      <c r="R191" s="19">
        <f t="shared" si="46"/>
        <v>5.8392084593384211E-5</v>
      </c>
      <c r="S191" s="2"/>
      <c r="T191" s="2">
        <v>2824.37</v>
      </c>
      <c r="U191" s="2"/>
      <c r="V191" s="19">
        <f t="shared" si="47"/>
        <v>1.0069532493279735E-4</v>
      </c>
      <c r="W191" s="2"/>
      <c r="X191" s="2">
        <f t="shared" si="48"/>
        <v>-2251.41</v>
      </c>
      <c r="Y191" s="2"/>
      <c r="Z191" s="19">
        <f t="shared" si="49"/>
        <v>-0.7971370606542344</v>
      </c>
    </row>
    <row r="192" spans="1:26" s="23" customFormat="1" hidden="1" outlineLevel="1" x14ac:dyDescent="0.25">
      <c r="A192" s="44"/>
      <c r="B192" s="10" t="str">
        <f>CONCATENATE("          ", "5540", " - ", "FREIGHT-IN-LOGO CLOTHING")</f>
        <v xml:space="preserve">          5540 - FREIGHT-IN-LOGO CLOTHING</v>
      </c>
      <c r="C192" s="10"/>
      <c r="D192" s="2">
        <v>1283.68</v>
      </c>
      <c r="E192" s="2"/>
      <c r="F192" s="19">
        <f t="shared" si="42"/>
        <v>1.5878022627592331E-3</v>
      </c>
      <c r="G192" s="2"/>
      <c r="H192" s="2">
        <v>815.7</v>
      </c>
      <c r="I192" s="2"/>
      <c r="J192" s="19">
        <f t="shared" si="43"/>
        <v>1.6151886103481139E-3</v>
      </c>
      <c r="K192" s="2"/>
      <c r="L192" s="2">
        <f t="shared" si="44"/>
        <v>467.98</v>
      </c>
      <c r="M192" s="2"/>
      <c r="N192" s="19">
        <f t="shared" si="45"/>
        <v>0.57371582689714351</v>
      </c>
      <c r="O192" s="10"/>
      <c r="P192" s="2">
        <v>10499.7</v>
      </c>
      <c r="Q192" s="2"/>
      <c r="R192" s="19">
        <f t="shared" si="46"/>
        <v>1.0700561480821631E-3</v>
      </c>
      <c r="S192" s="2"/>
      <c r="T192" s="2">
        <v>32519</v>
      </c>
      <c r="U192" s="2"/>
      <c r="V192" s="19">
        <f t="shared" si="47"/>
        <v>1.159377585617195E-3</v>
      </c>
      <c r="W192" s="2"/>
      <c r="X192" s="2">
        <f t="shared" si="48"/>
        <v>-22019.3</v>
      </c>
      <c r="Y192" s="2"/>
      <c r="Z192" s="19">
        <f t="shared" si="49"/>
        <v>-0.6771210676835081</v>
      </c>
    </row>
    <row r="193" spans="1:26" s="23" customFormat="1" hidden="1" outlineLevel="1" x14ac:dyDescent="0.25">
      <c r="A193" s="44"/>
      <c r="B193" s="10" t="str">
        <f>CONCATENATE("          ", "5541", " - ", "FREIGHT-IN-LOGO GIFTS")</f>
        <v xml:space="preserve">          5541 - FREIGHT-IN-LOGO GIFTS</v>
      </c>
      <c r="C193" s="10"/>
      <c r="D193" s="2">
        <v>961.21</v>
      </c>
      <c r="E193" s="2"/>
      <c r="F193" s="19">
        <f t="shared" si="42"/>
        <v>1.1889344797666106E-3</v>
      </c>
      <c r="G193" s="2"/>
      <c r="H193" s="2">
        <v>343.16</v>
      </c>
      <c r="I193" s="2"/>
      <c r="J193" s="19">
        <f t="shared" si="43"/>
        <v>6.7949996754573837E-4</v>
      </c>
      <c r="K193" s="2"/>
      <c r="L193" s="2">
        <f t="shared" si="44"/>
        <v>618.04999999999995</v>
      </c>
      <c r="M193" s="2"/>
      <c r="N193" s="19">
        <f t="shared" si="45"/>
        <v>1.8010549015036714</v>
      </c>
      <c r="O193" s="10"/>
      <c r="P193" s="2">
        <v>5977.2</v>
      </c>
      <c r="Q193" s="2"/>
      <c r="R193" s="19">
        <f t="shared" si="46"/>
        <v>6.0915450996854243E-4</v>
      </c>
      <c r="S193" s="2"/>
      <c r="T193" s="2">
        <v>5226.1000000000004</v>
      </c>
      <c r="U193" s="2"/>
      <c r="V193" s="19">
        <f t="shared" si="47"/>
        <v>1.8632255605012527E-4</v>
      </c>
      <c r="W193" s="2"/>
      <c r="X193" s="2">
        <f t="shared" si="48"/>
        <v>751.09999999999945</v>
      </c>
      <c r="Y193" s="2"/>
      <c r="Z193" s="19">
        <f t="shared" si="49"/>
        <v>0.14372093913243134</v>
      </c>
    </row>
    <row r="194" spans="1:26" s="23" customFormat="1" hidden="1" outlineLevel="1" x14ac:dyDescent="0.25">
      <c r="A194" s="44"/>
      <c r="B194" s="10" t="str">
        <f>CONCATENATE("          ", "5542", " - ", "FREIGHT-IN-EVERYDAY GIFTS")</f>
        <v xml:space="preserve">          5542 - FREIGHT-IN-EVERYDAY GIFTS</v>
      </c>
      <c r="C194" s="10"/>
      <c r="D194" s="2"/>
      <c r="E194" s="2"/>
      <c r="F194" s="19">
        <f t="shared" si="42"/>
        <v>0</v>
      </c>
      <c r="G194" s="2"/>
      <c r="H194" s="2">
        <v>384.47</v>
      </c>
      <c r="I194" s="2"/>
      <c r="J194" s="19">
        <f t="shared" si="43"/>
        <v>7.6129896410511138E-4</v>
      </c>
      <c r="K194" s="2"/>
      <c r="L194" s="2">
        <f t="shared" si="44"/>
        <v>-384.47</v>
      </c>
      <c r="M194" s="2"/>
      <c r="N194" s="19">
        <f t="shared" si="45"/>
        <v>-1</v>
      </c>
      <c r="O194" s="10"/>
      <c r="P194" s="2">
        <v>681.72</v>
      </c>
      <c r="Q194" s="2"/>
      <c r="R194" s="19">
        <f t="shared" si="46"/>
        <v>6.9476144772762297E-5</v>
      </c>
      <c r="S194" s="2"/>
      <c r="T194" s="2">
        <v>2223.5100000000002</v>
      </c>
      <c r="U194" s="2"/>
      <c r="V194" s="19">
        <f t="shared" si="47"/>
        <v>7.9273275789405878E-5</v>
      </c>
      <c r="W194" s="2"/>
      <c r="X194" s="2">
        <f t="shared" si="48"/>
        <v>-1541.7900000000002</v>
      </c>
      <c r="Y194" s="2"/>
      <c r="Z194" s="19">
        <f t="shared" si="49"/>
        <v>-0.69340367257174473</v>
      </c>
    </row>
    <row r="195" spans="1:26" s="23" customFormat="1" hidden="1" outlineLevel="1" x14ac:dyDescent="0.25">
      <c r="A195" s="44"/>
      <c r="B195" s="10" t="str">
        <f>CONCATENATE("          ", "5543", " - ", "FREIGHT-IN-CARDS")</f>
        <v xml:space="preserve">          5543 - FREIGHT-IN-CARDS</v>
      </c>
      <c r="C195" s="10"/>
      <c r="D195" s="2"/>
      <c r="E195" s="2"/>
      <c r="F195" s="19">
        <f t="shared" si="42"/>
        <v>0</v>
      </c>
      <c r="G195" s="2"/>
      <c r="H195" s="2"/>
      <c r="I195" s="2"/>
      <c r="J195" s="19">
        <f t="shared" si="43"/>
        <v>0</v>
      </c>
      <c r="K195" s="2"/>
      <c r="L195" s="2">
        <f t="shared" si="44"/>
        <v>0</v>
      </c>
      <c r="M195" s="2"/>
      <c r="N195" s="19">
        <f t="shared" si="45"/>
        <v>0</v>
      </c>
      <c r="O195" s="10"/>
      <c r="P195" s="2">
        <v>9110.5300000000007</v>
      </c>
      <c r="Q195" s="2"/>
      <c r="R195" s="19">
        <f t="shared" si="46"/>
        <v>9.2848163650266101E-4</v>
      </c>
      <c r="S195" s="2"/>
      <c r="T195" s="2">
        <v>2926.76</v>
      </c>
      <c r="U195" s="2"/>
      <c r="V195" s="19">
        <f t="shared" si="47"/>
        <v>1.0434576532122704E-4</v>
      </c>
      <c r="W195" s="2"/>
      <c r="X195" s="2">
        <f t="shared" si="48"/>
        <v>6183.77</v>
      </c>
      <c r="Y195" s="2"/>
      <c r="Z195" s="19">
        <f t="shared" si="49"/>
        <v>2.112838087168063</v>
      </c>
    </row>
    <row r="196" spans="1:26" s="23" customFormat="1" hidden="1" outlineLevel="1" x14ac:dyDescent="0.25">
      <c r="A196" s="44"/>
      <c r="B196" s="10" t="str">
        <f>CONCATENATE("          ", "5544", " - ", "FREIGHT-IN-ACCESSORIES")</f>
        <v xml:space="preserve">          5544 - FREIGHT-IN-ACCESSORIES</v>
      </c>
      <c r="C196" s="10"/>
      <c r="D196" s="2"/>
      <c r="E196" s="2"/>
      <c r="F196" s="19">
        <f t="shared" si="42"/>
        <v>0</v>
      </c>
      <c r="G196" s="2"/>
      <c r="H196" s="2"/>
      <c r="I196" s="2"/>
      <c r="J196" s="19">
        <f t="shared" si="43"/>
        <v>0</v>
      </c>
      <c r="K196" s="2"/>
      <c r="L196" s="2">
        <f t="shared" si="44"/>
        <v>0</v>
      </c>
      <c r="M196" s="2"/>
      <c r="N196" s="19">
        <f t="shared" si="45"/>
        <v>0</v>
      </c>
      <c r="O196" s="10"/>
      <c r="P196" s="2"/>
      <c r="Q196" s="2"/>
      <c r="R196" s="19">
        <f t="shared" si="46"/>
        <v>0</v>
      </c>
      <c r="S196" s="2"/>
      <c r="T196" s="2">
        <v>483.44</v>
      </c>
      <c r="U196" s="2"/>
      <c r="V196" s="19">
        <f t="shared" si="47"/>
        <v>1.7235754481711516E-5</v>
      </c>
      <c r="W196" s="2"/>
      <c r="X196" s="2">
        <f t="shared" si="48"/>
        <v>-483.44</v>
      </c>
      <c r="Y196" s="2"/>
      <c r="Z196" s="19">
        <f t="shared" si="49"/>
        <v>-1</v>
      </c>
    </row>
    <row r="197" spans="1:26" s="23" customFormat="1" hidden="1" outlineLevel="1" x14ac:dyDescent="0.25">
      <c r="A197" s="44"/>
      <c r="B197" s="10" t="str">
        <f>CONCATENATE("          ", "5545", " - ", "FREIGHT-IN-SPECIAL ORDERS")</f>
        <v xml:space="preserve">          5545 - FREIGHT-IN-SPECIAL ORDERS</v>
      </c>
      <c r="C197" s="10"/>
      <c r="D197" s="2">
        <v>1033.9000000000001</v>
      </c>
      <c r="E197" s="2"/>
      <c r="F197" s="19">
        <f t="shared" si="42"/>
        <v>1.278845786696662E-3</v>
      </c>
      <c r="G197" s="2"/>
      <c r="H197" s="2">
        <v>173.06</v>
      </c>
      <c r="I197" s="2"/>
      <c r="J197" s="19">
        <f t="shared" si="43"/>
        <v>3.4268056994831998E-4</v>
      </c>
      <c r="K197" s="2"/>
      <c r="L197" s="2">
        <f t="shared" si="44"/>
        <v>860.84000000000015</v>
      </c>
      <c r="M197" s="2"/>
      <c r="N197" s="19">
        <f t="shared" si="45"/>
        <v>4.974228591240033</v>
      </c>
      <c r="O197" s="10"/>
      <c r="P197" s="2">
        <v>2468.66</v>
      </c>
      <c r="Q197" s="2"/>
      <c r="R197" s="19">
        <f t="shared" si="46"/>
        <v>2.5158859877182327E-4</v>
      </c>
      <c r="S197" s="2"/>
      <c r="T197" s="2">
        <v>1065.32</v>
      </c>
      <c r="U197" s="2"/>
      <c r="V197" s="19">
        <f t="shared" si="47"/>
        <v>3.798112271317415E-5</v>
      </c>
      <c r="W197" s="2"/>
      <c r="X197" s="2">
        <f t="shared" si="48"/>
        <v>1403.34</v>
      </c>
      <c r="Y197" s="2"/>
      <c r="Z197" s="19">
        <f t="shared" si="49"/>
        <v>1.3172943340967973</v>
      </c>
    </row>
    <row r="198" spans="1:26" s="23" customFormat="1" hidden="1" outlineLevel="1" x14ac:dyDescent="0.25">
      <c r="A198" s="44"/>
      <c r="B198" s="10" t="str">
        <f>CONCATENATE("          ", "5581", " - ", "FREIGHT-IN-ELECTRONICS")</f>
        <v xml:space="preserve">          5581 - FREIGHT-IN-ELECTRONICS</v>
      </c>
      <c r="C198" s="10"/>
      <c r="D198" s="2"/>
      <c r="E198" s="2"/>
      <c r="F198" s="19">
        <f t="shared" si="42"/>
        <v>0</v>
      </c>
      <c r="G198" s="2"/>
      <c r="H198" s="2">
        <v>31.25</v>
      </c>
      <c r="I198" s="2"/>
      <c r="J198" s="19">
        <f t="shared" si="43"/>
        <v>6.1878931069484565E-5</v>
      </c>
      <c r="K198" s="2"/>
      <c r="L198" s="2">
        <f t="shared" si="44"/>
        <v>-31.25</v>
      </c>
      <c r="M198" s="2"/>
      <c r="N198" s="19">
        <f t="shared" si="45"/>
        <v>-1</v>
      </c>
      <c r="O198" s="10"/>
      <c r="P198" s="2">
        <v>31</v>
      </c>
      <c r="Q198" s="2"/>
      <c r="R198" s="19">
        <f t="shared" si="46"/>
        <v>3.1593036553946354E-6</v>
      </c>
      <c r="S198" s="2"/>
      <c r="T198" s="2">
        <v>137</v>
      </c>
      <c r="U198" s="2"/>
      <c r="V198" s="19">
        <f t="shared" si="47"/>
        <v>4.8843669617625305E-6</v>
      </c>
      <c r="W198" s="2"/>
      <c r="X198" s="2">
        <f t="shared" si="48"/>
        <v>-106</v>
      </c>
      <c r="Y198" s="2"/>
      <c r="Z198" s="19">
        <f t="shared" si="49"/>
        <v>-0.77372262773722633</v>
      </c>
    </row>
    <row r="199" spans="1:26" s="23" customFormat="1" hidden="1" outlineLevel="1" x14ac:dyDescent="0.25">
      <c r="A199" s="44"/>
      <c r="B199" s="10" t="str">
        <f>CONCATENATE("          ", "5582", " - ", "FREIGHT-IN-COMPUTER HARDWARE")</f>
        <v xml:space="preserve">          5582 - FREIGHT-IN-COMPUTER HARDWARE</v>
      </c>
      <c r="C199" s="10"/>
      <c r="D199" s="2">
        <v>20</v>
      </c>
      <c r="E199" s="2"/>
      <c r="F199" s="19">
        <f t="shared" si="42"/>
        <v>2.4738287778250546E-5</v>
      </c>
      <c r="G199" s="2"/>
      <c r="H199" s="2"/>
      <c r="I199" s="2"/>
      <c r="J199" s="19">
        <f t="shared" si="43"/>
        <v>0</v>
      </c>
      <c r="K199" s="2"/>
      <c r="L199" s="2">
        <f t="shared" si="44"/>
        <v>20</v>
      </c>
      <c r="M199" s="2"/>
      <c r="N199" s="19">
        <f t="shared" si="45"/>
        <v>0</v>
      </c>
      <c r="O199" s="10"/>
      <c r="P199" s="2">
        <v>145</v>
      </c>
      <c r="Q199" s="2"/>
      <c r="R199" s="19">
        <f t="shared" si="46"/>
        <v>1.4777388065555553E-5</v>
      </c>
      <c r="S199" s="2"/>
      <c r="T199" s="2">
        <v>154.30000000000001</v>
      </c>
      <c r="U199" s="2"/>
      <c r="V199" s="19">
        <f t="shared" si="47"/>
        <v>5.5011519868610107E-6</v>
      </c>
      <c r="W199" s="2"/>
      <c r="X199" s="2">
        <f t="shared" si="48"/>
        <v>-9.3000000000000114</v>
      </c>
      <c r="Y199" s="2"/>
      <c r="Z199" s="19">
        <f t="shared" si="49"/>
        <v>-6.0272197018794625E-2</v>
      </c>
    </row>
    <row r="200" spans="1:26" s="23" customFormat="1" hidden="1" outlineLevel="1" x14ac:dyDescent="0.25">
      <c r="A200" s="44"/>
      <c r="B200" s="10" t="str">
        <f>CONCATENATE("          ", "5583", " - ", "FREIGHT-IN-COMPUTER EQUIPMENT")</f>
        <v xml:space="preserve">          5583 - FREIGHT-IN-COMPUTER EQUIPMENT</v>
      </c>
      <c r="C200" s="10"/>
      <c r="D200" s="2"/>
      <c r="E200" s="2"/>
      <c r="F200" s="19">
        <f t="shared" si="42"/>
        <v>0</v>
      </c>
      <c r="G200" s="2"/>
      <c r="H200" s="2"/>
      <c r="I200" s="2"/>
      <c r="J200" s="19">
        <f t="shared" si="43"/>
        <v>0</v>
      </c>
      <c r="K200" s="2"/>
      <c r="L200" s="2">
        <f t="shared" si="44"/>
        <v>0</v>
      </c>
      <c r="M200" s="2"/>
      <c r="N200" s="19">
        <f t="shared" si="45"/>
        <v>0</v>
      </c>
      <c r="O200" s="10"/>
      <c r="P200" s="2">
        <v>242.46</v>
      </c>
      <c r="Q200" s="2"/>
      <c r="R200" s="19">
        <f t="shared" si="46"/>
        <v>2.4709831106031723E-5</v>
      </c>
      <c r="S200" s="2"/>
      <c r="T200" s="2">
        <v>96.55</v>
      </c>
      <c r="U200" s="2"/>
      <c r="V200" s="19">
        <f t="shared" si="47"/>
        <v>3.4422308770669511E-6</v>
      </c>
      <c r="W200" s="2"/>
      <c r="X200" s="2">
        <f t="shared" si="48"/>
        <v>145.91000000000003</v>
      </c>
      <c r="Y200" s="2"/>
      <c r="Z200" s="19">
        <f t="shared" si="49"/>
        <v>1.5112377006732267</v>
      </c>
    </row>
    <row r="201" spans="1:26" s="23" customFormat="1" hidden="1" outlineLevel="1" x14ac:dyDescent="0.25">
      <c r="A201" s="44"/>
      <c r="B201" s="10" t="str">
        <f>CONCATENATE("          ", "5585", " - ", "FREIGHT-IN-SOFTWARE")</f>
        <v xml:space="preserve">          5585 - FREIGHT-IN-SOFTWARE</v>
      </c>
      <c r="C201" s="10"/>
      <c r="D201" s="2"/>
      <c r="E201" s="2"/>
      <c r="F201" s="19">
        <f t="shared" si="42"/>
        <v>0</v>
      </c>
      <c r="G201" s="2"/>
      <c r="H201" s="2">
        <v>10</v>
      </c>
      <c r="I201" s="2"/>
      <c r="J201" s="19">
        <f t="shared" si="43"/>
        <v>1.9801257942235062E-5</v>
      </c>
      <c r="K201" s="2"/>
      <c r="L201" s="2">
        <f t="shared" si="44"/>
        <v>-10</v>
      </c>
      <c r="M201" s="2"/>
      <c r="N201" s="19">
        <f t="shared" si="45"/>
        <v>-1</v>
      </c>
      <c r="O201" s="10"/>
      <c r="P201" s="2">
        <v>9.41</v>
      </c>
      <c r="Q201" s="2"/>
      <c r="R201" s="19">
        <f t="shared" si="46"/>
        <v>9.5900152894398464E-7</v>
      </c>
      <c r="S201" s="2"/>
      <c r="T201" s="2">
        <v>10</v>
      </c>
      <c r="U201" s="2"/>
      <c r="V201" s="19">
        <f t="shared" si="47"/>
        <v>3.5652313589507524E-7</v>
      </c>
      <c r="W201" s="2"/>
      <c r="X201" s="2">
        <f t="shared" si="48"/>
        <v>-0.58999999999999986</v>
      </c>
      <c r="Y201" s="2"/>
      <c r="Z201" s="19">
        <f t="shared" si="49"/>
        <v>-5.8999999999999983E-2</v>
      </c>
    </row>
    <row r="202" spans="1:26" s="23" customFormat="1" hidden="1" outlineLevel="1" x14ac:dyDescent="0.25">
      <c r="A202" s="44"/>
      <c r="B202" s="10" t="str">
        <f>CONCATENATE("          ", "5586", " - ", "FREIGHT-IN-COMPUTER SUPPLIES")</f>
        <v xml:space="preserve">          5586 - FREIGHT-IN-COMPUTER SUPPLIES</v>
      </c>
      <c r="C202" s="10"/>
      <c r="D202" s="2"/>
      <c r="E202" s="2"/>
      <c r="F202" s="19">
        <f t="shared" si="42"/>
        <v>0</v>
      </c>
      <c r="G202" s="2"/>
      <c r="H202" s="2"/>
      <c r="I202" s="2"/>
      <c r="J202" s="19">
        <f t="shared" si="43"/>
        <v>0</v>
      </c>
      <c r="K202" s="2"/>
      <c r="L202" s="2">
        <f t="shared" si="44"/>
        <v>0</v>
      </c>
      <c r="M202" s="2"/>
      <c r="N202" s="19">
        <f t="shared" si="45"/>
        <v>0</v>
      </c>
      <c r="O202" s="10"/>
      <c r="P202" s="2">
        <v>24.12</v>
      </c>
      <c r="Q202" s="2"/>
      <c r="R202" s="19">
        <f t="shared" si="46"/>
        <v>2.4581420699393103E-6</v>
      </c>
      <c r="S202" s="2"/>
      <c r="T202" s="2">
        <v>301.27</v>
      </c>
      <c r="U202" s="2"/>
      <c r="V202" s="19">
        <f t="shared" si="47"/>
        <v>1.074097251511093E-5</v>
      </c>
      <c r="W202" s="2"/>
      <c r="X202" s="2">
        <f t="shared" si="48"/>
        <v>-277.14999999999998</v>
      </c>
      <c r="Y202" s="2"/>
      <c r="Z202" s="19">
        <f t="shared" si="49"/>
        <v>-0.91993892521658316</v>
      </c>
    </row>
    <row r="203" spans="1:26" s="23" customFormat="1" hidden="1" outlineLevel="1" x14ac:dyDescent="0.25">
      <c r="A203" s="44"/>
      <c r="B203" s="10" t="str">
        <f>CONCATENATE("          ", "5592", " - ", "FREIGHT-IN-GRAD MERCH")</f>
        <v xml:space="preserve">          5592 - FREIGHT-IN-GRAD MERCH</v>
      </c>
      <c r="C203" s="10"/>
      <c r="D203" s="2"/>
      <c r="E203" s="2"/>
      <c r="F203" s="19">
        <f t="shared" si="42"/>
        <v>0</v>
      </c>
      <c r="G203" s="2"/>
      <c r="H203" s="2">
        <v>41.32</v>
      </c>
      <c r="I203" s="2"/>
      <c r="J203" s="19">
        <f t="shared" si="43"/>
        <v>8.1818797817315273E-5</v>
      </c>
      <c r="K203" s="2"/>
      <c r="L203" s="2">
        <f t="shared" si="44"/>
        <v>-41.32</v>
      </c>
      <c r="M203" s="2"/>
      <c r="N203" s="19">
        <f t="shared" si="45"/>
        <v>-1</v>
      </c>
      <c r="O203" s="10"/>
      <c r="P203" s="2">
        <v>0</v>
      </c>
      <c r="Q203" s="2"/>
      <c r="R203" s="19">
        <f t="shared" si="46"/>
        <v>0</v>
      </c>
      <c r="S203" s="2"/>
      <c r="T203" s="2">
        <v>160.05000000000001</v>
      </c>
      <c r="U203" s="2"/>
      <c r="V203" s="19">
        <f t="shared" si="47"/>
        <v>5.7061527900006791E-6</v>
      </c>
      <c r="W203" s="2"/>
      <c r="X203" s="2">
        <f t="shared" si="48"/>
        <v>-160.05000000000001</v>
      </c>
      <c r="Y203" s="2"/>
      <c r="Z203" s="19">
        <f t="shared" si="49"/>
        <v>-1</v>
      </c>
    </row>
    <row r="204" spans="1:26" x14ac:dyDescent="0.25">
      <c r="A204" s="9"/>
      <c r="B204" s="11"/>
      <c r="C204" s="11"/>
      <c r="D204" s="3"/>
      <c r="E204" s="3"/>
      <c r="F204" s="8"/>
      <c r="G204" s="3"/>
      <c r="H204" s="3"/>
      <c r="I204" s="3"/>
      <c r="J204" s="8"/>
      <c r="K204" s="3"/>
      <c r="L204" s="3"/>
      <c r="M204" s="3"/>
      <c r="N204" s="8"/>
      <c r="O204" s="11"/>
      <c r="P204" s="3"/>
      <c r="Q204" s="3"/>
      <c r="R204" s="8"/>
      <c r="S204" s="3"/>
      <c r="T204" s="3"/>
      <c r="U204" s="3"/>
      <c r="V204" s="8"/>
      <c r="W204" s="3"/>
      <c r="X204" s="3"/>
      <c r="Y204" s="3"/>
      <c r="Z204" s="8"/>
    </row>
    <row r="205" spans="1:26" s="24" customFormat="1" x14ac:dyDescent="0.25">
      <c r="A205" s="11"/>
      <c r="B205" s="28" t="s">
        <v>107</v>
      </c>
      <c r="C205" s="28"/>
      <c r="D205" s="20">
        <f>D12-D142</f>
        <v>473889.38999999978</v>
      </c>
      <c r="E205" s="14"/>
      <c r="F205" s="21">
        <f>IF(D$12=0,0,D205/D$12)</f>
        <v>0.58616060524398006</v>
      </c>
      <c r="G205" s="14"/>
      <c r="H205" s="20">
        <f>H12-H142</f>
        <v>217162.66999999987</v>
      </c>
      <c r="I205" s="14"/>
      <c r="J205" s="21">
        <f>IF(H$12=0,0,H205/H$12)</f>
        <v>0.4300094044094469</v>
      </c>
      <c r="K205" s="15"/>
      <c r="L205" s="20">
        <f>+D205-H205</f>
        <v>256726.71999999991</v>
      </c>
      <c r="M205" s="15"/>
      <c r="N205" s="21">
        <f>IF(H205=0,0,L205/H205)</f>
        <v>1.1821862385464319</v>
      </c>
      <c r="O205" s="29"/>
      <c r="P205" s="20">
        <f>P12-P142</f>
        <v>3841791.9300000025</v>
      </c>
      <c r="Q205" s="14"/>
      <c r="R205" s="21">
        <f>IF(P$12=0,0,P205/P$12)</f>
        <v>0.39152862218434259</v>
      </c>
      <c r="S205" s="14"/>
      <c r="T205" s="20">
        <f>T12-T142</f>
        <v>15605900.219999995</v>
      </c>
      <c r="U205" s="14"/>
      <c r="V205" s="21">
        <f>IF(T$12=0,0,T205/T$12)</f>
        <v>0.55638644849000429</v>
      </c>
      <c r="W205" s="15"/>
      <c r="X205" s="20">
        <f>+P205-T205</f>
        <v>-11764108.289999992</v>
      </c>
      <c r="Y205" s="15"/>
      <c r="Z205" s="21">
        <f>IF(T205=0,0,X205/T205)</f>
        <v>-0.75382439488646147</v>
      </c>
    </row>
    <row r="206" spans="1:26" x14ac:dyDescent="0.25">
      <c r="A206" s="9"/>
      <c r="B206" s="11"/>
      <c r="C206" s="9"/>
      <c r="D206" s="1"/>
      <c r="E206" s="1"/>
      <c r="F206" s="5"/>
      <c r="G206" s="1"/>
      <c r="H206" s="1"/>
      <c r="I206" s="1"/>
      <c r="J206" s="5"/>
      <c r="K206" s="1"/>
      <c r="L206" s="1"/>
      <c r="M206" s="1"/>
      <c r="N206" s="5"/>
      <c r="O206" s="37"/>
      <c r="P206" s="1"/>
      <c r="Q206" s="1"/>
      <c r="R206" s="5"/>
      <c r="S206" s="1"/>
      <c r="T206" s="1"/>
      <c r="U206" s="1"/>
      <c r="V206" s="5"/>
      <c r="W206" s="1"/>
      <c r="X206" s="1"/>
      <c r="Y206" s="1"/>
      <c r="Z206" s="5"/>
    </row>
    <row r="207" spans="1:26" s="24" customFormat="1" x14ac:dyDescent="0.25">
      <c r="A207" s="11"/>
      <c r="B207" s="29" t="s">
        <v>294</v>
      </c>
      <c r="C207" s="11"/>
      <c r="D207" s="22">
        <f>SUM(OSRRefD22x_0)</f>
        <v>611093.25999999989</v>
      </c>
      <c r="E207" s="22"/>
      <c r="F207" s="32">
        <f t="shared" ref="F207:F218" si="50">IF(D$12=0,0,D207/D$12)</f>
        <v>0.75587004626146403</v>
      </c>
      <c r="G207" s="22"/>
      <c r="H207" s="22">
        <f>SUM(OSRRefH22x_0)</f>
        <v>628089.21</v>
      </c>
      <c r="I207" s="22"/>
      <c r="J207" s="32">
        <f t="shared" ref="J207:J218" si="51">IF(H$12=0,0,H207/H$12)</f>
        <v>1.2436956457944643</v>
      </c>
      <c r="K207" s="4"/>
      <c r="L207" s="22">
        <f t="shared" ref="L207:L218" si="52">+D207-H207</f>
        <v>-16995.95000000007</v>
      </c>
      <c r="M207" s="4"/>
      <c r="N207" s="32">
        <f t="shared" ref="N207:N218" si="53">IF(H207=0,0,L207/H207)</f>
        <v>-2.7059770697223203E-2</v>
      </c>
      <c r="O207" s="11"/>
      <c r="P207" s="22">
        <f>SUM(OSRRefP22x_0)</f>
        <v>7389847.6900000023</v>
      </c>
      <c r="Q207" s="22"/>
      <c r="R207" s="32">
        <f t="shared" ref="R207:R218" si="54">IF(P$12=0,0,P207/P$12)</f>
        <v>0.75312170386537458</v>
      </c>
      <c r="S207" s="22"/>
      <c r="T207" s="22">
        <f>SUM(OSRRefT22x_0)</f>
        <v>15051541.559999993</v>
      </c>
      <c r="U207" s="22"/>
      <c r="V207" s="32">
        <f t="shared" ref="V207:V218" si="55">IF(T$12=0,0,T207/T$12)</f>
        <v>0.53662227970262499</v>
      </c>
      <c r="W207" s="4"/>
      <c r="X207" s="22">
        <f t="shared" ref="X207:X218" si="56">+P207-T207</f>
        <v>-7661693.8699999908</v>
      </c>
      <c r="Y207" s="4"/>
      <c r="Z207" s="32">
        <f t="shared" ref="Z207:Z218" si="57">IF(T207=0,0,X207/T207)</f>
        <v>-0.50903050956330043</v>
      </c>
    </row>
    <row r="208" spans="1:26" s="26" customFormat="1" outlineLevel="1" collapsed="1" x14ac:dyDescent="0.25">
      <c r="A208" s="25"/>
      <c r="B208" s="12" t="str">
        <f>CONCATENATE("     ","*Benefits                                         ")</f>
        <v xml:space="preserve">     *Benefits                                         </v>
      </c>
      <c r="C208" s="12"/>
      <c r="D208" s="1">
        <f>SUM(OSRRefD22_0x_0)</f>
        <v>149333.91</v>
      </c>
      <c r="E208" s="1"/>
      <c r="F208" s="5">
        <f t="shared" si="50"/>
        <v>0.18471326203156835</v>
      </c>
      <c r="G208" s="1"/>
      <c r="H208" s="1">
        <f>SUM(OSRRefH22_0x_0)</f>
        <v>146856.24999999997</v>
      </c>
      <c r="I208" s="1"/>
      <c r="J208" s="5">
        <f t="shared" si="51"/>
        <v>0.29079384866793573</v>
      </c>
      <c r="K208" s="1"/>
      <c r="L208" s="1">
        <f t="shared" si="52"/>
        <v>2477.6600000000326</v>
      </c>
      <c r="M208" s="1"/>
      <c r="N208" s="5">
        <f t="shared" si="53"/>
        <v>1.6871328254671036E-2</v>
      </c>
      <c r="O208" s="12"/>
      <c r="P208" s="1">
        <f>SUM(OSRRefP22_0x_0)</f>
        <v>1702790.9699999997</v>
      </c>
      <c r="Q208" s="1"/>
      <c r="R208" s="5">
        <f t="shared" si="54"/>
        <v>0.17353657212561213</v>
      </c>
      <c r="S208" s="1"/>
      <c r="T208" s="1">
        <f>SUM(OSRRefT22_0x_0)</f>
        <v>2259750.3000000003</v>
      </c>
      <c r="U208" s="1"/>
      <c r="V208" s="5">
        <f t="shared" si="55"/>
        <v>8.0565326329583714E-2</v>
      </c>
      <c r="W208" s="1"/>
      <c r="X208" s="1">
        <f t="shared" si="56"/>
        <v>-556959.33000000054</v>
      </c>
      <c r="Y208" s="1"/>
      <c r="Z208" s="5">
        <f t="shared" si="57"/>
        <v>-0.24646941301434963</v>
      </c>
    </row>
    <row r="209" spans="1:26" s="23" customFormat="1" hidden="1" outlineLevel="2" x14ac:dyDescent="0.25">
      <c r="A209" s="27"/>
      <c r="B209" s="10" t="str">
        <f>CONCATENATE("          ", "6111", " - ", "F.I.C.A.")</f>
        <v xml:space="preserve">          6111 - F.I.C.A.</v>
      </c>
      <c r="C209" s="10"/>
      <c r="D209" s="6">
        <v>19179.330000000002</v>
      </c>
      <c r="E209" s="2"/>
      <c r="F209" s="7">
        <f t="shared" si="50"/>
        <v>2.3723189246701706E-2</v>
      </c>
      <c r="G209" s="2"/>
      <c r="H209" s="6">
        <v>17908.080000000002</v>
      </c>
      <c r="I209" s="2"/>
      <c r="J209" s="7">
        <f t="shared" si="51"/>
        <v>3.5460251133018088E-2</v>
      </c>
      <c r="K209" s="2"/>
      <c r="L209" s="6">
        <f t="shared" si="52"/>
        <v>1271.25</v>
      </c>
      <c r="M209" s="2"/>
      <c r="N209" s="7">
        <f t="shared" si="53"/>
        <v>7.0987509548762345E-2</v>
      </c>
      <c r="O209" s="10"/>
      <c r="P209" s="6">
        <v>235841.61</v>
      </c>
      <c r="Q209" s="2"/>
      <c r="R209" s="7">
        <f t="shared" si="54"/>
        <v>2.4035330986037291E-2</v>
      </c>
      <c r="S209" s="2"/>
      <c r="T209" s="6">
        <v>420573.49</v>
      </c>
      <c r="U209" s="2"/>
      <c r="V209" s="7">
        <f t="shared" si="55"/>
        <v>1.4994417952913605E-2</v>
      </c>
      <c r="W209" s="2"/>
      <c r="X209" s="6">
        <f t="shared" si="56"/>
        <v>-184731.88</v>
      </c>
      <c r="Y209" s="2"/>
      <c r="Z209" s="7">
        <f t="shared" si="57"/>
        <v>-0.43923805088142859</v>
      </c>
    </row>
    <row r="210" spans="1:26" s="23" customFormat="1" hidden="1" outlineLevel="2" x14ac:dyDescent="0.25">
      <c r="A210" s="27"/>
      <c r="B210" s="10" t="str">
        <f>CONCATENATE("          ", "6112", " - ", "COMPENSATION INSURANCE")</f>
        <v xml:space="preserve">          6112 - COMPENSATION INSURANCE</v>
      </c>
      <c r="C210" s="10"/>
      <c r="D210" s="6">
        <v>10479</v>
      </c>
      <c r="E210" s="2"/>
      <c r="F210" s="7">
        <f t="shared" si="50"/>
        <v>1.2961625881414375E-2</v>
      </c>
      <c r="G210" s="2"/>
      <c r="H210" s="6">
        <v>9249.5300000000007</v>
      </c>
      <c r="I210" s="2"/>
      <c r="J210" s="7">
        <f t="shared" si="51"/>
        <v>1.8315232937444147E-2</v>
      </c>
      <c r="K210" s="2"/>
      <c r="L210" s="6">
        <f t="shared" si="52"/>
        <v>1229.4699999999993</v>
      </c>
      <c r="M210" s="2"/>
      <c r="N210" s="7">
        <f t="shared" si="53"/>
        <v>0.1329224295720971</v>
      </c>
      <c r="O210" s="10"/>
      <c r="P210" s="6">
        <v>90994.63</v>
      </c>
      <c r="Q210" s="2"/>
      <c r="R210" s="7">
        <f t="shared" si="54"/>
        <v>9.2735376509768506E-3</v>
      </c>
      <c r="S210" s="2"/>
      <c r="T210" s="6">
        <v>200901.33</v>
      </c>
      <c r="U210" s="2"/>
      <c r="V210" s="7">
        <f t="shared" si="55"/>
        <v>7.1625972177091343E-3</v>
      </c>
      <c r="W210" s="2"/>
      <c r="X210" s="6">
        <f t="shared" si="56"/>
        <v>-109906.69999999998</v>
      </c>
      <c r="Y210" s="2"/>
      <c r="Z210" s="7">
        <f t="shared" si="57"/>
        <v>-0.54706805574656969</v>
      </c>
    </row>
    <row r="211" spans="1:26" s="23" customFormat="1" hidden="1" outlineLevel="2" x14ac:dyDescent="0.25">
      <c r="A211" s="27"/>
      <c r="B211" s="10" t="str">
        <f>CONCATENATE("          ", "6113", " - ", "GROUP INSURANCE")</f>
        <v xml:space="preserve">          6113 - GROUP INSURANCE</v>
      </c>
      <c r="C211" s="10"/>
      <c r="D211" s="6">
        <v>73931.67</v>
      </c>
      <c r="E211" s="2"/>
      <c r="F211" s="7">
        <f t="shared" si="50"/>
        <v>9.1447146419332631E-2</v>
      </c>
      <c r="G211" s="2"/>
      <c r="H211" s="6">
        <v>75664.960000000006</v>
      </c>
      <c r="I211" s="2"/>
      <c r="J211" s="7">
        <f t="shared" si="51"/>
        <v>0.14982613901488984</v>
      </c>
      <c r="K211" s="2"/>
      <c r="L211" s="6">
        <f t="shared" si="52"/>
        <v>-1733.2900000000081</v>
      </c>
      <c r="M211" s="2"/>
      <c r="N211" s="7">
        <f t="shared" si="53"/>
        <v>-2.2907432978224108E-2</v>
      </c>
      <c r="O211" s="10"/>
      <c r="P211" s="6">
        <v>823372.93</v>
      </c>
      <c r="Q211" s="2"/>
      <c r="R211" s="7">
        <f t="shared" si="54"/>
        <v>8.3912422822644883E-2</v>
      </c>
      <c r="S211" s="2"/>
      <c r="T211" s="6">
        <v>1028448.7</v>
      </c>
      <c r="U211" s="2"/>
      <c r="V211" s="7">
        <f t="shared" si="55"/>
        <v>3.6666575563121341E-2</v>
      </c>
      <c r="W211" s="2"/>
      <c r="X211" s="6">
        <f t="shared" si="56"/>
        <v>-205075.7699999999</v>
      </c>
      <c r="Y211" s="2"/>
      <c r="Z211" s="7">
        <f t="shared" si="57"/>
        <v>-0.19940301349012343</v>
      </c>
    </row>
    <row r="212" spans="1:26" s="23" customFormat="1" hidden="1" outlineLevel="2" x14ac:dyDescent="0.25">
      <c r="A212" s="27"/>
      <c r="B212" s="10" t="str">
        <f>CONCATENATE("          ", "6114", " - ", "STATE UNEMPLOYMENT INSURANCE")</f>
        <v xml:space="preserve">          6114 - STATE UNEMPLOYMENT INSURANCE</v>
      </c>
      <c r="C212" s="10"/>
      <c r="D212" s="6">
        <v>1070.3599999999999</v>
      </c>
      <c r="E212" s="2"/>
      <c r="F212" s="7">
        <f t="shared" si="50"/>
        <v>1.3239436853164127E-3</v>
      </c>
      <c r="G212" s="2"/>
      <c r="H212" s="6">
        <v>974.04</v>
      </c>
      <c r="I212" s="2"/>
      <c r="J212" s="7">
        <f t="shared" si="51"/>
        <v>1.9287217286054637E-3</v>
      </c>
      <c r="K212" s="2"/>
      <c r="L212" s="6">
        <f t="shared" si="52"/>
        <v>96.319999999999936</v>
      </c>
      <c r="M212" s="2"/>
      <c r="N212" s="7">
        <f t="shared" si="53"/>
        <v>9.8887109358958503E-2</v>
      </c>
      <c r="O212" s="10"/>
      <c r="P212" s="6">
        <v>9280.8799999999992</v>
      </c>
      <c r="Q212" s="2"/>
      <c r="R212" s="7">
        <f t="shared" si="54"/>
        <v>9.458425196541601E-4</v>
      </c>
      <c r="S212" s="2"/>
      <c r="T212" s="6">
        <v>20622.75</v>
      </c>
      <c r="U212" s="2"/>
      <c r="V212" s="7">
        <f t="shared" si="55"/>
        <v>7.3524875007801628E-4</v>
      </c>
      <c r="W212" s="2"/>
      <c r="X212" s="6">
        <f t="shared" si="56"/>
        <v>-11341.87</v>
      </c>
      <c r="Y212" s="2"/>
      <c r="Z212" s="7">
        <f t="shared" si="57"/>
        <v>-0.54996884508613064</v>
      </c>
    </row>
    <row r="213" spans="1:26" s="23" customFormat="1" hidden="1" outlineLevel="2" x14ac:dyDescent="0.25">
      <c r="A213" s="27"/>
      <c r="B213" s="10" t="str">
        <f>CONCATENATE("          ", "6115", " - ", "P.E.R.S.")</f>
        <v xml:space="preserve">          6115 - P.E.R.S.</v>
      </c>
      <c r="C213" s="10"/>
      <c r="D213" s="6">
        <v>13550.14</v>
      </c>
      <c r="E213" s="2"/>
      <c r="F213" s="7">
        <f t="shared" si="50"/>
        <v>1.6760363137779191E-2</v>
      </c>
      <c r="G213" s="2"/>
      <c r="H213" s="6">
        <v>13005.81</v>
      </c>
      <c r="I213" s="2"/>
      <c r="J213" s="7">
        <f t="shared" si="51"/>
        <v>2.5753139855770015E-2</v>
      </c>
      <c r="K213" s="2"/>
      <c r="L213" s="6">
        <f t="shared" si="52"/>
        <v>544.32999999999993</v>
      </c>
      <c r="M213" s="2"/>
      <c r="N213" s="7">
        <f t="shared" si="53"/>
        <v>4.1852833464428585E-2</v>
      </c>
      <c r="O213" s="10"/>
      <c r="P213" s="6">
        <v>169232.25</v>
      </c>
      <c r="Q213" s="2"/>
      <c r="R213" s="7">
        <f t="shared" si="54"/>
        <v>1.7246969872118028E-2</v>
      </c>
      <c r="S213" s="2"/>
      <c r="T213" s="6">
        <v>225897.07</v>
      </c>
      <c r="U213" s="2"/>
      <c r="V213" s="7">
        <f t="shared" si="55"/>
        <v>8.0537531785909323E-3</v>
      </c>
      <c r="W213" s="2"/>
      <c r="X213" s="6">
        <f t="shared" si="56"/>
        <v>-56664.820000000007</v>
      </c>
      <c r="Y213" s="2"/>
      <c r="Z213" s="7">
        <f t="shared" si="57"/>
        <v>-0.25084353683737465</v>
      </c>
    </row>
    <row r="214" spans="1:26" s="23" customFormat="1" hidden="1" outlineLevel="2" x14ac:dyDescent="0.25">
      <c r="A214" s="27"/>
      <c r="B214" s="10" t="str">
        <f>CONCATENATE("          ", "6116", " - ", "EDUCATIONAL BENEFITS")</f>
        <v xml:space="preserve">          6116 - EDUCATIONAL BENEFITS</v>
      </c>
      <c r="C214" s="10"/>
      <c r="D214" s="6"/>
      <c r="E214" s="2"/>
      <c r="F214" s="7">
        <f t="shared" si="50"/>
        <v>0</v>
      </c>
      <c r="G214" s="2"/>
      <c r="H214" s="6"/>
      <c r="I214" s="2"/>
      <c r="J214" s="7">
        <f t="shared" si="51"/>
        <v>0</v>
      </c>
      <c r="K214" s="2"/>
      <c r="L214" s="6">
        <f t="shared" si="52"/>
        <v>0</v>
      </c>
      <c r="M214" s="2"/>
      <c r="N214" s="7">
        <f t="shared" si="53"/>
        <v>0</v>
      </c>
      <c r="O214" s="10"/>
      <c r="P214" s="6">
        <v>0</v>
      </c>
      <c r="Q214" s="2"/>
      <c r="R214" s="7">
        <f t="shared" si="54"/>
        <v>0</v>
      </c>
      <c r="S214" s="2"/>
      <c r="T214" s="6"/>
      <c r="U214" s="2"/>
      <c r="V214" s="7">
        <f t="shared" si="55"/>
        <v>0</v>
      </c>
      <c r="W214" s="2"/>
      <c r="X214" s="6">
        <f t="shared" si="56"/>
        <v>0</v>
      </c>
      <c r="Y214" s="2"/>
      <c r="Z214" s="7">
        <f t="shared" si="57"/>
        <v>0</v>
      </c>
    </row>
    <row r="215" spans="1:26" s="23" customFormat="1" hidden="1" outlineLevel="2" x14ac:dyDescent="0.25">
      <c r="A215" s="27"/>
      <c r="B215" s="10" t="str">
        <f>CONCATENATE("          ", "6117", " - ", "RETIREMENT STAFF HOURLY")</f>
        <v xml:space="preserve">          6117 - RETIREMENT STAFF HOURLY</v>
      </c>
      <c r="C215" s="10"/>
      <c r="D215" s="6">
        <v>2181.4699999999998</v>
      </c>
      <c r="E215" s="2"/>
      <c r="F215" s="7">
        <f t="shared" si="50"/>
        <v>2.6982916319810107E-3</v>
      </c>
      <c r="G215" s="2"/>
      <c r="H215" s="6">
        <v>1798.48</v>
      </c>
      <c r="I215" s="2"/>
      <c r="J215" s="7">
        <f t="shared" si="51"/>
        <v>3.561216638395091E-3</v>
      </c>
      <c r="K215" s="2"/>
      <c r="L215" s="6">
        <f t="shared" si="52"/>
        <v>382.98999999999978</v>
      </c>
      <c r="M215" s="2"/>
      <c r="N215" s="7">
        <f t="shared" si="53"/>
        <v>0.21295204839642351</v>
      </c>
      <c r="O215" s="10"/>
      <c r="P215" s="6">
        <v>24130.720000000001</v>
      </c>
      <c r="Q215" s="2"/>
      <c r="R215" s="7">
        <f t="shared" si="54"/>
        <v>2.4592345775259496E-3</v>
      </c>
      <c r="S215" s="2"/>
      <c r="T215" s="6">
        <v>24516.1</v>
      </c>
      <c r="U215" s="2"/>
      <c r="V215" s="7">
        <f t="shared" si="55"/>
        <v>8.7405568519172529E-4</v>
      </c>
      <c r="W215" s="2"/>
      <c r="X215" s="6">
        <f t="shared" si="56"/>
        <v>-385.37999999999738</v>
      </c>
      <c r="Y215" s="2"/>
      <c r="Z215" s="7">
        <f t="shared" si="57"/>
        <v>-1.5719465983578033E-2</v>
      </c>
    </row>
    <row r="216" spans="1:26" s="23" customFormat="1" hidden="1" outlineLevel="2" x14ac:dyDescent="0.25">
      <c r="A216" s="27"/>
      <c r="B216" s="10" t="str">
        <f>CONCATENATE("          ", "6118", " - ", "VACATION")</f>
        <v xml:space="preserve">          6118 - VACATION</v>
      </c>
      <c r="C216" s="10"/>
      <c r="D216" s="6">
        <v>14864.38</v>
      </c>
      <c r="E216" s="2"/>
      <c r="F216" s="7">
        <f t="shared" si="50"/>
        <v>1.8385965504263593E-2</v>
      </c>
      <c r="G216" s="2"/>
      <c r="H216" s="6">
        <v>14653.96</v>
      </c>
      <c r="I216" s="2"/>
      <c r="J216" s="7">
        <f t="shared" si="51"/>
        <v>2.9016684183519485E-2</v>
      </c>
      <c r="K216" s="2"/>
      <c r="L216" s="6">
        <f t="shared" si="52"/>
        <v>210.42000000000007</v>
      </c>
      <c r="M216" s="2"/>
      <c r="N216" s="7">
        <f t="shared" si="53"/>
        <v>1.435925852124614E-2</v>
      </c>
      <c r="O216" s="10"/>
      <c r="P216" s="6">
        <v>178536.18</v>
      </c>
      <c r="Q216" s="2"/>
      <c r="R216" s="7">
        <f t="shared" si="54"/>
        <v>1.8195161486909504E-2</v>
      </c>
      <c r="S216" s="2"/>
      <c r="T216" s="6">
        <v>254924.39</v>
      </c>
      <c r="U216" s="2"/>
      <c r="V216" s="7">
        <f t="shared" si="55"/>
        <v>9.088644293893916E-3</v>
      </c>
      <c r="W216" s="2"/>
      <c r="X216" s="6">
        <f t="shared" si="56"/>
        <v>-76388.210000000021</v>
      </c>
      <c r="Y216" s="2"/>
      <c r="Z216" s="7">
        <f t="shared" si="57"/>
        <v>-0.29965045714142935</v>
      </c>
    </row>
    <row r="217" spans="1:26" s="23" customFormat="1" hidden="1" outlineLevel="2" x14ac:dyDescent="0.25">
      <c r="A217" s="27"/>
      <c r="B217" s="10" t="str">
        <f>CONCATENATE("          ", "6119", " - ", "SICK LEAVE")</f>
        <v xml:space="preserve">          6119 - SICK LEAVE</v>
      </c>
      <c r="C217" s="10"/>
      <c r="D217" s="6">
        <v>9716.08</v>
      </c>
      <c r="E217" s="2"/>
      <c r="F217" s="7">
        <f t="shared" si="50"/>
        <v>1.2017959155825229E-2</v>
      </c>
      <c r="G217" s="2"/>
      <c r="H217" s="6">
        <v>10164.280000000001</v>
      </c>
      <c r="I217" s="2"/>
      <c r="J217" s="7">
        <f t="shared" si="51"/>
        <v>2.0126553007710098E-2</v>
      </c>
      <c r="K217" s="2"/>
      <c r="L217" s="6">
        <f t="shared" si="52"/>
        <v>-448.20000000000073</v>
      </c>
      <c r="M217" s="2"/>
      <c r="N217" s="7">
        <f t="shared" si="53"/>
        <v>-4.4095597523877803E-2</v>
      </c>
      <c r="O217" s="10"/>
      <c r="P217" s="6">
        <v>119980.2</v>
      </c>
      <c r="Q217" s="2"/>
      <c r="R217" s="7">
        <f t="shared" si="54"/>
        <v>1.2227544659192886E-2</v>
      </c>
      <c r="S217" s="2"/>
      <c r="T217" s="6">
        <v>-7888.09</v>
      </c>
      <c r="U217" s="2"/>
      <c r="V217" s="7">
        <f t="shared" si="55"/>
        <v>-2.8122865830225837E-4</v>
      </c>
      <c r="W217" s="2"/>
      <c r="X217" s="6">
        <f t="shared" si="56"/>
        <v>127868.29</v>
      </c>
      <c r="Y217" s="2"/>
      <c r="Z217" s="7">
        <f t="shared" si="57"/>
        <v>-16.210298056944076</v>
      </c>
    </row>
    <row r="218" spans="1:26" s="23" customFormat="1" hidden="1" outlineLevel="2" x14ac:dyDescent="0.25">
      <c r="A218" s="27"/>
      <c r="B218" s="10" t="str">
        <f>CONCATENATE("          ", "6156", " - ", "EMPLOYEE MEALS")</f>
        <v xml:space="preserve">          6156 - EMPLOYEE MEALS</v>
      </c>
      <c r="C218" s="10"/>
      <c r="D218" s="6">
        <v>4361.4799999999996</v>
      </c>
      <c r="E218" s="2"/>
      <c r="F218" s="7">
        <f t="shared" si="50"/>
        <v>5.3947773689542091E-3</v>
      </c>
      <c r="G218" s="2"/>
      <c r="H218" s="6">
        <v>3437.11</v>
      </c>
      <c r="I218" s="2"/>
      <c r="J218" s="7">
        <f t="shared" si="51"/>
        <v>6.8059101685835552E-3</v>
      </c>
      <c r="K218" s="2"/>
      <c r="L218" s="6">
        <f t="shared" si="52"/>
        <v>924.36999999999944</v>
      </c>
      <c r="M218" s="2"/>
      <c r="N218" s="7">
        <f t="shared" si="53"/>
        <v>0.26893814861904314</v>
      </c>
      <c r="O218" s="10"/>
      <c r="P218" s="6">
        <v>51421.57</v>
      </c>
      <c r="Q218" s="2"/>
      <c r="R218" s="7">
        <f t="shared" si="54"/>
        <v>5.2405275505526174E-3</v>
      </c>
      <c r="S218" s="2"/>
      <c r="T218" s="6">
        <v>91754.559999999998</v>
      </c>
      <c r="U218" s="2"/>
      <c r="V218" s="7">
        <f t="shared" si="55"/>
        <v>3.271262346387283E-3</v>
      </c>
      <c r="W218" s="2"/>
      <c r="X218" s="6">
        <f t="shared" si="56"/>
        <v>-40332.99</v>
      </c>
      <c r="Y218" s="2"/>
      <c r="Z218" s="7">
        <f t="shared" si="57"/>
        <v>-0.43957477426734975</v>
      </c>
    </row>
    <row r="219" spans="1:26" s="26" customFormat="1" outlineLevel="1" collapsed="1" x14ac:dyDescent="0.25">
      <c r="A219" s="25"/>
      <c r="B219" s="12" t="str">
        <f>CONCATENATE("     ","*Payroll                                          ")</f>
        <v xml:space="preserve">     *Payroll                                          </v>
      </c>
      <c r="C219" s="12"/>
      <c r="D219" s="1">
        <f>SUM(OSRRefD22_1x_0)</f>
        <v>258131.67</v>
      </c>
      <c r="E219" s="1"/>
      <c r="F219" s="5">
        <f t="shared" ref="F219:F226" si="58">IF(D$12=0,0,D219/D$12)</f>
        <v>0.31928677685702017</v>
      </c>
      <c r="G219" s="1"/>
      <c r="H219" s="1">
        <f>SUM(OSRRefH22_1x_0)</f>
        <v>204094.06</v>
      </c>
      <c r="I219" s="1"/>
      <c r="J219" s="5">
        <f t="shared" ref="J219:J226" si="59">IF(H$12=0,0,H219/H$12)</f>
        <v>0.40413191265379989</v>
      </c>
      <c r="K219" s="1"/>
      <c r="L219" s="1">
        <f t="shared" ref="L219:L226" si="60">+D219-H219</f>
        <v>54037.610000000015</v>
      </c>
      <c r="M219" s="1"/>
      <c r="N219" s="5">
        <f t="shared" ref="N219:N226" si="61">IF(H219=0,0,L219/H219)</f>
        <v>0.26476816620728705</v>
      </c>
      <c r="O219" s="12"/>
      <c r="P219" s="1">
        <f>SUM(OSRRefP22_1x_0)</f>
        <v>3132509.9200000004</v>
      </c>
      <c r="Q219" s="1"/>
      <c r="R219" s="5">
        <f t="shared" ref="R219:R226" si="62">IF(P$12=0,0,P219/P$12)</f>
        <v>0.31924354970374058</v>
      </c>
      <c r="S219" s="1"/>
      <c r="T219" s="1">
        <f>SUM(OSRRefT22_1x_0)</f>
        <v>7248489.25</v>
      </c>
      <c r="U219" s="1"/>
      <c r="V219" s="5">
        <f t="shared" ref="V219:V226" si="63">IF(T$12=0,0,T219/T$12)</f>
        <v>0.25842541179117418</v>
      </c>
      <c r="W219" s="1"/>
      <c r="X219" s="1">
        <f t="shared" ref="X219:X226" si="64">+P219-T219</f>
        <v>-4115979.3299999996</v>
      </c>
      <c r="Y219" s="1"/>
      <c r="Z219" s="5">
        <f t="shared" ref="Z219:Z226" si="65">IF(T219=0,0,X219/T219)</f>
        <v>-0.56783961292347918</v>
      </c>
    </row>
    <row r="220" spans="1:26" s="23" customFormat="1" hidden="1" outlineLevel="2" x14ac:dyDescent="0.25">
      <c r="A220" s="27"/>
      <c r="B220" s="10" t="str">
        <f>CONCATENATE("          ", "6001", " - ", "ADMINISTRATIVE SALARIES")</f>
        <v xml:space="preserve">          6001 - ADMINISTRATIVE SALARIES</v>
      </c>
      <c r="C220" s="10"/>
      <c r="D220" s="6">
        <v>25672.959999999999</v>
      </c>
      <c r="E220" s="2"/>
      <c r="F220" s="7">
        <f t="shared" si="58"/>
        <v>3.1755253629975756E-2</v>
      </c>
      <c r="G220" s="2"/>
      <c r="H220" s="6">
        <v>18921.89</v>
      </c>
      <c r="I220" s="2"/>
      <c r="J220" s="7">
        <f t="shared" si="59"/>
        <v>3.7467722464459813E-2</v>
      </c>
      <c r="K220" s="2"/>
      <c r="L220" s="6">
        <f t="shared" si="60"/>
        <v>6751.07</v>
      </c>
      <c r="M220" s="2"/>
      <c r="N220" s="7">
        <f t="shared" si="61"/>
        <v>0.35678624069794296</v>
      </c>
      <c r="O220" s="10"/>
      <c r="P220" s="6">
        <v>314825.68</v>
      </c>
      <c r="Q220" s="2"/>
      <c r="R220" s="7">
        <f t="shared" si="62"/>
        <v>3.2084836181809732E-2</v>
      </c>
      <c r="S220" s="2"/>
      <c r="T220" s="6">
        <v>364307.76</v>
      </c>
      <c r="U220" s="2"/>
      <c r="V220" s="7">
        <f t="shared" si="63"/>
        <v>1.2988414502611045E-2</v>
      </c>
      <c r="W220" s="2"/>
      <c r="X220" s="6">
        <f t="shared" si="64"/>
        <v>-49482.080000000016</v>
      </c>
      <c r="Y220" s="2"/>
      <c r="Z220" s="7">
        <f t="shared" si="65"/>
        <v>-0.13582494097847383</v>
      </c>
    </row>
    <row r="221" spans="1:26" s="23" customFormat="1" hidden="1" outlineLevel="2" x14ac:dyDescent="0.25">
      <c r="A221" s="27"/>
      <c r="B221" s="10" t="str">
        <f>CONCATENATE("          ", "6002", " - ", "STAFF SALARIES")</f>
        <v xml:space="preserve">          6002 - STAFF SALARIES</v>
      </c>
      <c r="C221" s="10"/>
      <c r="D221" s="6">
        <v>109247.95</v>
      </c>
      <c r="E221" s="2"/>
      <c r="F221" s="7">
        <f t="shared" si="58"/>
        <v>0.13513036131419634</v>
      </c>
      <c r="G221" s="2"/>
      <c r="H221" s="6">
        <v>94952.88</v>
      </c>
      <c r="I221" s="2"/>
      <c r="J221" s="7">
        <f t="shared" si="59"/>
        <v>0.18801864692380926</v>
      </c>
      <c r="K221" s="2"/>
      <c r="L221" s="6">
        <f t="shared" si="60"/>
        <v>14295.069999999992</v>
      </c>
      <c r="M221" s="2"/>
      <c r="N221" s="7">
        <f t="shared" si="61"/>
        <v>0.15054909340295936</v>
      </c>
      <c r="O221" s="10"/>
      <c r="P221" s="6">
        <v>1239251.1000000001</v>
      </c>
      <c r="Q221" s="2"/>
      <c r="R221" s="7">
        <f t="shared" si="62"/>
        <v>0.12629582355425237</v>
      </c>
      <c r="S221" s="2"/>
      <c r="T221" s="6">
        <v>1884607.89</v>
      </c>
      <c r="U221" s="2"/>
      <c r="V221" s="7">
        <f t="shared" si="63"/>
        <v>6.7190631487540092E-2</v>
      </c>
      <c r="W221" s="2"/>
      <c r="X221" s="6">
        <f t="shared" si="64"/>
        <v>-645356.7899999998</v>
      </c>
      <c r="Y221" s="2"/>
      <c r="Z221" s="7">
        <f t="shared" si="65"/>
        <v>-0.34243557687747972</v>
      </c>
    </row>
    <row r="222" spans="1:26" s="23" customFormat="1" hidden="1" outlineLevel="2" x14ac:dyDescent="0.25">
      <c r="A222" s="27"/>
      <c r="B222" s="10" t="str">
        <f>CONCATENATE("          ", "6004", " - ", "STAFF HOURLY")</f>
        <v xml:space="preserve">          6004 - STAFF HOURLY</v>
      </c>
      <c r="C222" s="10"/>
      <c r="D222" s="6">
        <v>61405.25</v>
      </c>
      <c r="E222" s="2"/>
      <c r="F222" s="7">
        <f t="shared" si="58"/>
        <v>7.5953037279770971E-2</v>
      </c>
      <c r="G222" s="2"/>
      <c r="H222" s="6">
        <v>56184.04</v>
      </c>
      <c r="I222" s="2"/>
      <c r="J222" s="7">
        <f t="shared" si="59"/>
        <v>0.11125146682768523</v>
      </c>
      <c r="K222" s="2"/>
      <c r="L222" s="6">
        <f t="shared" si="60"/>
        <v>5221.2099999999991</v>
      </c>
      <c r="M222" s="2"/>
      <c r="N222" s="7">
        <f t="shared" si="61"/>
        <v>9.2930483461139482E-2</v>
      </c>
      <c r="O222" s="10"/>
      <c r="P222" s="6">
        <v>744235.4</v>
      </c>
      <c r="Q222" s="2"/>
      <c r="R222" s="7">
        <f t="shared" si="62"/>
        <v>7.5847278054648026E-2</v>
      </c>
      <c r="S222" s="2"/>
      <c r="T222" s="6">
        <v>954364.56</v>
      </c>
      <c r="U222" s="2"/>
      <c r="V222" s="7">
        <f t="shared" si="63"/>
        <v>3.4025304571832365E-2</v>
      </c>
      <c r="W222" s="2"/>
      <c r="X222" s="6">
        <f t="shared" si="64"/>
        <v>-210129.16000000003</v>
      </c>
      <c r="Y222" s="2"/>
      <c r="Z222" s="7">
        <f t="shared" si="65"/>
        <v>-0.22017703591172752</v>
      </c>
    </row>
    <row r="223" spans="1:26" s="23" customFormat="1" hidden="1" outlineLevel="2" x14ac:dyDescent="0.25">
      <c r="A223" s="27"/>
      <c r="B223" s="10" t="str">
        <f>CONCATENATE("          ", "6005", " - ", "TEMPORARY WAGES-HOURLY")</f>
        <v xml:space="preserve">          6005 - TEMPORARY WAGES-HOURLY</v>
      </c>
      <c r="C223" s="10"/>
      <c r="D223" s="6">
        <v>20087.03</v>
      </c>
      <c r="E223" s="2"/>
      <c r="F223" s="7">
        <f t="shared" si="58"/>
        <v>2.4845936437517601E-2</v>
      </c>
      <c r="G223" s="2"/>
      <c r="H223" s="6">
        <v>14022.65</v>
      </c>
      <c r="I223" s="2"/>
      <c r="J223" s="7">
        <f t="shared" si="59"/>
        <v>2.7766610968368247E-2</v>
      </c>
      <c r="K223" s="2"/>
      <c r="L223" s="6">
        <f t="shared" si="60"/>
        <v>6064.3799999999992</v>
      </c>
      <c r="M223" s="2"/>
      <c r="N223" s="7">
        <f t="shared" si="61"/>
        <v>0.4324703247959551</v>
      </c>
      <c r="O223" s="10"/>
      <c r="P223" s="6">
        <v>342613.79</v>
      </c>
      <c r="Q223" s="2"/>
      <c r="R223" s="7">
        <f t="shared" si="62"/>
        <v>3.4916806423729352E-2</v>
      </c>
      <c r="S223" s="2"/>
      <c r="T223" s="6">
        <v>1198082.3</v>
      </c>
      <c r="U223" s="2"/>
      <c r="V223" s="7">
        <f t="shared" si="63"/>
        <v>4.2714405865638426E-2</v>
      </c>
      <c r="W223" s="2"/>
      <c r="X223" s="6">
        <f t="shared" si="64"/>
        <v>-855468.51</v>
      </c>
      <c r="Y223" s="2"/>
      <c r="Z223" s="7">
        <f t="shared" si="65"/>
        <v>-0.71403150685057282</v>
      </c>
    </row>
    <row r="224" spans="1:26" s="23" customFormat="1" hidden="1" outlineLevel="2" x14ac:dyDescent="0.25">
      <c r="A224" s="27"/>
      <c r="B224" s="10" t="str">
        <f>CONCATENATE("          ", "6006", " - ", "TEMPORARY PART TIME")</f>
        <v xml:space="preserve">          6006 - TEMPORARY PART TIME</v>
      </c>
      <c r="C224" s="10"/>
      <c r="D224" s="6">
        <v>3022.67</v>
      </c>
      <c r="E224" s="2"/>
      <c r="F224" s="7">
        <f t="shared" si="58"/>
        <v>3.738784015934229E-3</v>
      </c>
      <c r="G224" s="2"/>
      <c r="H224" s="6">
        <v>1929.14</v>
      </c>
      <c r="I224" s="2"/>
      <c r="J224" s="7">
        <f t="shared" si="59"/>
        <v>3.8199398746683348E-3</v>
      </c>
      <c r="K224" s="2"/>
      <c r="L224" s="6">
        <f t="shared" si="60"/>
        <v>1093.53</v>
      </c>
      <c r="M224" s="2"/>
      <c r="N224" s="7">
        <f t="shared" si="61"/>
        <v>0.56684844023761882</v>
      </c>
      <c r="O224" s="10"/>
      <c r="P224" s="6">
        <v>22143.95</v>
      </c>
      <c r="Q224" s="2"/>
      <c r="R224" s="7">
        <f t="shared" si="62"/>
        <v>2.2567568445121303E-3</v>
      </c>
      <c r="S224" s="2"/>
      <c r="T224" s="6">
        <v>111837.24</v>
      </c>
      <c r="U224" s="2"/>
      <c r="V224" s="7">
        <f t="shared" si="63"/>
        <v>3.987256351465014E-3</v>
      </c>
      <c r="W224" s="2"/>
      <c r="X224" s="6">
        <f t="shared" si="64"/>
        <v>-89693.290000000008</v>
      </c>
      <c r="Y224" s="2"/>
      <c r="Z224" s="7">
        <f t="shared" si="65"/>
        <v>-0.80199842199253135</v>
      </c>
    </row>
    <row r="225" spans="1:26" s="23" customFormat="1" hidden="1" outlineLevel="2" x14ac:dyDescent="0.25">
      <c r="A225" s="27"/>
      <c r="B225" s="10" t="str">
        <f>CONCATENATE("          ", "6007", " - ", "STUDENT HOURLY")</f>
        <v xml:space="preserve">          6007 - STUDENT HOURLY</v>
      </c>
      <c r="C225" s="10"/>
      <c r="D225" s="6">
        <v>36156.35</v>
      </c>
      <c r="E225" s="2"/>
      <c r="F225" s="7">
        <f t="shared" si="58"/>
        <v>4.4722309565557457E-2</v>
      </c>
      <c r="G225" s="2"/>
      <c r="H225" s="6">
        <v>18083.46</v>
      </c>
      <c r="I225" s="2"/>
      <c r="J225" s="7">
        <f t="shared" si="59"/>
        <v>3.5807525594809E-2</v>
      </c>
      <c r="K225" s="2"/>
      <c r="L225" s="6">
        <f t="shared" si="60"/>
        <v>18072.89</v>
      </c>
      <c r="M225" s="2"/>
      <c r="N225" s="7">
        <f t="shared" si="61"/>
        <v>0.9994154879652456</v>
      </c>
      <c r="O225" s="10"/>
      <c r="P225" s="6">
        <v>442355.83</v>
      </c>
      <c r="Q225" s="2"/>
      <c r="R225" s="7">
        <f t="shared" si="62"/>
        <v>4.5081819054971869E-2</v>
      </c>
      <c r="S225" s="2"/>
      <c r="T225" s="6">
        <v>2494142.96</v>
      </c>
      <c r="U225" s="2"/>
      <c r="V225" s="7">
        <f t="shared" si="63"/>
        <v>8.8921966946982511E-2</v>
      </c>
      <c r="W225" s="2"/>
      <c r="X225" s="6">
        <f t="shared" si="64"/>
        <v>-2051787.13</v>
      </c>
      <c r="Y225" s="2"/>
      <c r="Z225" s="7">
        <f t="shared" si="65"/>
        <v>-0.8226421511940919</v>
      </c>
    </row>
    <row r="226" spans="1:26" s="23" customFormat="1" hidden="1" outlineLevel="2" x14ac:dyDescent="0.25">
      <c r="A226" s="27"/>
      <c r="B226" s="10" t="str">
        <f>CONCATENATE("          ", "6008", " - ", "STUDENT HOURLY-FICA EXEMPT")</f>
        <v xml:space="preserve">          6008 - STUDENT HOURLY-FICA EXEMPT</v>
      </c>
      <c r="C226" s="10"/>
      <c r="D226" s="6">
        <v>2539.46</v>
      </c>
      <c r="E226" s="2"/>
      <c r="F226" s="7">
        <f t="shared" si="58"/>
        <v>3.1410946140678067E-3</v>
      </c>
      <c r="G226" s="2"/>
      <c r="H226" s="6"/>
      <c r="I226" s="2"/>
      <c r="J226" s="7">
        <f t="shared" si="59"/>
        <v>0</v>
      </c>
      <c r="K226" s="2"/>
      <c r="L226" s="6">
        <f t="shared" si="60"/>
        <v>2539.46</v>
      </c>
      <c r="M226" s="2"/>
      <c r="N226" s="7">
        <f t="shared" si="61"/>
        <v>0</v>
      </c>
      <c r="O226" s="10"/>
      <c r="P226" s="6">
        <v>27084.17</v>
      </c>
      <c r="Q226" s="2"/>
      <c r="R226" s="7">
        <f t="shared" si="62"/>
        <v>2.7602295898170879E-3</v>
      </c>
      <c r="S226" s="2"/>
      <c r="T226" s="6">
        <v>241146.54</v>
      </c>
      <c r="U226" s="2"/>
      <c r="V226" s="7">
        <f t="shared" si="63"/>
        <v>8.5974320651047188E-3</v>
      </c>
      <c r="W226" s="2"/>
      <c r="X226" s="6">
        <f t="shared" si="64"/>
        <v>-214062.37</v>
      </c>
      <c r="Y226" s="2"/>
      <c r="Z226" s="7">
        <f t="shared" si="65"/>
        <v>-0.88768584446619048</v>
      </c>
    </row>
    <row r="227" spans="1:26" s="26" customFormat="1" outlineLevel="1" collapsed="1" x14ac:dyDescent="0.25">
      <c r="A227" s="25"/>
      <c r="B227" s="12" t="str">
        <f>CONCATENATE("     ","Advertising/Promo                                 ")</f>
        <v xml:space="preserve">     Advertising/Promo                                 </v>
      </c>
      <c r="C227" s="12"/>
      <c r="D227" s="1">
        <f>SUM(OSRRefD22_2x_0)</f>
        <v>81.010000000000005</v>
      </c>
      <c r="E227" s="1"/>
      <c r="F227" s="5">
        <f t="shared" ref="F227:F231" si="66">IF(D$12=0,0,D227/D$12)</f>
        <v>1.0020243464580385E-4</v>
      </c>
      <c r="G227" s="1"/>
      <c r="H227" s="1">
        <f>SUM(OSRRefH22_2x_0)</f>
        <v>3050.57</v>
      </c>
      <c r="I227" s="1"/>
      <c r="J227" s="5">
        <f t="shared" ref="J227:J231" si="67">IF(H$12=0,0,H227/H$12)</f>
        <v>6.0405123440844012E-3</v>
      </c>
      <c r="K227" s="1"/>
      <c r="L227" s="1">
        <f t="shared" ref="L227:L231" si="68">+D227-H227</f>
        <v>-2969.56</v>
      </c>
      <c r="M227" s="1"/>
      <c r="N227" s="5">
        <f t="shared" ref="N227:N231" si="69">IF(H227=0,0,L227/H227)</f>
        <v>-0.97344430712948715</v>
      </c>
      <c r="O227" s="12"/>
      <c r="P227" s="1">
        <f>SUM(OSRRefP22_2x_0)</f>
        <v>20251.53</v>
      </c>
      <c r="Q227" s="1"/>
      <c r="R227" s="5">
        <f t="shared" ref="R227:R231" si="70">IF(P$12=0,0,P227/P$12)</f>
        <v>2.0638946050430362E-3</v>
      </c>
      <c r="S227" s="1"/>
      <c r="T227" s="1">
        <f>SUM(OSRRefT22_2x_0)</f>
        <v>89872.960000000006</v>
      </c>
      <c r="U227" s="1"/>
      <c r="V227" s="5">
        <f t="shared" ref="V227:V231" si="71">IF(T$12=0,0,T227/T$12)</f>
        <v>3.204178953137266E-3</v>
      </c>
      <c r="W227" s="1"/>
      <c r="X227" s="1">
        <f t="shared" ref="X227:X231" si="72">+P227-T227</f>
        <v>-69621.430000000008</v>
      </c>
      <c r="Y227" s="1"/>
      <c r="Z227" s="5">
        <f t="shared" ref="Z227:Z231" si="73">IF(T227=0,0,X227/T227)</f>
        <v>-0.77466492702588186</v>
      </c>
    </row>
    <row r="228" spans="1:26" s="23" customFormat="1" hidden="1" outlineLevel="2" x14ac:dyDescent="0.25">
      <c r="A228" s="27"/>
      <c r="B228" s="10" t="str">
        <f>CONCATENATE("          ", "6362", " - ", "ADVERTISING EXPENSE")</f>
        <v xml:space="preserve">          6362 - ADVERTISING EXPENSE</v>
      </c>
      <c r="C228" s="10"/>
      <c r="D228" s="6">
        <v>81.010000000000005</v>
      </c>
      <c r="E228" s="2"/>
      <c r="F228" s="7">
        <f t="shared" si="66"/>
        <v>1.0020243464580385E-4</v>
      </c>
      <c r="G228" s="2"/>
      <c r="H228" s="6">
        <v>3050.57</v>
      </c>
      <c r="I228" s="2"/>
      <c r="J228" s="7">
        <f t="shared" si="67"/>
        <v>6.0405123440844012E-3</v>
      </c>
      <c r="K228" s="2"/>
      <c r="L228" s="6">
        <f t="shared" si="68"/>
        <v>-2969.56</v>
      </c>
      <c r="M228" s="2"/>
      <c r="N228" s="7">
        <f t="shared" si="69"/>
        <v>-0.97344430712948715</v>
      </c>
      <c r="O228" s="10"/>
      <c r="P228" s="6">
        <v>20251.53</v>
      </c>
      <c r="Q228" s="2"/>
      <c r="R228" s="7">
        <f t="shared" si="70"/>
        <v>2.0638946050430362E-3</v>
      </c>
      <c r="S228" s="2"/>
      <c r="T228" s="6">
        <v>89872.960000000006</v>
      </c>
      <c r="U228" s="2"/>
      <c r="V228" s="7">
        <f t="shared" si="71"/>
        <v>3.204178953137266E-3</v>
      </c>
      <c r="W228" s="2"/>
      <c r="X228" s="6">
        <f t="shared" si="72"/>
        <v>-69621.430000000008</v>
      </c>
      <c r="Y228" s="2"/>
      <c r="Z228" s="7">
        <f t="shared" si="73"/>
        <v>-0.77466492702588186</v>
      </c>
    </row>
    <row r="229" spans="1:26" s="26" customFormat="1" outlineLevel="1" collapsed="1" x14ac:dyDescent="0.25">
      <c r="A229" s="25"/>
      <c r="B229" s="12" t="str">
        <f>CONCATENATE("     ","Bad Debts/Over/Short                              ")</f>
        <v xml:space="preserve">     Bad Debts/Over/Short                              </v>
      </c>
      <c r="C229" s="12"/>
      <c r="D229" s="1">
        <f>SUM(OSRRefD22_3x_0)</f>
        <v>28.78</v>
      </c>
      <c r="E229" s="1"/>
      <c r="F229" s="5">
        <f t="shared" si="66"/>
        <v>3.5598396112902536E-5</v>
      </c>
      <c r="G229" s="1"/>
      <c r="H229" s="1">
        <f>SUM(OSRRefH22_3x_0)</f>
        <v>-4.55</v>
      </c>
      <c r="I229" s="1"/>
      <c r="J229" s="5">
        <f t="shared" si="67"/>
        <v>-9.0095723637169515E-6</v>
      </c>
      <c r="K229" s="1"/>
      <c r="L229" s="1">
        <f t="shared" si="68"/>
        <v>33.33</v>
      </c>
      <c r="M229" s="1"/>
      <c r="N229" s="5">
        <f t="shared" si="69"/>
        <v>-7.325274725274725</v>
      </c>
      <c r="O229" s="12"/>
      <c r="P229" s="1">
        <f>SUM(OSRRefP22_3x_0)</f>
        <v>5277.31</v>
      </c>
      <c r="Q229" s="1"/>
      <c r="R229" s="5">
        <f t="shared" si="70"/>
        <v>5.3782660560163442E-4</v>
      </c>
      <c r="S229" s="1"/>
      <c r="T229" s="1">
        <f>SUM(OSRRefT22_3x_0)</f>
        <v>-656.94</v>
      </c>
      <c r="U229" s="1"/>
      <c r="V229" s="5">
        <f t="shared" si="71"/>
        <v>-2.3421430889491075E-5</v>
      </c>
      <c r="W229" s="1"/>
      <c r="X229" s="1">
        <f t="shared" si="72"/>
        <v>5934.25</v>
      </c>
      <c r="Y229" s="1"/>
      <c r="Z229" s="5">
        <f t="shared" si="73"/>
        <v>-9.0331689347581197</v>
      </c>
    </row>
    <row r="230" spans="1:26" s="23" customFormat="1" hidden="1" outlineLevel="2" x14ac:dyDescent="0.25">
      <c r="A230" s="27"/>
      <c r="B230" s="10" t="str">
        <f>CONCATENATE("          ", "6272", " - ", "CASH (OVER/SHORT)")</f>
        <v xml:space="preserve">          6272 - CASH (OVER/SHORT)</v>
      </c>
      <c r="C230" s="10"/>
      <c r="D230" s="6">
        <v>28.78</v>
      </c>
      <c r="E230" s="2"/>
      <c r="F230" s="7">
        <f t="shared" si="66"/>
        <v>3.5598396112902536E-5</v>
      </c>
      <c r="G230" s="2"/>
      <c r="H230" s="6">
        <v>-4.55</v>
      </c>
      <c r="I230" s="2"/>
      <c r="J230" s="7">
        <f t="shared" si="67"/>
        <v>-9.0095723637169515E-6</v>
      </c>
      <c r="K230" s="2"/>
      <c r="L230" s="6">
        <f t="shared" si="68"/>
        <v>33.33</v>
      </c>
      <c r="M230" s="2"/>
      <c r="N230" s="7">
        <f t="shared" si="69"/>
        <v>-7.325274725274725</v>
      </c>
      <c r="O230" s="10"/>
      <c r="P230" s="6">
        <v>-72.11</v>
      </c>
      <c r="Q230" s="2"/>
      <c r="R230" s="7">
        <f t="shared" si="70"/>
        <v>-7.3489479545324891E-6</v>
      </c>
      <c r="S230" s="2"/>
      <c r="T230" s="6">
        <v>-701.74</v>
      </c>
      <c r="U230" s="2"/>
      <c r="V230" s="7">
        <f t="shared" si="71"/>
        <v>-2.5018654538301007E-5</v>
      </c>
      <c r="W230" s="2"/>
      <c r="X230" s="6">
        <f t="shared" si="72"/>
        <v>629.63</v>
      </c>
      <c r="Y230" s="2"/>
      <c r="Z230" s="7">
        <f t="shared" si="73"/>
        <v>-0.89724114344344053</v>
      </c>
    </row>
    <row r="231" spans="1:26" s="23" customFormat="1" hidden="1" outlineLevel="2" x14ac:dyDescent="0.25">
      <c r="A231" s="27"/>
      <c r="B231" s="10" t="str">
        <f>CONCATENATE("          ", "6342", " - ", "BAD DEBT")</f>
        <v xml:space="preserve">          6342 - BAD DEBT</v>
      </c>
      <c r="C231" s="10"/>
      <c r="D231" s="6"/>
      <c r="E231" s="2"/>
      <c r="F231" s="7">
        <f t="shared" si="66"/>
        <v>0</v>
      </c>
      <c r="G231" s="2"/>
      <c r="H231" s="6"/>
      <c r="I231" s="2"/>
      <c r="J231" s="7">
        <f t="shared" si="67"/>
        <v>0</v>
      </c>
      <c r="K231" s="2"/>
      <c r="L231" s="6">
        <f t="shared" si="68"/>
        <v>0</v>
      </c>
      <c r="M231" s="2"/>
      <c r="N231" s="7">
        <f t="shared" si="69"/>
        <v>0</v>
      </c>
      <c r="O231" s="10"/>
      <c r="P231" s="6">
        <v>5349.42</v>
      </c>
      <c r="Q231" s="2"/>
      <c r="R231" s="7">
        <f t="shared" si="70"/>
        <v>5.4517555355616679E-4</v>
      </c>
      <c r="S231" s="2"/>
      <c r="T231" s="6">
        <v>44.8</v>
      </c>
      <c r="U231" s="2"/>
      <c r="V231" s="7">
        <f t="shared" si="71"/>
        <v>1.5972236488099369E-6</v>
      </c>
      <c r="W231" s="2"/>
      <c r="X231" s="6">
        <f t="shared" si="72"/>
        <v>5304.62</v>
      </c>
      <c r="Y231" s="2"/>
      <c r="Z231" s="7">
        <f t="shared" si="73"/>
        <v>118.40669642857144</v>
      </c>
    </row>
    <row r="232" spans="1:26" s="26" customFormat="1" outlineLevel="1" collapsed="1" x14ac:dyDescent="0.25">
      <c r="A232" s="25"/>
      <c r="B232" s="12" t="str">
        <f>CONCATENATE("     ","Bank/card Fees                                    ")</f>
        <v xml:space="preserve">     Bank/card Fees                                    </v>
      </c>
      <c r="C232" s="12"/>
      <c r="D232" s="1">
        <f>SUM(OSRRefD22_4x_0)</f>
        <v>10140.25</v>
      </c>
      <c r="E232" s="1"/>
      <c r="F232" s="5">
        <f t="shared" ref="F232:F238" si="74">IF(D$12=0,0,D232/D$12)</f>
        <v>1.2542621132170256E-2</v>
      </c>
      <c r="G232" s="1"/>
      <c r="H232" s="1">
        <f>SUM(OSRRefH22_4x_0)</f>
        <v>5798.6</v>
      </c>
      <c r="I232" s="1"/>
      <c r="J232" s="5">
        <f t="shared" ref="J232:J238" si="75">IF(H$12=0,0,H232/H$12)</f>
        <v>1.1481957430384424E-2</v>
      </c>
      <c r="K232" s="1"/>
      <c r="L232" s="1">
        <f t="shared" ref="L232:L238" si="76">+D232-H232</f>
        <v>4341.6499999999996</v>
      </c>
      <c r="M232" s="1"/>
      <c r="N232" s="5">
        <f t="shared" ref="N232:N238" si="77">IF(H232=0,0,L232/H232)</f>
        <v>0.74874107543200075</v>
      </c>
      <c r="O232" s="12"/>
      <c r="P232" s="1">
        <f>SUM(OSRRefP22_4x_0)</f>
        <v>94574.16</v>
      </c>
      <c r="Q232" s="1"/>
      <c r="R232" s="5">
        <f t="shared" ref="R232:R238" si="78">IF(P$12=0,0,P232/P$12)</f>
        <v>9.6383383675444235E-3</v>
      </c>
      <c r="S232" s="1"/>
      <c r="T232" s="1">
        <f>SUM(OSRRefT22_4x_0)</f>
        <v>404825.91</v>
      </c>
      <c r="U232" s="1"/>
      <c r="V232" s="5">
        <f t="shared" ref="V232:V238" si="79">IF(T$12=0,0,T232/T$12)</f>
        <v>1.4432980292477748E-2</v>
      </c>
      <c r="W232" s="1"/>
      <c r="X232" s="1">
        <f t="shared" ref="X232:X238" si="80">+P232-T232</f>
        <v>-310251.75</v>
      </c>
      <c r="Y232" s="1"/>
      <c r="Z232" s="5">
        <f t="shared" ref="Z232:Z238" si="81">IF(T232=0,0,X232/T232)</f>
        <v>-0.76638313491347432</v>
      </c>
    </row>
    <row r="233" spans="1:26" s="23" customFormat="1" hidden="1" outlineLevel="2" x14ac:dyDescent="0.25">
      <c r="A233" s="27"/>
      <c r="B233" s="10" t="str">
        <f>CONCATENATE("          ", "6381", " - ", "BANK/CREDIT CARD FEES")</f>
        <v xml:space="preserve">          6381 - BANK/CREDIT CARD FEES</v>
      </c>
      <c r="C233" s="10"/>
      <c r="D233" s="6">
        <v>10140.25</v>
      </c>
      <c r="E233" s="2"/>
      <c r="F233" s="7">
        <f t="shared" si="74"/>
        <v>1.2542621132170256E-2</v>
      </c>
      <c r="G233" s="2"/>
      <c r="H233" s="6">
        <v>5798.6</v>
      </c>
      <c r="I233" s="2"/>
      <c r="J233" s="7">
        <f t="shared" si="75"/>
        <v>1.1481957430384424E-2</v>
      </c>
      <c r="K233" s="2"/>
      <c r="L233" s="6">
        <f t="shared" si="76"/>
        <v>4341.6499999999996</v>
      </c>
      <c r="M233" s="2"/>
      <c r="N233" s="7">
        <f t="shared" si="77"/>
        <v>0.74874107543200075</v>
      </c>
      <c r="O233" s="10"/>
      <c r="P233" s="6">
        <v>94574.16</v>
      </c>
      <c r="Q233" s="2"/>
      <c r="R233" s="7">
        <f t="shared" si="78"/>
        <v>9.6383383675444235E-3</v>
      </c>
      <c r="S233" s="2"/>
      <c r="T233" s="6">
        <v>404825.91</v>
      </c>
      <c r="U233" s="2"/>
      <c r="V233" s="7">
        <f t="shared" si="79"/>
        <v>1.4432980292477748E-2</v>
      </c>
      <c r="W233" s="2"/>
      <c r="X233" s="6">
        <f t="shared" si="80"/>
        <v>-310251.75</v>
      </c>
      <c r="Y233" s="2"/>
      <c r="Z233" s="7">
        <f t="shared" si="81"/>
        <v>-0.76638313491347432</v>
      </c>
    </row>
    <row r="234" spans="1:26" s="26" customFormat="1" outlineLevel="1" collapsed="1" x14ac:dyDescent="0.25">
      <c r="A234" s="25"/>
      <c r="B234" s="12" t="str">
        <f>CONCATENATE("     ","Depreciation                                      ")</f>
        <v xml:space="preserve">     Depreciation                                      </v>
      </c>
      <c r="C234" s="12"/>
      <c r="D234" s="1">
        <f>SUM(OSRRefD22_5x_0)</f>
        <v>77647.61</v>
      </c>
      <c r="E234" s="1"/>
      <c r="F234" s="5">
        <f t="shared" si="74"/>
        <v>9.6043446073668243E-2</v>
      </c>
      <c r="G234" s="1"/>
      <c r="H234" s="1">
        <f>SUM(OSRRefH22_5x_0)</f>
        <v>77550.86</v>
      </c>
      <c r="I234" s="1"/>
      <c r="J234" s="5">
        <f t="shared" si="75"/>
        <v>0.15356045825021591</v>
      </c>
      <c r="K234" s="1"/>
      <c r="L234" s="1">
        <f t="shared" si="76"/>
        <v>96.75</v>
      </c>
      <c r="M234" s="1"/>
      <c r="N234" s="5">
        <f t="shared" si="77"/>
        <v>1.2475683699703652E-3</v>
      </c>
      <c r="O234" s="12"/>
      <c r="P234" s="1">
        <f>SUM(OSRRefP22_5x_0)</f>
        <v>856895.86</v>
      </c>
      <c r="Q234" s="1"/>
      <c r="R234" s="5">
        <f t="shared" si="78"/>
        <v>8.7328845896468707E-2</v>
      </c>
      <c r="S234" s="1"/>
      <c r="T234" s="1">
        <f>SUM(OSRRefT22_5x_0)</f>
        <v>867085.58000000007</v>
      </c>
      <c r="U234" s="1"/>
      <c r="V234" s="5">
        <f t="shared" si="79"/>
        <v>3.0913607007100014E-2</v>
      </c>
      <c r="W234" s="1"/>
      <c r="X234" s="1">
        <f t="shared" si="80"/>
        <v>-10189.720000000088</v>
      </c>
      <c r="Y234" s="1"/>
      <c r="Z234" s="5">
        <f t="shared" si="81"/>
        <v>-1.1751688916335211E-2</v>
      </c>
    </row>
    <row r="235" spans="1:26" s="23" customFormat="1" hidden="1" outlineLevel="2" x14ac:dyDescent="0.25">
      <c r="A235" s="27"/>
      <c r="B235" s="10" t="str">
        <f>CONCATENATE("          ", "6321", " - ", "BUILDING DEPRECIATION")</f>
        <v xml:space="preserve">          6321 - BUILDING DEPRECIATION</v>
      </c>
      <c r="C235" s="10"/>
      <c r="D235" s="6">
        <v>45060.52</v>
      </c>
      <c r="E235" s="2"/>
      <c r="F235" s="7">
        <f t="shared" si="74"/>
        <v>5.5736005559880709E-2</v>
      </c>
      <c r="G235" s="2"/>
      <c r="H235" s="6">
        <v>45519.99</v>
      </c>
      <c r="I235" s="2"/>
      <c r="J235" s="7">
        <f t="shared" si="75"/>
        <v>9.0135306351796049E-2</v>
      </c>
      <c r="K235" s="2"/>
      <c r="L235" s="6">
        <f t="shared" si="76"/>
        <v>-459.47000000000116</v>
      </c>
      <c r="M235" s="2"/>
      <c r="N235" s="7">
        <f t="shared" si="77"/>
        <v>-1.0093807138358361E-2</v>
      </c>
      <c r="O235" s="10"/>
      <c r="P235" s="6">
        <v>496449.91</v>
      </c>
      <c r="Q235" s="2"/>
      <c r="R235" s="7">
        <f t="shared" si="78"/>
        <v>5.0594710173656056E-2</v>
      </c>
      <c r="S235" s="2"/>
      <c r="T235" s="6">
        <v>500719.89</v>
      </c>
      <c r="U235" s="2"/>
      <c r="V235" s="7">
        <f t="shared" si="79"/>
        <v>1.7851822538783712E-2</v>
      </c>
      <c r="W235" s="2"/>
      <c r="X235" s="6">
        <f t="shared" si="80"/>
        <v>-4269.9800000000396</v>
      </c>
      <c r="Y235" s="2"/>
      <c r="Z235" s="7">
        <f t="shared" si="81"/>
        <v>-8.5276820139899758E-3</v>
      </c>
    </row>
    <row r="236" spans="1:26" s="23" customFormat="1" hidden="1" outlineLevel="2" x14ac:dyDescent="0.25">
      <c r="A236" s="27"/>
      <c r="B236" s="10" t="str">
        <f>CONCATENATE("          ", "6322", " - ", "EQUIPMENT DEPRECIATION EXPENSE")</f>
        <v xml:space="preserve">          6322 - EQUIPMENT DEPRECIATION EXPENSE</v>
      </c>
      <c r="C236" s="10"/>
      <c r="D236" s="6">
        <v>32587.09</v>
      </c>
      <c r="E236" s="2"/>
      <c r="F236" s="7">
        <f t="shared" si="74"/>
        <v>4.0307440513787533E-2</v>
      </c>
      <c r="G236" s="2"/>
      <c r="H236" s="6">
        <v>32030.87</v>
      </c>
      <c r="I236" s="2"/>
      <c r="J236" s="7">
        <f t="shared" si="75"/>
        <v>6.3425151898419865E-2</v>
      </c>
      <c r="K236" s="2"/>
      <c r="L236" s="6">
        <f t="shared" si="76"/>
        <v>556.22000000000116</v>
      </c>
      <c r="M236" s="2"/>
      <c r="N236" s="7">
        <f t="shared" si="77"/>
        <v>1.7365123082826072E-2</v>
      </c>
      <c r="O236" s="10"/>
      <c r="P236" s="6">
        <v>360445.95</v>
      </c>
      <c r="Q236" s="2"/>
      <c r="R236" s="7">
        <f t="shared" si="78"/>
        <v>3.6734135722812651E-2</v>
      </c>
      <c r="S236" s="2"/>
      <c r="T236" s="6">
        <v>362123.21</v>
      </c>
      <c r="U236" s="2"/>
      <c r="V236" s="7">
        <f t="shared" si="79"/>
        <v>1.2910530240959086E-2</v>
      </c>
      <c r="W236" s="2"/>
      <c r="X236" s="6">
        <f t="shared" si="80"/>
        <v>-1677.2600000000093</v>
      </c>
      <c r="Y236" s="2"/>
      <c r="Z236" s="7">
        <f t="shared" si="81"/>
        <v>-4.6317384627182811E-3</v>
      </c>
    </row>
    <row r="237" spans="1:26" s="23" customFormat="1" hidden="1" outlineLevel="2" x14ac:dyDescent="0.25">
      <c r="A237" s="27"/>
      <c r="B237" s="10" t="str">
        <f>CONCATENATE("          ", "6324", " - ", "FURNITURE + FIXT DEPRECIATION")</f>
        <v xml:space="preserve">          6324 - FURNITURE + FIXT DEPRECIATION</v>
      </c>
      <c r="C237" s="10"/>
      <c r="D237" s="6"/>
      <c r="E237" s="2"/>
      <c r="F237" s="7">
        <f t="shared" si="74"/>
        <v>0</v>
      </c>
      <c r="G237" s="2"/>
      <c r="H237" s="6"/>
      <c r="I237" s="2"/>
      <c r="J237" s="7">
        <f t="shared" si="75"/>
        <v>0</v>
      </c>
      <c r="K237" s="2"/>
      <c r="L237" s="6">
        <f t="shared" si="76"/>
        <v>0</v>
      </c>
      <c r="M237" s="2"/>
      <c r="N237" s="7">
        <f t="shared" si="77"/>
        <v>0</v>
      </c>
      <c r="O237" s="10"/>
      <c r="P237" s="6"/>
      <c r="Q237" s="2"/>
      <c r="R237" s="7">
        <f t="shared" si="78"/>
        <v>0</v>
      </c>
      <c r="S237" s="2"/>
      <c r="T237" s="6">
        <v>0</v>
      </c>
      <c r="U237" s="2"/>
      <c r="V237" s="7">
        <f t="shared" si="79"/>
        <v>0</v>
      </c>
      <c r="W237" s="2"/>
      <c r="X237" s="6">
        <f t="shared" si="80"/>
        <v>0</v>
      </c>
      <c r="Y237" s="2"/>
      <c r="Z237" s="7">
        <f t="shared" si="81"/>
        <v>0</v>
      </c>
    </row>
    <row r="238" spans="1:26" s="23" customFormat="1" hidden="1" outlineLevel="2" x14ac:dyDescent="0.25">
      <c r="A238" s="27"/>
      <c r="B238" s="10" t="str">
        <f>CONCATENATE("          ", "6326", " - ", "VEHICLES DEPRECIATION EXPENSE")</f>
        <v xml:space="preserve">          6326 - VEHICLES DEPRECIATION EXPENSE</v>
      </c>
      <c r="C238" s="10"/>
      <c r="D238" s="6"/>
      <c r="E238" s="2"/>
      <c r="F238" s="7">
        <f t="shared" si="74"/>
        <v>0</v>
      </c>
      <c r="G238" s="2"/>
      <c r="H238" s="6"/>
      <c r="I238" s="2"/>
      <c r="J238" s="7">
        <f t="shared" si="75"/>
        <v>0</v>
      </c>
      <c r="K238" s="2"/>
      <c r="L238" s="6">
        <f t="shared" si="76"/>
        <v>0</v>
      </c>
      <c r="M238" s="2"/>
      <c r="N238" s="7">
        <f t="shared" si="77"/>
        <v>0</v>
      </c>
      <c r="O238" s="10"/>
      <c r="P238" s="6"/>
      <c r="Q238" s="2"/>
      <c r="R238" s="7">
        <f t="shared" si="78"/>
        <v>0</v>
      </c>
      <c r="S238" s="2"/>
      <c r="T238" s="6">
        <v>4242.4799999999996</v>
      </c>
      <c r="U238" s="2"/>
      <c r="V238" s="7">
        <f t="shared" si="79"/>
        <v>1.5125422735721387E-4</v>
      </c>
      <c r="W238" s="2"/>
      <c r="X238" s="6">
        <f t="shared" si="80"/>
        <v>-4242.4799999999996</v>
      </c>
      <c r="Y238" s="2"/>
      <c r="Z238" s="7">
        <f t="shared" si="81"/>
        <v>-1</v>
      </c>
    </row>
    <row r="239" spans="1:26" s="26" customFormat="1" outlineLevel="1" collapsed="1" x14ac:dyDescent="0.25">
      <c r="A239" s="25"/>
      <c r="B239" s="12" t="str">
        <f>CONCATENATE("     ","Discounts and Markdowns                           ")</f>
        <v xml:space="preserve">     Discounts and Markdowns                           </v>
      </c>
      <c r="C239" s="12"/>
      <c r="D239" s="1">
        <f>SUM(OSRRefD22_6x_0)</f>
        <v>0</v>
      </c>
      <c r="E239" s="1"/>
      <c r="F239" s="5">
        <f t="shared" ref="F239:F241" si="82">IF(D$12=0,0,D239/D$12)</f>
        <v>0</v>
      </c>
      <c r="G239" s="1"/>
      <c r="H239" s="1">
        <f>SUM(OSRRefH22_6x_0)</f>
        <v>48114.67</v>
      </c>
      <c r="I239" s="1"/>
      <c r="J239" s="5">
        <f t="shared" ref="J239:J241" si="83">IF(H$12=0,0,H239/H$12)</f>
        <v>9.5273099147551901E-2</v>
      </c>
      <c r="K239" s="1"/>
      <c r="L239" s="1">
        <f t="shared" ref="L239:L241" si="84">+D239-H239</f>
        <v>-48114.67</v>
      </c>
      <c r="M239" s="1"/>
      <c r="N239" s="5">
        <f t="shared" ref="N239:N241" si="85">IF(H239=0,0,L239/H239)</f>
        <v>-1</v>
      </c>
      <c r="O239" s="12"/>
      <c r="P239" s="1">
        <f>SUM(OSRRefP22_6x_0)</f>
        <v>-15.43</v>
      </c>
      <c r="Q239" s="1"/>
      <c r="R239" s="5">
        <f t="shared" ref="R239:R241" si="86">IF(P$12=0,0,P239/P$12)</f>
        <v>-1.5725179162173944E-6</v>
      </c>
      <c r="S239" s="1"/>
      <c r="T239" s="1">
        <f>SUM(OSRRefT22_6x_0)</f>
        <v>421895.44</v>
      </c>
      <c r="U239" s="1"/>
      <c r="V239" s="5">
        <f t="shared" ref="V239:V241" si="87">IF(T$12=0,0,T239/T$12)</f>
        <v>1.5041548528863255E-2</v>
      </c>
      <c r="W239" s="1"/>
      <c r="X239" s="1">
        <f t="shared" ref="X239:X241" si="88">+P239-T239</f>
        <v>-421910.87</v>
      </c>
      <c r="Y239" s="1"/>
      <c r="Z239" s="5">
        <f t="shared" ref="Z239:Z241" si="89">IF(T239=0,0,X239/T239)</f>
        <v>-1.0000365730428373</v>
      </c>
    </row>
    <row r="240" spans="1:26" s="23" customFormat="1" hidden="1" outlineLevel="2" x14ac:dyDescent="0.25">
      <c r="A240" s="27"/>
      <c r="B240" s="10" t="str">
        <f>CONCATENATE("          ", "6382", " - ", "DISCOUNTS/MARK DOWNS")</f>
        <v xml:space="preserve">          6382 - DISCOUNTS/MARK DOWNS</v>
      </c>
      <c r="C240" s="10"/>
      <c r="D240" s="6">
        <v>0</v>
      </c>
      <c r="E240" s="2"/>
      <c r="F240" s="7">
        <f t="shared" si="82"/>
        <v>0</v>
      </c>
      <c r="G240" s="2"/>
      <c r="H240" s="6">
        <v>48114.67</v>
      </c>
      <c r="I240" s="2"/>
      <c r="J240" s="7">
        <f t="shared" si="83"/>
        <v>9.5273099147551901E-2</v>
      </c>
      <c r="K240" s="2"/>
      <c r="L240" s="6">
        <f t="shared" si="84"/>
        <v>-48114.67</v>
      </c>
      <c r="M240" s="2"/>
      <c r="N240" s="7">
        <f t="shared" si="85"/>
        <v>-1</v>
      </c>
      <c r="O240" s="10"/>
      <c r="P240" s="6">
        <v>0</v>
      </c>
      <c r="Q240" s="2"/>
      <c r="R240" s="7">
        <f t="shared" si="86"/>
        <v>0</v>
      </c>
      <c r="S240" s="2"/>
      <c r="T240" s="6">
        <v>425127.06</v>
      </c>
      <c r="U240" s="2"/>
      <c r="V240" s="7">
        <f t="shared" si="87"/>
        <v>1.5156763258505379E-2</v>
      </c>
      <c r="W240" s="2"/>
      <c r="X240" s="6">
        <f t="shared" si="88"/>
        <v>-425127.06</v>
      </c>
      <c r="Y240" s="2"/>
      <c r="Z240" s="7">
        <f t="shared" si="89"/>
        <v>-1</v>
      </c>
    </row>
    <row r="241" spans="1:26" s="23" customFormat="1" hidden="1" outlineLevel="2" x14ac:dyDescent="0.25">
      <c r="A241" s="27"/>
      <c r="B241" s="10" t="str">
        <f>CONCATENATE("          ", "9175", " - ", "EARNED DISCOUNTS")</f>
        <v xml:space="preserve">          9175 - EARNED DISCOUNTS</v>
      </c>
      <c r="C241" s="10"/>
      <c r="D241" s="6">
        <v>0</v>
      </c>
      <c r="E241" s="2"/>
      <c r="F241" s="7">
        <f t="shared" si="82"/>
        <v>0</v>
      </c>
      <c r="G241" s="2"/>
      <c r="H241" s="6"/>
      <c r="I241" s="2"/>
      <c r="J241" s="7">
        <f t="shared" si="83"/>
        <v>0</v>
      </c>
      <c r="K241" s="2"/>
      <c r="L241" s="6">
        <f t="shared" si="84"/>
        <v>0</v>
      </c>
      <c r="M241" s="2"/>
      <c r="N241" s="7">
        <f t="shared" si="85"/>
        <v>0</v>
      </c>
      <c r="O241" s="10"/>
      <c r="P241" s="6">
        <v>-15.43</v>
      </c>
      <c r="Q241" s="2"/>
      <c r="R241" s="7">
        <f t="shared" si="86"/>
        <v>-1.5725179162173944E-6</v>
      </c>
      <c r="S241" s="2"/>
      <c r="T241" s="6">
        <v>-3231.62</v>
      </c>
      <c r="U241" s="2"/>
      <c r="V241" s="7">
        <f t="shared" si="87"/>
        <v>-1.1521472964212429E-4</v>
      </c>
      <c r="W241" s="2"/>
      <c r="X241" s="6">
        <f t="shared" si="88"/>
        <v>3216.19</v>
      </c>
      <c r="Y241" s="2"/>
      <c r="Z241" s="7">
        <f t="shared" si="89"/>
        <v>-0.9952253049554094</v>
      </c>
    </row>
    <row r="242" spans="1:26" s="26" customFormat="1" outlineLevel="1" collapsed="1" x14ac:dyDescent="0.25">
      <c r="A242" s="25"/>
      <c r="B242" s="12" t="str">
        <f>CONCATENATE("     ","Donations                                         ")</f>
        <v xml:space="preserve">     Donations                                         </v>
      </c>
      <c r="C242" s="12"/>
      <c r="D242" s="1">
        <f>SUM(OSRRefD22_7x_0)</f>
        <v>3603.41</v>
      </c>
      <c r="E242" s="1"/>
      <c r="F242" s="5">
        <f t="shared" ref="F242:F250" si="90">IF(D$12=0,0,D242/D$12)</f>
        <v>4.4571096781512902E-3</v>
      </c>
      <c r="G242" s="1"/>
      <c r="H242" s="1">
        <f>SUM(OSRRefH22_7x_0)</f>
        <v>18569.86</v>
      </c>
      <c r="I242" s="1"/>
      <c r="J242" s="5">
        <f t="shared" ref="J242:J250" si="91">IF(H$12=0,0,H242/H$12)</f>
        <v>3.677065878111932E-2</v>
      </c>
      <c r="K242" s="1"/>
      <c r="L242" s="1">
        <f t="shared" ref="L242:L250" si="92">+D242-H242</f>
        <v>-14966.45</v>
      </c>
      <c r="M242" s="1"/>
      <c r="N242" s="5">
        <f t="shared" ref="N242:N250" si="93">IF(H242=0,0,L242/H242)</f>
        <v>-0.8059538413321371</v>
      </c>
      <c r="O242" s="12"/>
      <c r="P242" s="1">
        <f>SUM(OSRRefP22_7x_0)</f>
        <v>62269.95</v>
      </c>
      <c r="Q242" s="1"/>
      <c r="R242" s="5">
        <f t="shared" ref="R242:R250" si="94">IF(P$12=0,0,P242/P$12)</f>
        <v>6.3461187308464896E-3</v>
      </c>
      <c r="S242" s="1"/>
      <c r="T242" s="1">
        <f>SUM(OSRRefT22_7x_0)</f>
        <v>151321.84</v>
      </c>
      <c r="U242" s="1"/>
      <c r="V242" s="5">
        <f t="shared" ref="V242:V250" si="95">IF(T$12=0,0,T242/T$12)</f>
        <v>5.3949736926212823E-3</v>
      </c>
      <c r="W242" s="1"/>
      <c r="X242" s="1">
        <f t="shared" ref="X242:X250" si="96">+P242-T242</f>
        <v>-89051.89</v>
      </c>
      <c r="Y242" s="1"/>
      <c r="Z242" s="5">
        <f t="shared" ref="Z242:Z250" si="97">IF(T242=0,0,X242/T242)</f>
        <v>-0.58849330671633393</v>
      </c>
    </row>
    <row r="243" spans="1:26" s="23" customFormat="1" hidden="1" outlineLevel="2" x14ac:dyDescent="0.25">
      <c r="A243" s="27"/>
      <c r="B243" s="10" t="str">
        <f>CONCATENATE("          ", "6399", " - ", "DONATION-ON CAMPUS")</f>
        <v xml:space="preserve">          6399 - DONATION-ON CAMPUS</v>
      </c>
      <c r="C243" s="10"/>
      <c r="D243" s="6">
        <v>3603.41</v>
      </c>
      <c r="E243" s="2"/>
      <c r="F243" s="7">
        <f t="shared" si="90"/>
        <v>4.4571096781512902E-3</v>
      </c>
      <c r="G243" s="2"/>
      <c r="H243" s="6">
        <v>18569.86</v>
      </c>
      <c r="I243" s="2"/>
      <c r="J243" s="7">
        <f t="shared" si="91"/>
        <v>3.677065878111932E-2</v>
      </c>
      <c r="K243" s="2"/>
      <c r="L243" s="6">
        <f t="shared" si="92"/>
        <v>-14966.45</v>
      </c>
      <c r="M243" s="2"/>
      <c r="N243" s="7">
        <f t="shared" si="93"/>
        <v>-0.8059538413321371</v>
      </c>
      <c r="O243" s="10"/>
      <c r="P243" s="6">
        <v>62269.95</v>
      </c>
      <c r="Q243" s="2"/>
      <c r="R243" s="7">
        <f t="shared" si="94"/>
        <v>6.3461187308464896E-3</v>
      </c>
      <c r="S243" s="2"/>
      <c r="T243" s="6">
        <v>151321.84</v>
      </c>
      <c r="U243" s="2"/>
      <c r="V243" s="7">
        <f t="shared" si="95"/>
        <v>5.3949736926212823E-3</v>
      </c>
      <c r="W243" s="2"/>
      <c r="X243" s="6">
        <f t="shared" si="96"/>
        <v>-89051.89</v>
      </c>
      <c r="Y243" s="2"/>
      <c r="Z243" s="7">
        <f t="shared" si="97"/>
        <v>-0.58849330671633393</v>
      </c>
    </row>
    <row r="244" spans="1:26" s="26" customFormat="1" outlineLevel="1" collapsed="1" x14ac:dyDescent="0.25">
      <c r="A244" s="25"/>
      <c r="B244" s="12" t="str">
        <f>CONCATENATE("     ","Employees' Appreciation                           ")</f>
        <v xml:space="preserve">     Employees' Appreciation                           </v>
      </c>
      <c r="C244" s="12"/>
      <c r="D244" s="1">
        <f>SUM(OSRRefD22_8x_0)</f>
        <v>0</v>
      </c>
      <c r="E244" s="1"/>
      <c r="F244" s="5">
        <f t="shared" si="90"/>
        <v>0</v>
      </c>
      <c r="G244" s="1"/>
      <c r="H244" s="1">
        <f>SUM(OSRRefH22_8x_0)</f>
        <v>0</v>
      </c>
      <c r="I244" s="1"/>
      <c r="J244" s="5">
        <f t="shared" si="91"/>
        <v>0</v>
      </c>
      <c r="K244" s="1"/>
      <c r="L244" s="1">
        <f t="shared" si="92"/>
        <v>0</v>
      </c>
      <c r="M244" s="1"/>
      <c r="N244" s="5">
        <f t="shared" si="93"/>
        <v>0</v>
      </c>
      <c r="O244" s="12"/>
      <c r="P244" s="1">
        <f>SUM(OSRRefP22_8x_0)</f>
        <v>196.03</v>
      </c>
      <c r="Q244" s="1"/>
      <c r="R244" s="5">
        <f t="shared" si="94"/>
        <v>1.9978009534419692E-5</v>
      </c>
      <c r="S244" s="1"/>
      <c r="T244" s="1">
        <f>SUM(OSRRefT22_8x_0)</f>
        <v>5253.59</v>
      </c>
      <c r="U244" s="1"/>
      <c r="V244" s="5">
        <f t="shared" si="95"/>
        <v>1.8730263815070082E-4</v>
      </c>
      <c r="W244" s="1"/>
      <c r="X244" s="1">
        <f t="shared" si="96"/>
        <v>-5057.5600000000004</v>
      </c>
      <c r="Y244" s="1"/>
      <c r="Z244" s="5">
        <f t="shared" si="97"/>
        <v>-0.9626864677296858</v>
      </c>
    </row>
    <row r="245" spans="1:26" s="23" customFormat="1" hidden="1" outlineLevel="2" x14ac:dyDescent="0.25">
      <c r="A245" s="27"/>
      <c r="B245" s="10" t="str">
        <f>CONCATENATE("          ", "6277", " - ", "EMPLOYEE APPRECIATION")</f>
        <v xml:space="preserve">          6277 - EMPLOYEE APPRECIATION</v>
      </c>
      <c r="C245" s="10"/>
      <c r="D245" s="6"/>
      <c r="E245" s="2"/>
      <c r="F245" s="7">
        <f t="shared" si="90"/>
        <v>0</v>
      </c>
      <c r="G245" s="2"/>
      <c r="H245" s="6"/>
      <c r="I245" s="2"/>
      <c r="J245" s="7">
        <f t="shared" si="91"/>
        <v>0</v>
      </c>
      <c r="K245" s="2"/>
      <c r="L245" s="6">
        <f t="shared" si="92"/>
        <v>0</v>
      </c>
      <c r="M245" s="2"/>
      <c r="N245" s="7">
        <f t="shared" si="93"/>
        <v>0</v>
      </c>
      <c r="O245" s="10"/>
      <c r="P245" s="6">
        <v>196.03</v>
      </c>
      <c r="Q245" s="2"/>
      <c r="R245" s="7">
        <f t="shared" si="94"/>
        <v>1.9978009534419692E-5</v>
      </c>
      <c r="S245" s="2"/>
      <c r="T245" s="6">
        <v>5253.59</v>
      </c>
      <c r="U245" s="2"/>
      <c r="V245" s="7">
        <f t="shared" si="95"/>
        <v>1.8730263815070082E-4</v>
      </c>
      <c r="W245" s="2"/>
      <c r="X245" s="6">
        <f t="shared" si="96"/>
        <v>-5057.5600000000004</v>
      </c>
      <c r="Y245" s="2"/>
      <c r="Z245" s="7">
        <f t="shared" si="97"/>
        <v>-0.9626864677296858</v>
      </c>
    </row>
    <row r="246" spans="1:26" s="26" customFormat="1" outlineLevel="1" collapsed="1" x14ac:dyDescent="0.25">
      <c r="A246" s="25"/>
      <c r="B246" s="12" t="str">
        <f>CONCATENATE("     ","Equipment Rental                                  ")</f>
        <v xml:space="preserve">     Equipment Rental                                  </v>
      </c>
      <c r="C246" s="12"/>
      <c r="D246" s="1">
        <f>SUM(OSRRefD22_9x_0)</f>
        <v>3584.98</v>
      </c>
      <c r="E246" s="1"/>
      <c r="F246" s="5">
        <f t="shared" si="90"/>
        <v>4.4343133459636324E-3</v>
      </c>
      <c r="G246" s="1"/>
      <c r="H246" s="1">
        <f>SUM(OSRRefH22_9x_0)</f>
        <v>3263.87</v>
      </c>
      <c r="I246" s="1"/>
      <c r="J246" s="5">
        <f t="shared" si="91"/>
        <v>6.4628731759922746E-3</v>
      </c>
      <c r="K246" s="1"/>
      <c r="L246" s="1">
        <f t="shared" si="92"/>
        <v>321.11000000000013</v>
      </c>
      <c r="M246" s="1"/>
      <c r="N246" s="5">
        <f t="shared" si="93"/>
        <v>9.8383207664520994E-2</v>
      </c>
      <c r="O246" s="12"/>
      <c r="P246" s="1">
        <f>SUM(OSRRefP22_9x_0)</f>
        <v>29965.5</v>
      </c>
      <c r="Q246" s="1"/>
      <c r="R246" s="5">
        <f t="shared" si="94"/>
        <v>3.0538746350234824E-3</v>
      </c>
      <c r="S246" s="1"/>
      <c r="T246" s="1">
        <f>SUM(OSRRefT22_9x_0)</f>
        <v>50933.17</v>
      </c>
      <c r="U246" s="1"/>
      <c r="V246" s="5">
        <f t="shared" si="95"/>
        <v>1.8158853489476966E-3</v>
      </c>
      <c r="W246" s="1"/>
      <c r="X246" s="1">
        <f t="shared" si="96"/>
        <v>-20967.669999999998</v>
      </c>
      <c r="Y246" s="1"/>
      <c r="Z246" s="5">
        <f t="shared" si="97"/>
        <v>-0.41167023375925743</v>
      </c>
    </row>
    <row r="247" spans="1:26" s="23" customFormat="1" hidden="1" outlineLevel="2" x14ac:dyDescent="0.25">
      <c r="A247" s="27"/>
      <c r="B247" s="10" t="str">
        <f>CONCATENATE("          ", "6351", " - ", "EQUIPMENT RENTAL")</f>
        <v xml:space="preserve">          6351 - EQUIPMENT RENTAL</v>
      </c>
      <c r="C247" s="10"/>
      <c r="D247" s="6">
        <v>3584.98</v>
      </c>
      <c r="E247" s="2"/>
      <c r="F247" s="7">
        <f t="shared" si="90"/>
        <v>4.4343133459636324E-3</v>
      </c>
      <c r="G247" s="2"/>
      <c r="H247" s="6">
        <v>3263.87</v>
      </c>
      <c r="I247" s="2"/>
      <c r="J247" s="7">
        <f t="shared" si="91"/>
        <v>6.4628731759922746E-3</v>
      </c>
      <c r="K247" s="2"/>
      <c r="L247" s="6">
        <f t="shared" si="92"/>
        <v>321.11000000000013</v>
      </c>
      <c r="M247" s="2"/>
      <c r="N247" s="7">
        <f t="shared" si="93"/>
        <v>9.8383207664520994E-2</v>
      </c>
      <c r="O247" s="10"/>
      <c r="P247" s="6">
        <v>29965.5</v>
      </c>
      <c r="Q247" s="2"/>
      <c r="R247" s="7">
        <f t="shared" si="94"/>
        <v>3.0538746350234824E-3</v>
      </c>
      <c r="S247" s="2"/>
      <c r="T247" s="6">
        <v>50933.17</v>
      </c>
      <c r="U247" s="2"/>
      <c r="V247" s="7">
        <f t="shared" si="95"/>
        <v>1.8158853489476966E-3</v>
      </c>
      <c r="W247" s="2"/>
      <c r="X247" s="6">
        <f t="shared" si="96"/>
        <v>-20967.669999999998</v>
      </c>
      <c r="Y247" s="2"/>
      <c r="Z247" s="7">
        <f t="shared" si="97"/>
        <v>-0.41167023375925743</v>
      </c>
    </row>
    <row r="248" spans="1:26" s="26" customFormat="1" outlineLevel="1" collapsed="1" x14ac:dyDescent="0.25">
      <c r="A248" s="25"/>
      <c r="B248" s="12" t="str">
        <f>CONCATENATE("     ","Freight out/Postage                               ")</f>
        <v xml:space="preserve">     Freight out/Postage                               </v>
      </c>
      <c r="C248" s="12"/>
      <c r="D248" s="1">
        <f>SUM(OSRRefD22_10x_0)</f>
        <v>-19807.939999999999</v>
      </c>
      <c r="E248" s="1"/>
      <c r="F248" s="5">
        <f t="shared" si="90"/>
        <v>-2.4500726000716004E-2</v>
      </c>
      <c r="G248" s="1"/>
      <c r="H248" s="1">
        <f>SUM(OSRRefH22_10x_0)</f>
        <v>6098.75</v>
      </c>
      <c r="I248" s="1"/>
      <c r="J248" s="5">
        <f t="shared" si="91"/>
        <v>1.2076292187520607E-2</v>
      </c>
      <c r="K248" s="1"/>
      <c r="L248" s="1">
        <f t="shared" si="92"/>
        <v>-25906.69</v>
      </c>
      <c r="M248" s="1"/>
      <c r="N248" s="5">
        <f t="shared" si="93"/>
        <v>-4.2478688255790118</v>
      </c>
      <c r="O248" s="12"/>
      <c r="P248" s="1">
        <f>SUM(OSRRefP22_10x_0)</f>
        <v>-64908.44</v>
      </c>
      <c r="Q248" s="1"/>
      <c r="R248" s="5">
        <f t="shared" si="94"/>
        <v>-6.6150152179988188E-3</v>
      </c>
      <c r="S248" s="1"/>
      <c r="T248" s="1">
        <f>SUM(OSRRefT22_10x_0)</f>
        <v>16444.720000000008</v>
      </c>
      <c r="U248" s="1"/>
      <c r="V248" s="5">
        <f t="shared" si="95"/>
        <v>5.8629231433164641E-4</v>
      </c>
      <c r="W248" s="1"/>
      <c r="X248" s="1">
        <f t="shared" si="96"/>
        <v>-81353.16</v>
      </c>
      <c r="Y248" s="1"/>
      <c r="Z248" s="5">
        <f t="shared" si="97"/>
        <v>-4.947068724794339</v>
      </c>
    </row>
    <row r="249" spans="1:26" s="23" customFormat="1" hidden="1" outlineLevel="2" x14ac:dyDescent="0.25">
      <c r="A249" s="27"/>
      <c r="B249" s="10" t="str">
        <f>CONCATENATE("          ", "6305", " - ", "FREIGHT OUT")</f>
        <v xml:space="preserve">          6305 - FREIGHT OUT</v>
      </c>
      <c r="C249" s="10"/>
      <c r="D249" s="6">
        <v>23540.09</v>
      </c>
      <c r="E249" s="2"/>
      <c r="F249" s="7">
        <f t="shared" si="90"/>
        <v>2.9117076037295898E-2</v>
      </c>
      <c r="G249" s="2"/>
      <c r="H249" s="6">
        <v>7586</v>
      </c>
      <c r="I249" s="2"/>
      <c r="J249" s="7">
        <f t="shared" si="91"/>
        <v>1.5021234274979516E-2</v>
      </c>
      <c r="K249" s="2"/>
      <c r="L249" s="6">
        <f t="shared" si="92"/>
        <v>15954.09</v>
      </c>
      <c r="M249" s="2"/>
      <c r="N249" s="7">
        <f t="shared" si="93"/>
        <v>2.103096493540733</v>
      </c>
      <c r="O249" s="10"/>
      <c r="P249" s="6">
        <v>227351.32</v>
      </c>
      <c r="Q249" s="2"/>
      <c r="R249" s="7">
        <f t="shared" si="94"/>
        <v>2.31700598817676E-2</v>
      </c>
      <c r="S249" s="2"/>
      <c r="T249" s="6">
        <v>70362.960000000006</v>
      </c>
      <c r="U249" s="2"/>
      <c r="V249" s="7">
        <f t="shared" si="95"/>
        <v>2.5086023150059744E-3</v>
      </c>
      <c r="W249" s="2"/>
      <c r="X249" s="6">
        <f t="shared" si="96"/>
        <v>156988.35999999999</v>
      </c>
      <c r="Y249" s="2"/>
      <c r="Z249" s="7">
        <f t="shared" si="97"/>
        <v>2.231122169959876</v>
      </c>
    </row>
    <row r="250" spans="1:26" s="23" customFormat="1" hidden="1" outlineLevel="2" x14ac:dyDescent="0.25">
      <c r="A250" s="27"/>
      <c r="B250" s="10" t="str">
        <f>CONCATENATE("          ", "6307", " - ", "POSTAGE")</f>
        <v xml:space="preserve">          6307 - POSTAGE</v>
      </c>
      <c r="C250" s="10"/>
      <c r="D250" s="6">
        <v>-43348.03</v>
      </c>
      <c r="E250" s="2"/>
      <c r="F250" s="7">
        <f t="shared" si="90"/>
        <v>-5.3617802038011898E-2</v>
      </c>
      <c r="G250" s="2"/>
      <c r="H250" s="6">
        <v>-1487.25</v>
      </c>
      <c r="I250" s="2"/>
      <c r="J250" s="7">
        <f t="shared" si="91"/>
        <v>-2.9449420874589093E-3</v>
      </c>
      <c r="K250" s="2"/>
      <c r="L250" s="6">
        <f t="shared" si="92"/>
        <v>-41860.78</v>
      </c>
      <c r="M250" s="2"/>
      <c r="N250" s="7">
        <f t="shared" si="93"/>
        <v>28.146431332997143</v>
      </c>
      <c r="O250" s="10"/>
      <c r="P250" s="6">
        <v>-292259.76</v>
      </c>
      <c r="Q250" s="2"/>
      <c r="R250" s="7">
        <f t="shared" si="94"/>
        <v>-2.9785075099766418E-2</v>
      </c>
      <c r="S250" s="2"/>
      <c r="T250" s="6">
        <v>-53918.239999999998</v>
      </c>
      <c r="U250" s="2"/>
      <c r="V250" s="7">
        <f t="shared" si="95"/>
        <v>-1.922310000674328E-3</v>
      </c>
      <c r="W250" s="2"/>
      <c r="X250" s="6">
        <f t="shared" si="96"/>
        <v>-238341.52000000002</v>
      </c>
      <c r="Y250" s="2"/>
      <c r="Z250" s="7">
        <f t="shared" si="97"/>
        <v>4.4204247022899859</v>
      </c>
    </row>
    <row r="251" spans="1:26" s="26" customFormat="1" outlineLevel="1" collapsed="1" x14ac:dyDescent="0.25">
      <c r="A251" s="25"/>
      <c r="B251" s="12" t="str">
        <f>CONCATENATE("     ","General                                           ")</f>
        <v xml:space="preserve">     General                                           </v>
      </c>
      <c r="C251" s="12"/>
      <c r="D251" s="1">
        <f>SUM(OSRRefD22_11x_0)</f>
        <v>-58.19</v>
      </c>
      <c r="E251" s="1"/>
      <c r="F251" s="5">
        <f t="shared" ref="F251:F253" si="98">IF(D$12=0,0,D251/D$12)</f>
        <v>-7.1976048290819968E-5</v>
      </c>
      <c r="G251" s="1"/>
      <c r="H251" s="1">
        <f>SUM(OSRRefH22_11x_0)</f>
        <v>-1159.01</v>
      </c>
      <c r="I251" s="1"/>
      <c r="J251" s="5">
        <f t="shared" ref="J251:J253" si="99">IF(H$12=0,0,H251/H$12)</f>
        <v>-2.2949855967629856E-3</v>
      </c>
      <c r="K251" s="1"/>
      <c r="L251" s="1">
        <f t="shared" ref="L251:L253" si="100">+D251-H251</f>
        <v>1100.82</v>
      </c>
      <c r="M251" s="1"/>
      <c r="N251" s="5">
        <f t="shared" ref="N251:N253" si="101">IF(H251=0,0,L251/H251)</f>
        <v>-0.9497933581246063</v>
      </c>
      <c r="O251" s="12"/>
      <c r="P251" s="1">
        <f>SUM(OSRRefP22_11x_0)</f>
        <v>21314.38</v>
      </c>
      <c r="Q251" s="1"/>
      <c r="R251" s="5">
        <f t="shared" ref="R251:R253" si="102">IF(P$12=0,0,P251/P$12)</f>
        <v>2.1722128595635585E-3</v>
      </c>
      <c r="S251" s="1"/>
      <c r="T251" s="1">
        <f>SUM(OSRRefT22_11x_0)</f>
        <v>102064.31</v>
      </c>
      <c r="U251" s="1"/>
      <c r="V251" s="5">
        <f t="shared" ref="V251:V253" si="103">IF(T$12=0,0,T251/T$12)</f>
        <v>3.6388287864167084E-3</v>
      </c>
      <c r="W251" s="1"/>
      <c r="X251" s="1">
        <f t="shared" ref="X251:X253" si="104">+P251-T251</f>
        <v>-80749.929999999993</v>
      </c>
      <c r="Y251" s="1"/>
      <c r="Z251" s="5">
        <f t="shared" ref="Z251:Z253" si="105">IF(T251=0,0,X251/T251)</f>
        <v>-0.79116715725604758</v>
      </c>
    </row>
    <row r="252" spans="1:26" s="23" customFormat="1" hidden="1" outlineLevel="2" x14ac:dyDescent="0.25">
      <c r="A252" s="27"/>
      <c r="B252" s="10" t="str">
        <f>CONCATENATE("          ", "6269", " - ", "ENTERTAINMENT")</f>
        <v xml:space="preserve">          6269 - ENTERTAINMENT</v>
      </c>
      <c r="C252" s="10"/>
      <c r="D252" s="6"/>
      <c r="E252" s="2"/>
      <c r="F252" s="7">
        <f t="shared" si="98"/>
        <v>0</v>
      </c>
      <c r="G252" s="2"/>
      <c r="H252" s="6"/>
      <c r="I252" s="2"/>
      <c r="J252" s="7">
        <f t="shared" si="99"/>
        <v>0</v>
      </c>
      <c r="K252" s="2"/>
      <c r="L252" s="6">
        <f t="shared" si="100"/>
        <v>0</v>
      </c>
      <c r="M252" s="2"/>
      <c r="N252" s="7">
        <f t="shared" si="101"/>
        <v>0</v>
      </c>
      <c r="O252" s="10"/>
      <c r="P252" s="6"/>
      <c r="Q252" s="2"/>
      <c r="R252" s="7">
        <f t="shared" si="102"/>
        <v>0</v>
      </c>
      <c r="S252" s="2"/>
      <c r="T252" s="6">
        <v>10050</v>
      </c>
      <c r="U252" s="2"/>
      <c r="V252" s="7">
        <f t="shared" si="103"/>
        <v>3.5830575157455059E-4</v>
      </c>
      <c r="W252" s="2"/>
      <c r="X252" s="6">
        <f t="shared" si="104"/>
        <v>-10050</v>
      </c>
      <c r="Y252" s="2"/>
      <c r="Z252" s="7">
        <f t="shared" si="105"/>
        <v>-1</v>
      </c>
    </row>
    <row r="253" spans="1:26" s="23" customFormat="1" hidden="1" outlineLevel="2" x14ac:dyDescent="0.25">
      <c r="A253" s="27"/>
      <c r="B253" s="10" t="str">
        <f>CONCATENATE("          ", "6279", " - ", "GENERAL EXPENSE")</f>
        <v xml:space="preserve">          6279 - GENERAL EXPENSE</v>
      </c>
      <c r="C253" s="10"/>
      <c r="D253" s="6">
        <v>-58.19</v>
      </c>
      <c r="E253" s="2"/>
      <c r="F253" s="7">
        <f t="shared" si="98"/>
        <v>-7.1976048290819968E-5</v>
      </c>
      <c r="G253" s="2"/>
      <c r="H253" s="6">
        <v>-1159.01</v>
      </c>
      <c r="I253" s="2"/>
      <c r="J253" s="7">
        <f t="shared" si="99"/>
        <v>-2.2949855967629856E-3</v>
      </c>
      <c r="K253" s="2"/>
      <c r="L253" s="6">
        <f t="shared" si="100"/>
        <v>1100.82</v>
      </c>
      <c r="M253" s="2"/>
      <c r="N253" s="7">
        <f t="shared" si="101"/>
        <v>-0.9497933581246063</v>
      </c>
      <c r="O253" s="10"/>
      <c r="P253" s="6">
        <v>21314.38</v>
      </c>
      <c r="Q253" s="2"/>
      <c r="R253" s="7">
        <f t="shared" si="102"/>
        <v>2.1722128595635585E-3</v>
      </c>
      <c r="S253" s="2"/>
      <c r="T253" s="6">
        <v>92014.31</v>
      </c>
      <c r="U253" s="2"/>
      <c r="V253" s="7">
        <f t="shared" si="103"/>
        <v>3.2805230348421578E-3</v>
      </c>
      <c r="W253" s="2"/>
      <c r="X253" s="6">
        <f t="shared" si="104"/>
        <v>-70699.929999999993</v>
      </c>
      <c r="Y253" s="2"/>
      <c r="Z253" s="7">
        <f t="shared" si="105"/>
        <v>-0.76835798692616397</v>
      </c>
    </row>
    <row r="254" spans="1:26" s="26" customFormat="1" outlineLevel="1" collapsed="1" x14ac:dyDescent="0.25">
      <c r="A254" s="25"/>
      <c r="B254" s="12" t="str">
        <f>CONCATENATE("     ","Insurance                                         ")</f>
        <v xml:space="preserve">     Insurance                                         </v>
      </c>
      <c r="C254" s="12"/>
      <c r="D254" s="1">
        <f>SUM(OSRRefD22_12x_0)</f>
        <v>8563.32</v>
      </c>
      <c r="E254" s="1"/>
      <c r="F254" s="5">
        <f t="shared" ref="F254:F261" si="106">IF(D$12=0,0,D254/D$12)</f>
        <v>1.0592093724862424E-2</v>
      </c>
      <c r="G254" s="1"/>
      <c r="H254" s="1">
        <f>SUM(OSRRefH22_12x_0)</f>
        <v>8563.32</v>
      </c>
      <c r="I254" s="1"/>
      <c r="J254" s="5">
        <f t="shared" ref="J254:J261" si="107">IF(H$12=0,0,H254/H$12)</f>
        <v>1.6956450816190034E-2</v>
      </c>
      <c r="K254" s="1"/>
      <c r="L254" s="1">
        <f t="shared" ref="L254:L261" si="108">+D254-H254</f>
        <v>0</v>
      </c>
      <c r="M254" s="1"/>
      <c r="N254" s="5">
        <f t="shared" ref="N254:N261" si="109">IF(H254=0,0,L254/H254)</f>
        <v>0</v>
      </c>
      <c r="O254" s="12"/>
      <c r="P254" s="1">
        <f>SUM(OSRRefP22_12x_0)</f>
        <v>100308.52</v>
      </c>
      <c r="Q254" s="1"/>
      <c r="R254" s="5">
        <f t="shared" ref="R254:R261" si="110">IF(P$12=0,0,P254/P$12)</f>
        <v>1.0222744319458901E-2</v>
      </c>
      <c r="S254" s="1"/>
      <c r="T254" s="1">
        <f>SUM(OSRRefT22_12x_0)</f>
        <v>99957.52</v>
      </c>
      <c r="U254" s="1"/>
      <c r="V254" s="5">
        <f t="shared" ref="V254:V261" si="111">IF(T$12=0,0,T254/T$12)</f>
        <v>3.56371684866947E-3</v>
      </c>
      <c r="W254" s="1"/>
      <c r="X254" s="1">
        <f t="shared" ref="X254:X261" si="112">+P254-T254</f>
        <v>351</v>
      </c>
      <c r="Y254" s="1"/>
      <c r="Z254" s="5">
        <f t="shared" ref="Z254:Z261" si="113">IF(T254=0,0,X254/T254)</f>
        <v>3.5114916816663716E-3</v>
      </c>
    </row>
    <row r="255" spans="1:26" s="23" customFormat="1" hidden="1" outlineLevel="2" x14ac:dyDescent="0.25">
      <c r="A255" s="27"/>
      <c r="B255" s="10" t="str">
        <f>CONCATENATE("          ", "6314", " - ", "LIABILITY INSURANCE")</f>
        <v xml:space="preserve">          6314 - LIABILITY INSURANCE</v>
      </c>
      <c r="C255" s="10"/>
      <c r="D255" s="6">
        <v>8563.32</v>
      </c>
      <c r="E255" s="2"/>
      <c r="F255" s="7">
        <f t="shared" si="106"/>
        <v>1.0592093724862424E-2</v>
      </c>
      <c r="G255" s="2"/>
      <c r="H255" s="6">
        <v>8563.32</v>
      </c>
      <c r="I255" s="2"/>
      <c r="J255" s="7">
        <f t="shared" si="107"/>
        <v>1.6956450816190034E-2</v>
      </c>
      <c r="K255" s="2"/>
      <c r="L255" s="6">
        <f t="shared" si="108"/>
        <v>0</v>
      </c>
      <c r="M255" s="2"/>
      <c r="N255" s="7">
        <f t="shared" si="109"/>
        <v>0</v>
      </c>
      <c r="O255" s="10"/>
      <c r="P255" s="6">
        <v>100308.52</v>
      </c>
      <c r="Q255" s="2"/>
      <c r="R255" s="7">
        <f t="shared" si="110"/>
        <v>1.0222744319458901E-2</v>
      </c>
      <c r="S255" s="2"/>
      <c r="T255" s="6">
        <v>99957.52</v>
      </c>
      <c r="U255" s="2"/>
      <c r="V255" s="7">
        <f t="shared" si="111"/>
        <v>3.56371684866947E-3</v>
      </c>
      <c r="W255" s="2"/>
      <c r="X255" s="6">
        <f t="shared" si="112"/>
        <v>351</v>
      </c>
      <c r="Y255" s="2"/>
      <c r="Z255" s="7">
        <f t="shared" si="113"/>
        <v>3.5114916816663716E-3</v>
      </c>
    </row>
    <row r="256" spans="1:26" s="26" customFormat="1" outlineLevel="1" collapsed="1" x14ac:dyDescent="0.25">
      <c r="A256" s="25"/>
      <c r="B256" s="12" t="str">
        <f>CONCATENATE("     ","Interest                                          ")</f>
        <v xml:space="preserve">     Interest                                          </v>
      </c>
      <c r="C256" s="12"/>
      <c r="D256" s="1">
        <f>SUM(OSRRefD22_13x_0)</f>
        <v>11554</v>
      </c>
      <c r="E256" s="1"/>
      <c r="F256" s="5">
        <f t="shared" si="106"/>
        <v>1.4291308849495341E-2</v>
      </c>
      <c r="G256" s="1"/>
      <c r="H256" s="1">
        <f>SUM(OSRRefH22_13x_0)</f>
        <v>11929</v>
      </c>
      <c r="I256" s="1"/>
      <c r="J256" s="5">
        <f t="shared" si="107"/>
        <v>2.3620920599292203E-2</v>
      </c>
      <c r="K256" s="1"/>
      <c r="L256" s="1">
        <f t="shared" si="108"/>
        <v>-375</v>
      </c>
      <c r="M256" s="1"/>
      <c r="N256" s="5">
        <f t="shared" si="109"/>
        <v>-3.1435996311509763E-2</v>
      </c>
      <c r="O256" s="12"/>
      <c r="P256" s="1">
        <f>SUM(OSRRefP22_13x_0)</f>
        <v>123971</v>
      </c>
      <c r="Q256" s="1"/>
      <c r="R256" s="5">
        <f t="shared" si="110"/>
        <v>1.2634259143965432E-2</v>
      </c>
      <c r="S256" s="1"/>
      <c r="T256" s="1">
        <f>SUM(OSRRefT22_13x_0)</f>
        <v>127619.05</v>
      </c>
      <c r="U256" s="1"/>
      <c r="V256" s="5">
        <f t="shared" si="111"/>
        <v>4.5499143905950402E-3</v>
      </c>
      <c r="W256" s="1"/>
      <c r="X256" s="1">
        <f t="shared" si="112"/>
        <v>-3648.0500000000029</v>
      </c>
      <c r="Y256" s="1"/>
      <c r="Z256" s="5">
        <f t="shared" si="113"/>
        <v>-2.858546588459954E-2</v>
      </c>
    </row>
    <row r="257" spans="1:26" s="23" customFormat="1" hidden="1" outlineLevel="2" x14ac:dyDescent="0.25">
      <c r="A257" s="27"/>
      <c r="B257" s="10" t="str">
        <f>CONCATENATE("          ", "6401", " - ", "INTEREST EXPENSE")</f>
        <v xml:space="preserve">          6401 - INTEREST EXPENSE</v>
      </c>
      <c r="C257" s="10"/>
      <c r="D257" s="6">
        <v>11554</v>
      </c>
      <c r="E257" s="2"/>
      <c r="F257" s="7">
        <f t="shared" si="106"/>
        <v>1.4291308849495341E-2</v>
      </c>
      <c r="G257" s="2"/>
      <c r="H257" s="6">
        <v>11929</v>
      </c>
      <c r="I257" s="2"/>
      <c r="J257" s="7">
        <f t="shared" si="107"/>
        <v>2.3620920599292203E-2</v>
      </c>
      <c r="K257" s="2"/>
      <c r="L257" s="6">
        <f t="shared" si="108"/>
        <v>-375</v>
      </c>
      <c r="M257" s="2"/>
      <c r="N257" s="7">
        <f t="shared" si="109"/>
        <v>-3.1435996311509763E-2</v>
      </c>
      <c r="O257" s="10"/>
      <c r="P257" s="6">
        <v>123971</v>
      </c>
      <c r="Q257" s="2"/>
      <c r="R257" s="7">
        <f t="shared" si="110"/>
        <v>1.2634259143965432E-2</v>
      </c>
      <c r="S257" s="2"/>
      <c r="T257" s="6">
        <v>127619.05</v>
      </c>
      <c r="U257" s="2"/>
      <c r="V257" s="7">
        <f t="shared" si="111"/>
        <v>4.5499143905950402E-3</v>
      </c>
      <c r="W257" s="2"/>
      <c r="X257" s="6">
        <f t="shared" si="112"/>
        <v>-3648.0500000000029</v>
      </c>
      <c r="Y257" s="2"/>
      <c r="Z257" s="7">
        <f t="shared" si="113"/>
        <v>-2.858546588459954E-2</v>
      </c>
    </row>
    <row r="258" spans="1:26" s="26" customFormat="1" outlineLevel="1" collapsed="1" x14ac:dyDescent="0.25">
      <c r="A258" s="25"/>
      <c r="B258" s="12" t="str">
        <f>CONCATENATE("     ","Inventory Adjustment                              ")</f>
        <v xml:space="preserve">     Inventory Adjustment                              </v>
      </c>
      <c r="C258" s="12"/>
      <c r="D258" s="1">
        <f>SUM(OSRRefD22_14x_0)</f>
        <v>3350</v>
      </c>
      <c r="E258" s="1"/>
      <c r="F258" s="5">
        <f t="shared" si="106"/>
        <v>4.143663202856967E-3</v>
      </c>
      <c r="G258" s="1"/>
      <c r="H258" s="1">
        <f>SUM(OSRRefH22_14x_0)</f>
        <v>4550</v>
      </c>
      <c r="I258" s="1"/>
      <c r="J258" s="5">
        <f t="shared" si="107"/>
        <v>9.0095723637169528E-3</v>
      </c>
      <c r="K258" s="1"/>
      <c r="L258" s="1">
        <f t="shared" si="108"/>
        <v>-1200</v>
      </c>
      <c r="M258" s="1"/>
      <c r="N258" s="5">
        <f t="shared" si="109"/>
        <v>-0.26373626373626374</v>
      </c>
      <c r="O258" s="12"/>
      <c r="P258" s="1">
        <f>SUM(OSRRefP22_14x_0)</f>
        <v>41850</v>
      </c>
      <c r="Q258" s="1"/>
      <c r="R258" s="5">
        <f t="shared" si="110"/>
        <v>4.265059934782758E-3</v>
      </c>
      <c r="S258" s="1"/>
      <c r="T258" s="1">
        <f>SUM(OSRRefT22_14x_0)</f>
        <v>53350</v>
      </c>
      <c r="U258" s="1"/>
      <c r="V258" s="5">
        <f t="shared" si="111"/>
        <v>1.9020509300002263E-3</v>
      </c>
      <c r="W258" s="1"/>
      <c r="X258" s="1">
        <f t="shared" si="112"/>
        <v>-11500</v>
      </c>
      <c r="Y258" s="1"/>
      <c r="Z258" s="5">
        <f t="shared" si="113"/>
        <v>-0.2155576382380506</v>
      </c>
    </row>
    <row r="259" spans="1:26" s="23" customFormat="1" hidden="1" outlineLevel="2" x14ac:dyDescent="0.25">
      <c r="A259" s="27"/>
      <c r="B259" s="10" t="str">
        <f>CONCATENATE("          ", "6408", " - ", "INVENTORY ADJUSTMENT")</f>
        <v xml:space="preserve">          6408 - INVENTORY ADJUSTMENT</v>
      </c>
      <c r="C259" s="10"/>
      <c r="D259" s="6">
        <v>3350</v>
      </c>
      <c r="E259" s="2"/>
      <c r="F259" s="7">
        <f t="shared" si="106"/>
        <v>4.143663202856967E-3</v>
      </c>
      <c r="G259" s="2"/>
      <c r="H259" s="6">
        <v>4550</v>
      </c>
      <c r="I259" s="2"/>
      <c r="J259" s="7">
        <f t="shared" si="107"/>
        <v>9.0095723637169528E-3</v>
      </c>
      <c r="K259" s="2"/>
      <c r="L259" s="6">
        <f t="shared" si="108"/>
        <v>-1200</v>
      </c>
      <c r="M259" s="2"/>
      <c r="N259" s="7">
        <f t="shared" si="109"/>
        <v>-0.26373626373626374</v>
      </c>
      <c r="O259" s="10"/>
      <c r="P259" s="6">
        <v>41850</v>
      </c>
      <c r="Q259" s="2"/>
      <c r="R259" s="7">
        <f t="shared" si="110"/>
        <v>4.265059934782758E-3</v>
      </c>
      <c r="S259" s="2"/>
      <c r="T259" s="6">
        <v>53350</v>
      </c>
      <c r="U259" s="2"/>
      <c r="V259" s="7">
        <f t="shared" si="111"/>
        <v>1.9020509300002263E-3</v>
      </c>
      <c r="W259" s="2"/>
      <c r="X259" s="6">
        <f t="shared" si="112"/>
        <v>-11500</v>
      </c>
      <c r="Y259" s="2"/>
      <c r="Z259" s="7">
        <f t="shared" si="113"/>
        <v>-0.2155576382380506</v>
      </c>
    </row>
    <row r="260" spans="1:26" s="23" customFormat="1" hidden="1" outlineLevel="2" x14ac:dyDescent="0.25">
      <c r="A260" s="27"/>
      <c r="B260" s="10" t="str">
        <f>CONCATENATE("          ", "7701", " - ", "INV. SHRINKAGE-NEW TEXT")</f>
        <v xml:space="preserve">          7701 - INV. SHRINKAGE-NEW TEXT</v>
      </c>
      <c r="C260" s="10"/>
      <c r="D260" s="6"/>
      <c r="E260" s="2"/>
      <c r="F260" s="7">
        <f t="shared" si="106"/>
        <v>0</v>
      </c>
      <c r="G260" s="2"/>
      <c r="H260" s="6"/>
      <c r="I260" s="2"/>
      <c r="J260" s="7">
        <f t="shared" si="107"/>
        <v>0</v>
      </c>
      <c r="K260" s="2"/>
      <c r="L260" s="6">
        <f t="shared" si="108"/>
        <v>0</v>
      </c>
      <c r="M260" s="2"/>
      <c r="N260" s="7">
        <f t="shared" si="109"/>
        <v>0</v>
      </c>
      <c r="O260" s="10"/>
      <c r="P260" s="6"/>
      <c r="Q260" s="2"/>
      <c r="R260" s="7">
        <f t="shared" si="110"/>
        <v>0</v>
      </c>
      <c r="S260" s="2"/>
      <c r="T260" s="6">
        <v>0</v>
      </c>
      <c r="U260" s="2"/>
      <c r="V260" s="7">
        <f t="shared" si="111"/>
        <v>0</v>
      </c>
      <c r="W260" s="2"/>
      <c r="X260" s="6">
        <f t="shared" si="112"/>
        <v>0</v>
      </c>
      <c r="Y260" s="2"/>
      <c r="Z260" s="7">
        <f t="shared" si="113"/>
        <v>0</v>
      </c>
    </row>
    <row r="261" spans="1:26" s="23" customFormat="1" hidden="1" outlineLevel="2" x14ac:dyDescent="0.25">
      <c r="A261" s="27"/>
      <c r="B261" s="10" t="str">
        <f>CONCATENATE("          ", "7741", " - ", "INV. SHRINKAGE-LOGO GIFTS")</f>
        <v xml:space="preserve">          7741 - INV. SHRINKAGE-LOGO GIFTS</v>
      </c>
      <c r="C261" s="10"/>
      <c r="D261" s="6"/>
      <c r="E261" s="2"/>
      <c r="F261" s="7">
        <f t="shared" si="106"/>
        <v>0</v>
      </c>
      <c r="G261" s="2"/>
      <c r="H261" s="6"/>
      <c r="I261" s="2"/>
      <c r="J261" s="7">
        <f t="shared" si="107"/>
        <v>0</v>
      </c>
      <c r="K261" s="2"/>
      <c r="L261" s="6">
        <f t="shared" si="108"/>
        <v>0</v>
      </c>
      <c r="M261" s="2"/>
      <c r="N261" s="7">
        <f t="shared" si="109"/>
        <v>0</v>
      </c>
      <c r="O261" s="10"/>
      <c r="P261" s="6">
        <v>0</v>
      </c>
      <c r="Q261" s="2"/>
      <c r="R261" s="7">
        <f t="shared" si="110"/>
        <v>0</v>
      </c>
      <c r="S261" s="2"/>
      <c r="T261" s="6"/>
      <c r="U261" s="2"/>
      <c r="V261" s="7">
        <f t="shared" si="111"/>
        <v>0</v>
      </c>
      <c r="W261" s="2"/>
      <c r="X261" s="6">
        <f t="shared" si="112"/>
        <v>0</v>
      </c>
      <c r="Y261" s="2"/>
      <c r="Z261" s="7">
        <f t="shared" si="113"/>
        <v>0</v>
      </c>
    </row>
    <row r="262" spans="1:26" s="26" customFormat="1" outlineLevel="1" collapsed="1" x14ac:dyDescent="0.25">
      <c r="A262" s="25"/>
      <c r="B262" s="12" t="str">
        <f>CONCATENATE("     ","Professional Services                             ")</f>
        <v xml:space="preserve">     Professional Services                             </v>
      </c>
      <c r="C262" s="12"/>
      <c r="D262" s="1">
        <f>SUM(OSRRefD22_15x_0)</f>
        <v>0</v>
      </c>
      <c r="E262" s="1"/>
      <c r="F262" s="5">
        <f t="shared" ref="F262:F272" si="114">IF(D$12=0,0,D262/D$12)</f>
        <v>0</v>
      </c>
      <c r="G262" s="1"/>
      <c r="H262" s="1">
        <f>SUM(OSRRefH22_15x_0)</f>
        <v>0</v>
      </c>
      <c r="I262" s="1"/>
      <c r="J262" s="5">
        <f t="shared" ref="J262:J272" si="115">IF(H$12=0,0,H262/H$12)</f>
        <v>0</v>
      </c>
      <c r="K262" s="1"/>
      <c r="L262" s="1">
        <f t="shared" ref="L262:L272" si="116">+D262-H262</f>
        <v>0</v>
      </c>
      <c r="M262" s="1"/>
      <c r="N262" s="5">
        <f t="shared" ref="N262:N272" si="117">IF(H262=0,0,L262/H262)</f>
        <v>0</v>
      </c>
      <c r="O262" s="12"/>
      <c r="P262" s="1">
        <f>SUM(OSRRefP22_15x_0)</f>
        <v>0</v>
      </c>
      <c r="Q262" s="1"/>
      <c r="R262" s="5">
        <f t="shared" ref="R262:R272" si="118">IF(P$12=0,0,P262/P$12)</f>
        <v>0</v>
      </c>
      <c r="S262" s="1"/>
      <c r="T262" s="1">
        <f>SUM(OSRRefT22_15x_0)</f>
        <v>9254.56</v>
      </c>
      <c r="U262" s="1"/>
      <c r="V262" s="5">
        <f t="shared" ref="V262:V272" si="119">IF(T$12=0,0,T262/T$12)</f>
        <v>3.2994647525291272E-4</v>
      </c>
      <c r="W262" s="1"/>
      <c r="X262" s="1">
        <f t="shared" ref="X262:X272" si="120">+P262-T262</f>
        <v>-9254.56</v>
      </c>
      <c r="Y262" s="1"/>
      <c r="Z262" s="5">
        <f t="shared" ref="Z262:Z272" si="121">IF(T262=0,0,X262/T262)</f>
        <v>-1</v>
      </c>
    </row>
    <row r="263" spans="1:26" s="23" customFormat="1" hidden="1" outlineLevel="2" x14ac:dyDescent="0.25">
      <c r="A263" s="27"/>
      <c r="B263" s="10" t="str">
        <f>CONCATENATE("          ", "6336", " - ", "PROFESSIONAL SERVICES")</f>
        <v xml:space="preserve">          6336 - PROFESSIONAL SERVICES</v>
      </c>
      <c r="C263" s="10"/>
      <c r="D263" s="6"/>
      <c r="E263" s="2"/>
      <c r="F263" s="7">
        <f t="shared" si="114"/>
        <v>0</v>
      </c>
      <c r="G263" s="2"/>
      <c r="H263" s="6"/>
      <c r="I263" s="2"/>
      <c r="J263" s="7">
        <f t="shared" si="115"/>
        <v>0</v>
      </c>
      <c r="K263" s="2"/>
      <c r="L263" s="6">
        <f t="shared" si="116"/>
        <v>0</v>
      </c>
      <c r="M263" s="2"/>
      <c r="N263" s="7">
        <f t="shared" si="117"/>
        <v>0</v>
      </c>
      <c r="O263" s="10"/>
      <c r="P263" s="6"/>
      <c r="Q263" s="2"/>
      <c r="R263" s="7">
        <f t="shared" si="118"/>
        <v>0</v>
      </c>
      <c r="S263" s="2"/>
      <c r="T263" s="6">
        <v>9254.56</v>
      </c>
      <c r="U263" s="2"/>
      <c r="V263" s="7">
        <f t="shared" si="119"/>
        <v>3.2994647525291272E-4</v>
      </c>
      <c r="W263" s="2"/>
      <c r="X263" s="6">
        <f t="shared" si="120"/>
        <v>-9254.56</v>
      </c>
      <c r="Y263" s="2"/>
      <c r="Z263" s="7">
        <f t="shared" si="121"/>
        <v>-1</v>
      </c>
    </row>
    <row r="264" spans="1:26" s="26" customFormat="1" outlineLevel="1" collapsed="1" x14ac:dyDescent="0.25">
      <c r="A264" s="25"/>
      <c r="B264" s="12" t="str">
        <f>CONCATENATE("     ","R/H Commissions                                   ")</f>
        <v xml:space="preserve">     R/H Commissions                                   </v>
      </c>
      <c r="C264" s="12"/>
      <c r="D264" s="1">
        <f>SUM(OSRRefD22_16x_0)</f>
        <v>3760.68</v>
      </c>
      <c r="E264" s="1"/>
      <c r="F264" s="5">
        <f t="shared" si="114"/>
        <v>4.6516392040955633E-3</v>
      </c>
      <c r="G264" s="1"/>
      <c r="H264" s="1">
        <f>SUM(OSRRefH22_16x_0)</f>
        <v>8412.7900000000009</v>
      </c>
      <c r="I264" s="1"/>
      <c r="J264" s="5">
        <f t="shared" si="115"/>
        <v>1.6658382480385571E-2</v>
      </c>
      <c r="K264" s="1"/>
      <c r="L264" s="1">
        <f t="shared" si="116"/>
        <v>-4652.1100000000006</v>
      </c>
      <c r="M264" s="1"/>
      <c r="N264" s="5">
        <f t="shared" si="117"/>
        <v>-0.5529806401918983</v>
      </c>
      <c r="O264" s="12"/>
      <c r="P264" s="1">
        <f>SUM(OSRRefP22_16x_0)</f>
        <v>69400.47</v>
      </c>
      <c r="Q264" s="1"/>
      <c r="R264" s="5">
        <f t="shared" si="118"/>
        <v>7.0728115663582503E-3</v>
      </c>
      <c r="S264" s="1"/>
      <c r="T264" s="1">
        <f>SUM(OSRRefT22_16x_0)</f>
        <v>714276.08</v>
      </c>
      <c r="U264" s="1"/>
      <c r="V264" s="5">
        <f t="shared" si="119"/>
        <v>2.5465594793644158E-2</v>
      </c>
      <c r="W264" s="1"/>
      <c r="X264" s="1">
        <f t="shared" si="120"/>
        <v>-644875.61</v>
      </c>
      <c r="Y264" s="1"/>
      <c r="Z264" s="5">
        <f t="shared" si="121"/>
        <v>-0.90283803147936859</v>
      </c>
    </row>
    <row r="265" spans="1:26" s="23" customFormat="1" hidden="1" outlineLevel="2" x14ac:dyDescent="0.25">
      <c r="A265" s="27"/>
      <c r="B265" s="10" t="str">
        <f>CONCATENATE("          ", "6387", " - ", "COMMISSION DUE HOUSING")</f>
        <v xml:space="preserve">          6387 - COMMISSION DUE HOUSING</v>
      </c>
      <c r="C265" s="10"/>
      <c r="D265" s="6">
        <v>3760.68</v>
      </c>
      <c r="E265" s="2"/>
      <c r="F265" s="7">
        <f t="shared" si="114"/>
        <v>4.6516392040955633E-3</v>
      </c>
      <c r="G265" s="2"/>
      <c r="H265" s="6">
        <v>8412.7900000000009</v>
      </c>
      <c r="I265" s="2"/>
      <c r="J265" s="7">
        <f t="shared" si="115"/>
        <v>1.6658382480385571E-2</v>
      </c>
      <c r="K265" s="2"/>
      <c r="L265" s="6">
        <f t="shared" si="116"/>
        <v>-4652.1100000000006</v>
      </c>
      <c r="M265" s="2"/>
      <c r="N265" s="7">
        <f t="shared" si="117"/>
        <v>-0.5529806401918983</v>
      </c>
      <c r="O265" s="10"/>
      <c r="P265" s="6">
        <v>69400.47</v>
      </c>
      <c r="Q265" s="2"/>
      <c r="R265" s="7">
        <f t="shared" si="118"/>
        <v>7.0728115663582503E-3</v>
      </c>
      <c r="S265" s="2"/>
      <c r="T265" s="6">
        <v>714276.08</v>
      </c>
      <c r="U265" s="2"/>
      <c r="V265" s="7">
        <f t="shared" si="119"/>
        <v>2.5465594793644158E-2</v>
      </c>
      <c r="W265" s="2"/>
      <c r="X265" s="6">
        <f t="shared" si="120"/>
        <v>-644875.61</v>
      </c>
      <c r="Y265" s="2"/>
      <c r="Z265" s="7">
        <f t="shared" si="121"/>
        <v>-0.90283803147936859</v>
      </c>
    </row>
    <row r="266" spans="1:26" s="26" customFormat="1" outlineLevel="1" collapsed="1" x14ac:dyDescent="0.25">
      <c r="A266" s="25"/>
      <c r="B266" s="12" t="str">
        <f>CONCATENATE("     ","Rent                                              ")</f>
        <v xml:space="preserve">     Rent                                              </v>
      </c>
      <c r="C266" s="12"/>
      <c r="D266" s="1">
        <f>SUM(OSRRefD22_17x_0)</f>
        <v>8750</v>
      </c>
      <c r="E266" s="1"/>
      <c r="F266" s="5">
        <f t="shared" si="114"/>
        <v>1.0823000902984613E-2</v>
      </c>
      <c r="G266" s="1"/>
      <c r="H266" s="1">
        <f>SUM(OSRRefH22_17x_0)</f>
        <v>9900</v>
      </c>
      <c r="I266" s="1"/>
      <c r="J266" s="5">
        <f t="shared" si="115"/>
        <v>1.9603245362812709E-2</v>
      </c>
      <c r="K266" s="1"/>
      <c r="L266" s="1">
        <f t="shared" si="116"/>
        <v>-1150</v>
      </c>
      <c r="M266" s="1"/>
      <c r="N266" s="5">
        <f t="shared" si="117"/>
        <v>-0.11616161616161616</v>
      </c>
      <c r="O266" s="12"/>
      <c r="P266" s="1">
        <f>SUM(OSRRefP22_17x_0)</f>
        <v>90700</v>
      </c>
      <c r="Q266" s="1"/>
      <c r="R266" s="5">
        <f t="shared" si="118"/>
        <v>9.2435110175578539E-3</v>
      </c>
      <c r="S266" s="1"/>
      <c r="T266" s="1">
        <f>SUM(OSRRefT22_17x_0)</f>
        <v>108900</v>
      </c>
      <c r="U266" s="1"/>
      <c r="V266" s="5">
        <f t="shared" si="119"/>
        <v>3.8825369498973689E-3</v>
      </c>
      <c r="W266" s="1"/>
      <c r="X266" s="1">
        <f t="shared" si="120"/>
        <v>-18200</v>
      </c>
      <c r="Y266" s="1"/>
      <c r="Z266" s="5">
        <f t="shared" si="121"/>
        <v>-0.16712580348943984</v>
      </c>
    </row>
    <row r="267" spans="1:26" s="23" customFormat="1" hidden="1" outlineLevel="2" x14ac:dyDescent="0.25">
      <c r="A267" s="27"/>
      <c r="B267" s="10" t="str">
        <f>CONCATENATE("          ", "6273", " - ", "RENT")</f>
        <v xml:space="preserve">          6273 - RENT</v>
      </c>
      <c r="C267" s="10"/>
      <c r="D267" s="6">
        <v>8750</v>
      </c>
      <c r="E267" s="2"/>
      <c r="F267" s="7">
        <f t="shared" si="114"/>
        <v>1.0823000902984613E-2</v>
      </c>
      <c r="G267" s="2"/>
      <c r="H267" s="6">
        <v>9900</v>
      </c>
      <c r="I267" s="2"/>
      <c r="J267" s="7">
        <f t="shared" si="115"/>
        <v>1.9603245362812709E-2</v>
      </c>
      <c r="K267" s="2"/>
      <c r="L267" s="6">
        <f t="shared" si="116"/>
        <v>-1150</v>
      </c>
      <c r="M267" s="2"/>
      <c r="N267" s="7">
        <f t="shared" si="117"/>
        <v>-0.11616161616161616</v>
      </c>
      <c r="O267" s="10"/>
      <c r="P267" s="6">
        <v>90700</v>
      </c>
      <c r="Q267" s="2"/>
      <c r="R267" s="7">
        <f t="shared" si="118"/>
        <v>9.2435110175578539E-3</v>
      </c>
      <c r="S267" s="2"/>
      <c r="T267" s="6">
        <v>108900</v>
      </c>
      <c r="U267" s="2"/>
      <c r="V267" s="7">
        <f t="shared" si="119"/>
        <v>3.8825369498973689E-3</v>
      </c>
      <c r="W267" s="2"/>
      <c r="X267" s="6">
        <f t="shared" si="120"/>
        <v>-18200</v>
      </c>
      <c r="Y267" s="2"/>
      <c r="Z267" s="7">
        <f t="shared" si="121"/>
        <v>-0.16712580348943984</v>
      </c>
    </row>
    <row r="268" spans="1:26" s="26" customFormat="1" outlineLevel="1" collapsed="1" x14ac:dyDescent="0.25">
      <c r="A268" s="25"/>
      <c r="B268" s="12" t="str">
        <f>CONCATENATE("     ","Repair and Maintenance                            ")</f>
        <v xml:space="preserve">     Repair and Maintenance                            </v>
      </c>
      <c r="C268" s="12"/>
      <c r="D268" s="1">
        <f>SUM(OSRRefD22_18x_0)</f>
        <v>26806.69</v>
      </c>
      <c r="E268" s="1"/>
      <c r="F268" s="5">
        <f t="shared" si="114"/>
        <v>3.3157580580117557E-2</v>
      </c>
      <c r="G268" s="1"/>
      <c r="H268" s="1">
        <f>SUM(OSRRefH22_18x_0)</f>
        <v>13186.75</v>
      </c>
      <c r="I268" s="1"/>
      <c r="J268" s="5">
        <f t="shared" si="115"/>
        <v>2.6111423816976818E-2</v>
      </c>
      <c r="K268" s="1"/>
      <c r="L268" s="1">
        <f t="shared" si="116"/>
        <v>13619.939999999999</v>
      </c>
      <c r="M268" s="1"/>
      <c r="N268" s="5">
        <f t="shared" si="117"/>
        <v>1.0328503990748288</v>
      </c>
      <c r="O268" s="12"/>
      <c r="P268" s="1">
        <f>SUM(OSRRefP22_18x_0)</f>
        <v>380063.44999999995</v>
      </c>
      <c r="Q268" s="1"/>
      <c r="R268" s="5">
        <f t="shared" si="118"/>
        <v>3.8733414415061167E-2</v>
      </c>
      <c r="S268" s="1"/>
      <c r="T268" s="1">
        <f>SUM(OSRRefT22_18x_0)</f>
        <v>561189.75</v>
      </c>
      <c r="U268" s="1"/>
      <c r="V268" s="5">
        <f t="shared" si="119"/>
        <v>2.0007712950217329E-2</v>
      </c>
      <c r="W268" s="1"/>
      <c r="X268" s="1">
        <f t="shared" si="120"/>
        <v>-181126.30000000005</v>
      </c>
      <c r="Y268" s="1"/>
      <c r="Z268" s="5">
        <f t="shared" si="121"/>
        <v>-0.32275411302505086</v>
      </c>
    </row>
    <row r="269" spans="1:26" s="23" customFormat="1" hidden="1" outlineLevel="2" x14ac:dyDescent="0.25">
      <c r="A269" s="27"/>
      <c r="B269" s="10" t="str">
        <f>CONCATENATE("          ", "6371", " - ", "COMPUTER SOFTWARE MAINTENANCE")</f>
        <v xml:space="preserve">          6371 - COMPUTER SOFTWARE MAINTENANCE</v>
      </c>
      <c r="C269" s="10"/>
      <c r="D269" s="6">
        <v>17193.2</v>
      </c>
      <c r="E269" s="2"/>
      <c r="F269" s="7">
        <f t="shared" si="114"/>
        <v>2.1266516471450867E-2</v>
      </c>
      <c r="G269" s="2"/>
      <c r="H269" s="6"/>
      <c r="I269" s="2"/>
      <c r="J269" s="7">
        <f t="shared" si="115"/>
        <v>0</v>
      </c>
      <c r="K269" s="2"/>
      <c r="L269" s="6">
        <f t="shared" si="116"/>
        <v>17193.2</v>
      </c>
      <c r="M269" s="2"/>
      <c r="N269" s="7">
        <f t="shared" si="117"/>
        <v>0</v>
      </c>
      <c r="O269" s="10"/>
      <c r="P269" s="6">
        <v>96713.19</v>
      </c>
      <c r="Q269" s="2"/>
      <c r="R269" s="7">
        <f t="shared" si="118"/>
        <v>9.8563333771572881E-3</v>
      </c>
      <c r="S269" s="2"/>
      <c r="T269" s="6">
        <v>92162.36</v>
      </c>
      <c r="U269" s="2"/>
      <c r="V269" s="7">
        <f t="shared" si="119"/>
        <v>3.2858013598690843E-3</v>
      </c>
      <c r="W269" s="2"/>
      <c r="X269" s="6">
        <f t="shared" si="120"/>
        <v>4550.8300000000017</v>
      </c>
      <c r="Y269" s="2"/>
      <c r="Z269" s="7">
        <f t="shared" si="121"/>
        <v>4.9378401334340849E-2</v>
      </c>
    </row>
    <row r="270" spans="1:26" s="23" customFormat="1" hidden="1" outlineLevel="2" x14ac:dyDescent="0.25">
      <c r="A270" s="27"/>
      <c r="B270" s="10" t="str">
        <f>CONCATENATE("          ", "6372", " - ", "COMPUTER HARDWARE MAINTENANCE")</f>
        <v xml:space="preserve">          6372 - COMPUTER HARDWARE MAINTENANCE</v>
      </c>
      <c r="C270" s="10"/>
      <c r="D270" s="6"/>
      <c r="E270" s="2"/>
      <c r="F270" s="7">
        <f t="shared" si="114"/>
        <v>0</v>
      </c>
      <c r="G270" s="2"/>
      <c r="H270" s="6"/>
      <c r="I270" s="2"/>
      <c r="J270" s="7">
        <f t="shared" si="115"/>
        <v>0</v>
      </c>
      <c r="K270" s="2"/>
      <c r="L270" s="6">
        <f t="shared" si="116"/>
        <v>0</v>
      </c>
      <c r="M270" s="2"/>
      <c r="N270" s="7">
        <f t="shared" si="117"/>
        <v>0</v>
      </c>
      <c r="O270" s="10"/>
      <c r="P270" s="6">
        <v>98.85</v>
      </c>
      <c r="Q270" s="2"/>
      <c r="R270" s="7">
        <f t="shared" si="118"/>
        <v>1.0074102139863216E-5</v>
      </c>
      <c r="S270" s="2"/>
      <c r="T270" s="6">
        <v>8195.19</v>
      </c>
      <c r="U270" s="2"/>
      <c r="V270" s="7">
        <f t="shared" si="119"/>
        <v>2.9217748380559614E-4</v>
      </c>
      <c r="W270" s="2"/>
      <c r="X270" s="6">
        <f t="shared" si="120"/>
        <v>-8096.34</v>
      </c>
      <c r="Y270" s="2"/>
      <c r="Z270" s="7">
        <f t="shared" si="121"/>
        <v>-0.98793804658586315</v>
      </c>
    </row>
    <row r="271" spans="1:26" s="23" customFormat="1" hidden="1" outlineLevel="2" x14ac:dyDescent="0.25">
      <c r="A271" s="27"/>
      <c r="B271" s="10" t="str">
        <f>CONCATENATE("          ", "6373", " - ", "MAINTENANCE CONTRACTS")</f>
        <v xml:space="preserve">          6373 - MAINTENANCE CONTRACTS</v>
      </c>
      <c r="C271" s="10"/>
      <c r="D271" s="6">
        <v>3198.33</v>
      </c>
      <c r="E271" s="2"/>
      <c r="F271" s="7">
        <f t="shared" si="114"/>
        <v>3.9560603974906038E-3</v>
      </c>
      <c r="G271" s="2"/>
      <c r="H271" s="6">
        <v>10545.77</v>
      </c>
      <c r="I271" s="2"/>
      <c r="J271" s="7">
        <f t="shared" si="115"/>
        <v>2.0881951196948426E-2</v>
      </c>
      <c r="K271" s="2"/>
      <c r="L271" s="6">
        <f t="shared" si="116"/>
        <v>-7347.4400000000005</v>
      </c>
      <c r="M271" s="2"/>
      <c r="N271" s="7">
        <f t="shared" si="117"/>
        <v>-0.69671915848724186</v>
      </c>
      <c r="O271" s="10"/>
      <c r="P271" s="6">
        <v>214972.3</v>
      </c>
      <c r="Q271" s="2"/>
      <c r="R271" s="7">
        <f t="shared" si="118"/>
        <v>2.1908476554793298E-2</v>
      </c>
      <c r="S271" s="2"/>
      <c r="T271" s="6">
        <v>290632.78000000003</v>
      </c>
      <c r="U271" s="2"/>
      <c r="V271" s="7">
        <f t="shared" si="119"/>
        <v>1.0361731011950351E-2</v>
      </c>
      <c r="W271" s="2"/>
      <c r="X271" s="6">
        <f t="shared" si="120"/>
        <v>-75660.48000000004</v>
      </c>
      <c r="Y271" s="2"/>
      <c r="Z271" s="7">
        <f t="shared" si="121"/>
        <v>-0.26033016647330709</v>
      </c>
    </row>
    <row r="272" spans="1:26" s="23" customFormat="1" hidden="1" outlineLevel="2" x14ac:dyDescent="0.25">
      <c r="A272" s="27"/>
      <c r="B272" s="10" t="str">
        <f>CONCATENATE("          ", "6375", " - ", "OUTSIDE REPAIRS &amp; MAINTENANCE")</f>
        <v xml:space="preserve">          6375 - OUTSIDE REPAIRS &amp; MAINTENANCE</v>
      </c>
      <c r="C272" s="10"/>
      <c r="D272" s="6">
        <v>6415.16</v>
      </c>
      <c r="E272" s="2"/>
      <c r="F272" s="7">
        <f t="shared" si="114"/>
        <v>7.935003711176088E-3</v>
      </c>
      <c r="G272" s="2"/>
      <c r="H272" s="6">
        <v>2640.98</v>
      </c>
      <c r="I272" s="2"/>
      <c r="J272" s="7">
        <f t="shared" si="115"/>
        <v>5.2294726200283947E-3</v>
      </c>
      <c r="K272" s="2"/>
      <c r="L272" s="6">
        <f t="shared" si="116"/>
        <v>3774.18</v>
      </c>
      <c r="M272" s="2"/>
      <c r="N272" s="7">
        <f t="shared" si="117"/>
        <v>1.4290831433785942</v>
      </c>
      <c r="O272" s="10"/>
      <c r="P272" s="6">
        <v>68279.11</v>
      </c>
      <c r="Q272" s="2"/>
      <c r="R272" s="7">
        <f t="shared" si="118"/>
        <v>6.9585303809707229E-3</v>
      </c>
      <c r="S272" s="2"/>
      <c r="T272" s="6">
        <v>170199.42</v>
      </c>
      <c r="U272" s="2"/>
      <c r="V272" s="7">
        <f t="shared" si="119"/>
        <v>6.068003094592299E-3</v>
      </c>
      <c r="W272" s="2"/>
      <c r="X272" s="6">
        <f t="shared" si="120"/>
        <v>-101920.31000000001</v>
      </c>
      <c r="Y272" s="2"/>
      <c r="Z272" s="7">
        <f t="shared" si="121"/>
        <v>-0.59882877391709088</v>
      </c>
    </row>
    <row r="273" spans="1:26" s="26" customFormat="1" outlineLevel="1" collapsed="1" x14ac:dyDescent="0.25">
      <c r="A273" s="25"/>
      <c r="B273" s="12" t="str">
        <f>CONCATENATE("     ","Royalty &amp; Commissions                             ")</f>
        <v xml:space="preserve">     Royalty &amp; Commissions                             </v>
      </c>
      <c r="C273" s="12"/>
      <c r="D273" s="1">
        <f>SUM(OSRRefD22_19x_0)</f>
        <v>393.98</v>
      </c>
      <c r="E273" s="1"/>
      <c r="F273" s="5">
        <f t="shared" ref="F273:F276" si="122">IF(D$12=0,0,D273/D$12)</f>
        <v>4.8731953094375755E-4</v>
      </c>
      <c r="G273" s="1"/>
      <c r="H273" s="1">
        <f>SUM(OSRRefH22_19x_0)</f>
        <v>0</v>
      </c>
      <c r="I273" s="1"/>
      <c r="J273" s="5">
        <f t="shared" ref="J273:J276" si="123">IF(H$12=0,0,H273/H$12)</f>
        <v>0</v>
      </c>
      <c r="K273" s="1"/>
      <c r="L273" s="1">
        <f t="shared" ref="L273:L276" si="124">+D273-H273</f>
        <v>393.98</v>
      </c>
      <c r="M273" s="1"/>
      <c r="N273" s="5">
        <f t="shared" ref="N273:N276" si="125">IF(H273=0,0,L273/H273)</f>
        <v>0</v>
      </c>
      <c r="O273" s="12"/>
      <c r="P273" s="1">
        <f>SUM(OSRRefP22_19x_0)</f>
        <v>48972.63</v>
      </c>
      <c r="Q273" s="1"/>
      <c r="R273" s="5">
        <f t="shared" ref="R273:R276" si="126">IF(P$12=0,0,P273/P$12)</f>
        <v>4.9909486765577094E-3</v>
      </c>
      <c r="S273" s="1"/>
      <c r="T273" s="1">
        <f>SUM(OSRRefT22_19x_0)</f>
        <v>381769.01</v>
      </c>
      <c r="U273" s="1"/>
      <c r="V273" s="5">
        <f t="shared" ref="V273:V276" si="127">IF(T$12=0,0,T273/T$12)</f>
        <v>1.3610948463275834E-2</v>
      </c>
      <c r="W273" s="1"/>
      <c r="X273" s="1">
        <f t="shared" ref="X273:X276" si="128">+P273-T273</f>
        <v>-332796.38</v>
      </c>
      <c r="Y273" s="1"/>
      <c r="Z273" s="5">
        <f t="shared" ref="Z273:Z276" si="129">IF(T273=0,0,X273/T273)</f>
        <v>-0.87172182990966185</v>
      </c>
    </row>
    <row r="274" spans="1:26" s="23" customFormat="1" hidden="1" outlineLevel="2" x14ac:dyDescent="0.25">
      <c r="A274" s="27"/>
      <c r="B274" s="10" t="str">
        <f>CONCATENATE("          ", "6253", " - ", "ROYALTY DUE ATHLETICS-LRG")</f>
        <v xml:space="preserve">          6253 - ROYALTY DUE ATHLETICS-LRG</v>
      </c>
      <c r="C274" s="10"/>
      <c r="D274" s="6"/>
      <c r="E274" s="2"/>
      <c r="F274" s="7">
        <f t="shared" si="122"/>
        <v>0</v>
      </c>
      <c r="G274" s="2"/>
      <c r="H274" s="6"/>
      <c r="I274" s="2"/>
      <c r="J274" s="7">
        <f t="shared" si="123"/>
        <v>0</v>
      </c>
      <c r="K274" s="2"/>
      <c r="L274" s="6">
        <f t="shared" si="124"/>
        <v>0</v>
      </c>
      <c r="M274" s="2"/>
      <c r="N274" s="7">
        <f t="shared" si="125"/>
        <v>0</v>
      </c>
      <c r="O274" s="10"/>
      <c r="P274" s="6">
        <v>35159.06</v>
      </c>
      <c r="Q274" s="2"/>
      <c r="R274" s="7">
        <f t="shared" si="126"/>
        <v>3.583166025104494E-3</v>
      </c>
      <c r="S274" s="2"/>
      <c r="T274" s="6">
        <v>32870.44</v>
      </c>
      <c r="U274" s="2"/>
      <c r="V274" s="7">
        <f t="shared" si="127"/>
        <v>1.1719072347050918E-3</v>
      </c>
      <c r="W274" s="2"/>
      <c r="X274" s="6">
        <f t="shared" si="128"/>
        <v>2288.6199999999953</v>
      </c>
      <c r="Y274" s="2"/>
      <c r="Z274" s="7">
        <f t="shared" si="129"/>
        <v>6.962547504688088E-2</v>
      </c>
    </row>
    <row r="275" spans="1:26" s="23" customFormat="1" hidden="1" outlineLevel="2" x14ac:dyDescent="0.25">
      <c r="A275" s="27"/>
      <c r="B275" s="10" t="str">
        <f>CONCATENATE("          ", "6254", " - ", "ROYALTY &amp; COMMISSIONS")</f>
        <v xml:space="preserve">          6254 - ROYALTY &amp; COMMISSIONS</v>
      </c>
      <c r="C275" s="10"/>
      <c r="D275" s="6"/>
      <c r="E275" s="2"/>
      <c r="F275" s="7">
        <f t="shared" si="122"/>
        <v>0</v>
      </c>
      <c r="G275" s="2"/>
      <c r="H275" s="6"/>
      <c r="I275" s="2"/>
      <c r="J275" s="7">
        <f t="shared" si="123"/>
        <v>0</v>
      </c>
      <c r="K275" s="2"/>
      <c r="L275" s="6">
        <f t="shared" si="124"/>
        <v>0</v>
      </c>
      <c r="M275" s="2"/>
      <c r="N275" s="7">
        <f t="shared" si="125"/>
        <v>0</v>
      </c>
      <c r="O275" s="10"/>
      <c r="P275" s="6">
        <v>185.7</v>
      </c>
      <c r="Q275" s="2"/>
      <c r="R275" s="7">
        <f t="shared" si="126"/>
        <v>1.8925248026025285E-5</v>
      </c>
      <c r="S275" s="2"/>
      <c r="T275" s="6">
        <v>161620.87</v>
      </c>
      <c r="U275" s="2"/>
      <c r="V275" s="7">
        <f t="shared" si="127"/>
        <v>5.762157939849028E-3</v>
      </c>
      <c r="W275" s="2"/>
      <c r="X275" s="6">
        <f t="shared" si="128"/>
        <v>-161435.16999999998</v>
      </c>
      <c r="Y275" s="2"/>
      <c r="Z275" s="7">
        <f t="shared" si="129"/>
        <v>-0.99885101472353166</v>
      </c>
    </row>
    <row r="276" spans="1:26" s="23" customFormat="1" hidden="1" outlineLevel="2" x14ac:dyDescent="0.25">
      <c r="A276" s="27"/>
      <c r="B276" s="10" t="str">
        <f>CONCATENATE("          ", "6259", " - ", "ROYALTY &amp; COMMISSIONS")</f>
        <v xml:space="preserve">          6259 - ROYALTY &amp; COMMISSIONS</v>
      </c>
      <c r="C276" s="10"/>
      <c r="D276" s="6">
        <v>393.98</v>
      </c>
      <c r="E276" s="2"/>
      <c r="F276" s="7">
        <f t="shared" si="122"/>
        <v>4.8731953094375755E-4</v>
      </c>
      <c r="G276" s="2"/>
      <c r="H276" s="6"/>
      <c r="I276" s="2"/>
      <c r="J276" s="7">
        <f t="shared" si="123"/>
        <v>0</v>
      </c>
      <c r="K276" s="2"/>
      <c r="L276" s="6">
        <f t="shared" si="124"/>
        <v>393.98</v>
      </c>
      <c r="M276" s="2"/>
      <c r="N276" s="7">
        <f t="shared" si="125"/>
        <v>0</v>
      </c>
      <c r="O276" s="10"/>
      <c r="P276" s="6">
        <v>13627.87</v>
      </c>
      <c r="Q276" s="2"/>
      <c r="R276" s="7">
        <f t="shared" si="126"/>
        <v>1.3888574034271902E-3</v>
      </c>
      <c r="S276" s="2"/>
      <c r="T276" s="6">
        <v>187277.7</v>
      </c>
      <c r="U276" s="2"/>
      <c r="V276" s="7">
        <f t="shared" si="127"/>
        <v>6.676883288721713E-3</v>
      </c>
      <c r="W276" s="2"/>
      <c r="X276" s="6">
        <f t="shared" si="128"/>
        <v>-173649.83000000002</v>
      </c>
      <c r="Y276" s="2"/>
      <c r="Z276" s="7">
        <f t="shared" si="129"/>
        <v>-0.92723175263258795</v>
      </c>
    </row>
    <row r="277" spans="1:26" s="26" customFormat="1" outlineLevel="1" collapsed="1" x14ac:dyDescent="0.25">
      <c r="A277" s="25"/>
      <c r="B277" s="12" t="str">
        <f>CONCATENATE("     ","Services                                          ")</f>
        <v xml:space="preserve">     Services                                          </v>
      </c>
      <c r="C277" s="12"/>
      <c r="D277" s="1">
        <f>SUM(OSRRefD22_20x_0)</f>
        <v>25692.670000000002</v>
      </c>
      <c r="E277" s="1"/>
      <c r="F277" s="5">
        <f t="shared" ref="F277:F282" si="130">IF(D$12=0,0,D277/D$12)</f>
        <v>3.1779633212581225E-2</v>
      </c>
      <c r="G277" s="1"/>
      <c r="H277" s="1">
        <f>SUM(OSRRefH22_20x_0)</f>
        <v>17599.589999999997</v>
      </c>
      <c r="I277" s="1"/>
      <c r="J277" s="5">
        <f t="shared" ref="J277:J282" si="131">IF(H$12=0,0,H277/H$12)</f>
        <v>3.4849402126758071E-2</v>
      </c>
      <c r="K277" s="1"/>
      <c r="L277" s="1">
        <f t="shared" ref="L277:L282" si="132">+D277-H277</f>
        <v>8093.0800000000054</v>
      </c>
      <c r="M277" s="1"/>
      <c r="N277" s="5">
        <f t="shared" ref="N277:N282" si="133">IF(H277=0,0,L277/H277)</f>
        <v>0.4598448032028023</v>
      </c>
      <c r="O277" s="12"/>
      <c r="P277" s="1">
        <f>SUM(OSRRefP22_20x_0)</f>
        <v>240549.41</v>
      </c>
      <c r="Q277" s="1"/>
      <c r="R277" s="5">
        <f t="shared" ref="R277:R282" si="134">IF(P$12=0,0,P277/P$12)</f>
        <v>2.4515117106968482E-2</v>
      </c>
      <c r="S277" s="1"/>
      <c r="T277" s="1">
        <f>SUM(OSRRefT22_20x_0)</f>
        <v>468686.82</v>
      </c>
      <c r="U277" s="1"/>
      <c r="V277" s="5">
        <f t="shared" ref="V277:V282" si="135">IF(T$12=0,0,T277/T$12)</f>
        <v>1.6709769481909064E-2</v>
      </c>
      <c r="W277" s="1"/>
      <c r="X277" s="1">
        <f t="shared" ref="X277:X282" si="136">+P277-T277</f>
        <v>-228137.41</v>
      </c>
      <c r="Y277" s="1"/>
      <c r="Z277" s="5">
        <f t="shared" ref="Z277:Z282" si="137">IF(T277=0,0,X277/T277)</f>
        <v>-0.48675874862450796</v>
      </c>
    </row>
    <row r="278" spans="1:26" s="23" customFormat="1" hidden="1" outlineLevel="2" x14ac:dyDescent="0.25">
      <c r="A278" s="27"/>
      <c r="B278" s="10" t="str">
        <f>CONCATENATE("          ", "6282", " - ", "JANITORIAL/EXTERMINATOR EXPENS")</f>
        <v xml:space="preserve">          6282 - JANITORIAL/EXTERMINATOR EXPENS</v>
      </c>
      <c r="C278" s="10"/>
      <c r="D278" s="6">
        <v>2769.65</v>
      </c>
      <c r="E278" s="2"/>
      <c r="F278" s="7">
        <f t="shared" si="130"/>
        <v>3.4258199372515816E-3</v>
      </c>
      <c r="G278" s="2"/>
      <c r="H278" s="6">
        <v>1808.53</v>
      </c>
      <c r="I278" s="2"/>
      <c r="J278" s="7">
        <f t="shared" si="131"/>
        <v>3.5811169026270374E-3</v>
      </c>
      <c r="K278" s="2"/>
      <c r="L278" s="6">
        <f t="shared" si="132"/>
        <v>961.12000000000012</v>
      </c>
      <c r="M278" s="2"/>
      <c r="N278" s="7">
        <f t="shared" si="133"/>
        <v>0.53143713402597692</v>
      </c>
      <c r="O278" s="10"/>
      <c r="P278" s="6">
        <v>36819.56</v>
      </c>
      <c r="Q278" s="2"/>
      <c r="R278" s="7">
        <f t="shared" si="134"/>
        <v>3.7523925967103905E-3</v>
      </c>
      <c r="S278" s="2"/>
      <c r="T278" s="6">
        <v>40080.68</v>
      </c>
      <c r="U278" s="2"/>
      <c r="V278" s="7">
        <f t="shared" si="135"/>
        <v>1.4289689722407023E-3</v>
      </c>
      <c r="W278" s="2"/>
      <c r="X278" s="6">
        <f t="shared" si="136"/>
        <v>-3261.1200000000026</v>
      </c>
      <c r="Y278" s="2"/>
      <c r="Z278" s="7">
        <f t="shared" si="137"/>
        <v>-8.1363889035814832E-2</v>
      </c>
    </row>
    <row r="279" spans="1:26" s="23" customFormat="1" hidden="1" outlineLevel="2" x14ac:dyDescent="0.25">
      <c r="A279" s="27"/>
      <c r="B279" s="10" t="str">
        <f>CONCATENATE("          ", "6283", " - ", "PLANT SERVICE")</f>
        <v xml:space="preserve">          6283 - PLANT SERVICE</v>
      </c>
      <c r="C279" s="10"/>
      <c r="D279" s="6"/>
      <c r="E279" s="2"/>
      <c r="F279" s="7">
        <f t="shared" si="130"/>
        <v>0</v>
      </c>
      <c r="G279" s="2"/>
      <c r="H279" s="6"/>
      <c r="I279" s="2"/>
      <c r="J279" s="7">
        <f t="shared" si="131"/>
        <v>0</v>
      </c>
      <c r="K279" s="2"/>
      <c r="L279" s="6">
        <f t="shared" si="132"/>
        <v>0</v>
      </c>
      <c r="M279" s="2"/>
      <c r="N279" s="7">
        <f t="shared" si="133"/>
        <v>0</v>
      </c>
      <c r="O279" s="10"/>
      <c r="P279" s="6">
        <v>171.31</v>
      </c>
      <c r="Q279" s="2"/>
      <c r="R279" s="7">
        <f t="shared" si="134"/>
        <v>1.7458719651795324E-5</v>
      </c>
      <c r="S279" s="2"/>
      <c r="T279" s="6">
        <v>2340</v>
      </c>
      <c r="U279" s="2"/>
      <c r="V279" s="7">
        <f t="shared" si="135"/>
        <v>8.3426413799447599E-5</v>
      </c>
      <c r="W279" s="2"/>
      <c r="X279" s="6">
        <f t="shared" si="136"/>
        <v>-2168.69</v>
      </c>
      <c r="Y279" s="2"/>
      <c r="Z279" s="7">
        <f t="shared" si="137"/>
        <v>-0.92679059829059829</v>
      </c>
    </row>
    <row r="280" spans="1:26" s="23" customFormat="1" hidden="1" outlineLevel="2" x14ac:dyDescent="0.25">
      <c r="A280" s="27"/>
      <c r="B280" s="10" t="str">
        <f>CONCATENATE("          ", "6284", " - ", "TRASH REMOVAL EXPENSE")</f>
        <v xml:space="preserve">          6284 - TRASH REMOVAL EXPENSE</v>
      </c>
      <c r="C280" s="10"/>
      <c r="D280" s="6">
        <v>5561.57</v>
      </c>
      <c r="E280" s="2"/>
      <c r="F280" s="7">
        <f t="shared" si="130"/>
        <v>6.8791859579442442E-3</v>
      </c>
      <c r="G280" s="2"/>
      <c r="H280" s="6">
        <v>5553.82</v>
      </c>
      <c r="I280" s="2"/>
      <c r="J280" s="7">
        <f t="shared" si="131"/>
        <v>1.0997262238474392E-2</v>
      </c>
      <c r="K280" s="2"/>
      <c r="L280" s="6">
        <f t="shared" si="132"/>
        <v>7.75</v>
      </c>
      <c r="M280" s="2"/>
      <c r="N280" s="7">
        <f t="shared" si="133"/>
        <v>1.3954359341858398E-3</v>
      </c>
      <c r="O280" s="10"/>
      <c r="P280" s="6">
        <v>34461.040000000001</v>
      </c>
      <c r="Q280" s="2"/>
      <c r="R280" s="7">
        <f t="shared" si="134"/>
        <v>3.512028698087121E-3</v>
      </c>
      <c r="S280" s="2"/>
      <c r="T280" s="6">
        <v>53202.02</v>
      </c>
      <c r="U280" s="2"/>
      <c r="V280" s="7">
        <f t="shared" si="135"/>
        <v>1.8967751006352509E-3</v>
      </c>
      <c r="W280" s="2"/>
      <c r="X280" s="6">
        <f t="shared" si="136"/>
        <v>-18740.979999999996</v>
      </c>
      <c r="Y280" s="2"/>
      <c r="Z280" s="7">
        <f t="shared" si="137"/>
        <v>-0.3522606848386583</v>
      </c>
    </row>
    <row r="281" spans="1:26" s="23" customFormat="1" hidden="1" outlineLevel="2" x14ac:dyDescent="0.25">
      <c r="A281" s="27"/>
      <c r="B281" s="10" t="str">
        <f>CONCATENATE("          ", "6285", " - ", "JANITORIAL SERVICES")</f>
        <v xml:space="preserve">          6285 - JANITORIAL SERVICES</v>
      </c>
      <c r="C281" s="10"/>
      <c r="D281" s="6">
        <v>16146.46</v>
      </c>
      <c r="E281" s="2"/>
      <c r="F281" s="7">
        <f t="shared" si="130"/>
        <v>1.9971788704000567E-2</v>
      </c>
      <c r="G281" s="2"/>
      <c r="H281" s="6">
        <v>10107.709999999999</v>
      </c>
      <c r="I281" s="2"/>
      <c r="J281" s="7">
        <f t="shared" si="131"/>
        <v>2.0014537291530871E-2</v>
      </c>
      <c r="K281" s="2"/>
      <c r="L281" s="6">
        <f t="shared" si="132"/>
        <v>6038.75</v>
      </c>
      <c r="M281" s="2"/>
      <c r="N281" s="7">
        <f t="shared" si="133"/>
        <v>0.59743997403961935</v>
      </c>
      <c r="O281" s="10"/>
      <c r="P281" s="6">
        <v>152390.13</v>
      </c>
      <c r="Q281" s="2"/>
      <c r="R281" s="7">
        <f t="shared" si="134"/>
        <v>1.5530538540485927E-2</v>
      </c>
      <c r="S281" s="2"/>
      <c r="T281" s="6">
        <v>298328.34999999998</v>
      </c>
      <c r="U281" s="2"/>
      <c r="V281" s="7">
        <f t="shared" si="135"/>
        <v>1.0636095886840355E-2</v>
      </c>
      <c r="W281" s="2"/>
      <c r="X281" s="6">
        <f t="shared" si="136"/>
        <v>-145938.21999999997</v>
      </c>
      <c r="Y281" s="2"/>
      <c r="Z281" s="7">
        <f t="shared" si="137"/>
        <v>-0.48918656239006447</v>
      </c>
    </row>
    <row r="282" spans="1:26" s="23" customFormat="1" hidden="1" outlineLevel="2" x14ac:dyDescent="0.25">
      <c r="A282" s="27"/>
      <c r="B282" s="10" t="str">
        <f>CONCATENATE("          ", "6286", " - ", "LAUNDRY EXPENSE")</f>
        <v xml:space="preserve">          6286 - LAUNDRY EXPENSE</v>
      </c>
      <c r="C282" s="10"/>
      <c r="D282" s="6">
        <v>1214.99</v>
      </c>
      <c r="E282" s="2"/>
      <c r="F282" s="7">
        <f t="shared" si="130"/>
        <v>1.5028386133848317E-3</v>
      </c>
      <c r="G282" s="2"/>
      <c r="H282" s="6">
        <v>129.53</v>
      </c>
      <c r="I282" s="2"/>
      <c r="J282" s="7">
        <f t="shared" si="131"/>
        <v>2.5648569412577073E-4</v>
      </c>
      <c r="K282" s="2"/>
      <c r="L282" s="6">
        <f t="shared" si="132"/>
        <v>1085.46</v>
      </c>
      <c r="M282" s="2"/>
      <c r="N282" s="7">
        <f t="shared" si="133"/>
        <v>8.3799891916930438</v>
      </c>
      <c r="O282" s="10"/>
      <c r="P282" s="6">
        <v>16707.37</v>
      </c>
      <c r="Q282" s="2"/>
      <c r="R282" s="7">
        <f t="shared" si="134"/>
        <v>1.7026985520332473E-3</v>
      </c>
      <c r="S282" s="2"/>
      <c r="T282" s="6">
        <v>74735.77</v>
      </c>
      <c r="U282" s="2"/>
      <c r="V282" s="7">
        <f t="shared" si="135"/>
        <v>2.6645031083933086E-3</v>
      </c>
      <c r="W282" s="2"/>
      <c r="X282" s="6">
        <f t="shared" si="136"/>
        <v>-58028.400000000009</v>
      </c>
      <c r="Y282" s="2"/>
      <c r="Z282" s="7">
        <f t="shared" si="137"/>
        <v>-0.77644747622189492</v>
      </c>
    </row>
    <row r="283" spans="1:26" s="26" customFormat="1" outlineLevel="1" collapsed="1" x14ac:dyDescent="0.25">
      <c r="A283" s="25"/>
      <c r="B283" s="12" t="str">
        <f>CONCATENATE("     ","Subscriptions &amp; Dues                              ")</f>
        <v xml:space="preserve">     Subscriptions &amp; Dues                              </v>
      </c>
      <c r="C283" s="12"/>
      <c r="D283" s="1">
        <f>SUM(OSRRefD22_21x_0)</f>
        <v>743.39</v>
      </c>
      <c r="E283" s="1"/>
      <c r="F283" s="5">
        <f t="shared" ref="F283:F285" si="138">IF(D$12=0,0,D283/D$12)</f>
        <v>9.1950978757368367E-4</v>
      </c>
      <c r="G283" s="1"/>
      <c r="H283" s="1">
        <f>SUM(OSRRefH22_21x_0)</f>
        <v>1175</v>
      </c>
      <c r="I283" s="1"/>
      <c r="J283" s="5">
        <f t="shared" ref="J283:J285" si="139">IF(H$12=0,0,H283/H$12)</f>
        <v>2.3266478082126195E-3</v>
      </c>
      <c r="K283" s="1"/>
      <c r="L283" s="1">
        <f t="shared" ref="L283:L285" si="140">+D283-H283</f>
        <v>-431.61</v>
      </c>
      <c r="M283" s="1"/>
      <c r="N283" s="5">
        <f t="shared" ref="N283:N285" si="141">IF(H283=0,0,L283/H283)</f>
        <v>-0.36732765957446811</v>
      </c>
      <c r="O283" s="12"/>
      <c r="P283" s="1">
        <f>SUM(OSRRefP22_21x_0)</f>
        <v>9274.5999999999985</v>
      </c>
      <c r="Q283" s="1"/>
      <c r="R283" s="5">
        <f t="shared" ref="R283:R285" si="142">IF(P$12=0,0,P283/P$12)</f>
        <v>9.4520250588138975E-4</v>
      </c>
      <c r="S283" s="1"/>
      <c r="T283" s="1">
        <f>SUM(OSRRefT22_21x_0)</f>
        <v>12924.099999999999</v>
      </c>
      <c r="U283" s="1"/>
      <c r="V283" s="5">
        <f t="shared" ref="V283:V285" si="143">IF(T$12=0,0,T283/T$12)</f>
        <v>4.6077406606215412E-4</v>
      </c>
      <c r="W283" s="1"/>
      <c r="X283" s="1">
        <f t="shared" ref="X283:X285" si="144">+P283-T283</f>
        <v>-3649.5</v>
      </c>
      <c r="Y283" s="1"/>
      <c r="Z283" s="5">
        <f t="shared" ref="Z283:Z285" si="145">IF(T283=0,0,X283/T283)</f>
        <v>-0.28237943067602389</v>
      </c>
    </row>
    <row r="284" spans="1:26" s="23" customFormat="1" hidden="1" outlineLevel="2" x14ac:dyDescent="0.25">
      <c r="A284" s="27"/>
      <c r="B284" s="10" t="str">
        <f>CONCATENATE("          ", "6258", " - ", "MEMBERSHIP DUES")</f>
        <v xml:space="preserve">          6258 - MEMBERSHIP DUES</v>
      </c>
      <c r="C284" s="10"/>
      <c r="D284" s="6">
        <v>611.22</v>
      </c>
      <c r="E284" s="2"/>
      <c r="F284" s="7">
        <f t="shared" si="138"/>
        <v>7.5602681279111504E-4</v>
      </c>
      <c r="G284" s="2"/>
      <c r="H284" s="6">
        <v>1175</v>
      </c>
      <c r="I284" s="2"/>
      <c r="J284" s="7">
        <f t="shared" si="139"/>
        <v>2.3266478082126195E-3</v>
      </c>
      <c r="K284" s="2"/>
      <c r="L284" s="6">
        <f t="shared" si="140"/>
        <v>-563.78</v>
      </c>
      <c r="M284" s="2"/>
      <c r="N284" s="7">
        <f t="shared" si="141"/>
        <v>-0.47981276595744676</v>
      </c>
      <c r="O284" s="10"/>
      <c r="P284" s="6">
        <v>3841.45</v>
      </c>
      <c r="Q284" s="2"/>
      <c r="R284" s="7">
        <f t="shared" si="142"/>
        <v>3.9149377506502331E-4</v>
      </c>
      <c r="S284" s="2"/>
      <c r="T284" s="6">
        <v>5149.91</v>
      </c>
      <c r="U284" s="2"/>
      <c r="V284" s="7">
        <f t="shared" si="143"/>
        <v>1.8360620627774066E-4</v>
      </c>
      <c r="W284" s="2"/>
      <c r="X284" s="6">
        <f t="shared" si="144"/>
        <v>-1308.46</v>
      </c>
      <c r="Y284" s="2"/>
      <c r="Z284" s="7">
        <f t="shared" si="145"/>
        <v>-0.25407434304677168</v>
      </c>
    </row>
    <row r="285" spans="1:26" s="23" customFormat="1" hidden="1" outlineLevel="2" x14ac:dyDescent="0.25">
      <c r="A285" s="27"/>
      <c r="B285" s="10" t="str">
        <f>CONCATENATE("          ", "6275", " - ", "SUBSCRIPTIONS")</f>
        <v xml:space="preserve">          6275 - SUBSCRIPTIONS</v>
      </c>
      <c r="C285" s="10"/>
      <c r="D285" s="6">
        <v>132.16999999999999</v>
      </c>
      <c r="E285" s="2"/>
      <c r="F285" s="7">
        <f t="shared" si="138"/>
        <v>1.6348297478256871E-4</v>
      </c>
      <c r="G285" s="2"/>
      <c r="H285" s="6"/>
      <c r="I285" s="2"/>
      <c r="J285" s="7">
        <f t="shared" si="139"/>
        <v>0</v>
      </c>
      <c r="K285" s="2"/>
      <c r="L285" s="6">
        <f t="shared" si="140"/>
        <v>132.16999999999999</v>
      </c>
      <c r="M285" s="2"/>
      <c r="N285" s="7">
        <f t="shared" si="141"/>
        <v>0</v>
      </c>
      <c r="O285" s="10"/>
      <c r="P285" s="6">
        <v>5433.15</v>
      </c>
      <c r="Q285" s="2"/>
      <c r="R285" s="7">
        <f t="shared" si="142"/>
        <v>5.537087308163666E-4</v>
      </c>
      <c r="S285" s="2"/>
      <c r="T285" s="6">
        <v>7774.19</v>
      </c>
      <c r="U285" s="2"/>
      <c r="V285" s="7">
        <f t="shared" si="143"/>
        <v>2.7716785978441346E-4</v>
      </c>
      <c r="W285" s="2"/>
      <c r="X285" s="6">
        <f t="shared" si="144"/>
        <v>-2341.04</v>
      </c>
      <c r="Y285" s="2"/>
      <c r="Z285" s="7">
        <f t="shared" si="145"/>
        <v>-0.30112976400113711</v>
      </c>
    </row>
    <row r="286" spans="1:26" s="26" customFormat="1" outlineLevel="1" collapsed="1" x14ac:dyDescent="0.25">
      <c r="A286" s="25"/>
      <c r="B286" s="12" t="str">
        <f>CONCATENATE("     ","Supplies                                          ")</f>
        <v xml:space="preserve">     Supplies                                          </v>
      </c>
      <c r="C286" s="12"/>
      <c r="D286" s="1">
        <f>SUM(OSRRefD22_22x_0)</f>
        <v>24464.99</v>
      </c>
      <c r="E286" s="1"/>
      <c r="F286" s="5">
        <f t="shared" ref="F286:F296" si="146">IF(D$12=0,0,D286/D$12)</f>
        <v>3.0261098155601095E-2</v>
      </c>
      <c r="G286" s="1"/>
      <c r="H286" s="1">
        <f>SUM(OSRRefH22_22x_0)</f>
        <v>9861.0399999999991</v>
      </c>
      <c r="I286" s="1"/>
      <c r="J286" s="5">
        <f t="shared" ref="J286:J296" si="147">IF(H$12=0,0,H286/H$12)</f>
        <v>1.9526099661869759E-2</v>
      </c>
      <c r="K286" s="1"/>
      <c r="L286" s="1">
        <f t="shared" ref="L286:L296" si="148">+D286-H286</f>
        <v>14603.950000000003</v>
      </c>
      <c r="M286" s="1"/>
      <c r="N286" s="5">
        <f t="shared" ref="N286:N296" si="149">IF(H286=0,0,L286/H286)</f>
        <v>1.4809746233662984</v>
      </c>
      <c r="O286" s="12"/>
      <c r="P286" s="1">
        <f>SUM(OSRRefP22_22x_0)</f>
        <v>298361.87000000005</v>
      </c>
      <c r="Q286" s="1"/>
      <c r="R286" s="5">
        <f t="shared" ref="R286:R296" si="150">IF(P$12=0,0,P286/P$12)</f>
        <v>3.0406959565205782E-2</v>
      </c>
      <c r="S286" s="1"/>
      <c r="T286" s="1">
        <f>SUM(OSRRefT22_22x_0)</f>
        <v>532810.6100000001</v>
      </c>
      <c r="U286" s="1"/>
      <c r="V286" s="5">
        <f t="shared" ref="V286:V296" si="151">IF(T$12=0,0,T286/T$12)</f>
        <v>1.8995930951536795E-2</v>
      </c>
      <c r="W286" s="1"/>
      <c r="X286" s="1">
        <f t="shared" ref="X286:X296" si="152">+P286-T286</f>
        <v>-234448.74000000005</v>
      </c>
      <c r="Y286" s="1"/>
      <c r="Z286" s="5">
        <f t="shared" ref="Z286:Z296" si="153">IF(T286=0,0,X286/T286)</f>
        <v>-0.44002265645573385</v>
      </c>
    </row>
    <row r="287" spans="1:26" s="23" customFormat="1" hidden="1" outlineLevel="2" x14ac:dyDescent="0.25">
      <c r="A287" s="27"/>
      <c r="B287" s="10" t="str">
        <f>CONCATENATE("          ", "6234", " - ", "EXPENDABLE SUPPLIES &amp; EQUIPMEN")</f>
        <v xml:space="preserve">          6234 - EXPENDABLE SUPPLIES &amp; EQUIPMEN</v>
      </c>
      <c r="C287" s="10"/>
      <c r="D287" s="6"/>
      <c r="E287" s="2"/>
      <c r="F287" s="7">
        <f t="shared" si="146"/>
        <v>0</v>
      </c>
      <c r="G287" s="2"/>
      <c r="H287" s="6">
        <v>700.76</v>
      </c>
      <c r="I287" s="2"/>
      <c r="J287" s="7">
        <f t="shared" si="147"/>
        <v>1.387592951560064E-3</v>
      </c>
      <c r="K287" s="2"/>
      <c r="L287" s="6">
        <f t="shared" si="148"/>
        <v>-700.76</v>
      </c>
      <c r="M287" s="2"/>
      <c r="N287" s="7">
        <f t="shared" si="149"/>
        <v>-1</v>
      </c>
      <c r="O287" s="10"/>
      <c r="P287" s="6">
        <v>2387.48</v>
      </c>
      <c r="Q287" s="2"/>
      <c r="R287" s="7">
        <f t="shared" si="150"/>
        <v>2.4331529971553499E-4</v>
      </c>
      <c r="S287" s="2"/>
      <c r="T287" s="6">
        <v>20453.12</v>
      </c>
      <c r="U287" s="2"/>
      <c r="V287" s="7">
        <f t="shared" si="151"/>
        <v>7.2920104812382802E-4</v>
      </c>
      <c r="W287" s="2"/>
      <c r="X287" s="6">
        <f t="shared" si="152"/>
        <v>-18065.64</v>
      </c>
      <c r="Y287" s="2"/>
      <c r="Z287" s="7">
        <f t="shared" si="153"/>
        <v>-0.88327062081481944</v>
      </c>
    </row>
    <row r="288" spans="1:26" s="23" customFormat="1" hidden="1" outlineLevel="2" x14ac:dyDescent="0.25">
      <c r="A288" s="27"/>
      <c r="B288" s="10" t="str">
        <f>CONCATENATE("          ", "6235", " - ", "COVID-19 EXPENSES")</f>
        <v xml:space="preserve">          6235 - COVID-19 EXPENSES</v>
      </c>
      <c r="C288" s="10"/>
      <c r="D288" s="6">
        <v>5849.47</v>
      </c>
      <c r="E288" s="2"/>
      <c r="F288" s="7">
        <f t="shared" si="146"/>
        <v>7.2352936105121619E-3</v>
      </c>
      <c r="G288" s="2"/>
      <c r="H288" s="6">
        <v>3501.11</v>
      </c>
      <c r="I288" s="2"/>
      <c r="J288" s="7">
        <f t="shared" si="147"/>
        <v>6.9326382194138591E-3</v>
      </c>
      <c r="K288" s="2"/>
      <c r="L288" s="6">
        <f t="shared" si="148"/>
        <v>2348.36</v>
      </c>
      <c r="M288" s="2"/>
      <c r="N288" s="7">
        <f t="shared" si="149"/>
        <v>0.67074727729205885</v>
      </c>
      <c r="O288" s="10"/>
      <c r="P288" s="6">
        <v>111232.71</v>
      </c>
      <c r="Q288" s="2"/>
      <c r="R288" s="7">
        <f t="shared" si="150"/>
        <v>1.1336061525885531E-2</v>
      </c>
      <c r="S288" s="2"/>
      <c r="T288" s="6">
        <v>3501.11</v>
      </c>
      <c r="U288" s="2"/>
      <c r="V288" s="7">
        <f t="shared" si="151"/>
        <v>1.2482267163136068E-4</v>
      </c>
      <c r="W288" s="2"/>
      <c r="X288" s="6">
        <f t="shared" si="152"/>
        <v>107731.6</v>
      </c>
      <c r="Y288" s="2"/>
      <c r="Z288" s="7">
        <f t="shared" si="153"/>
        <v>30.770698435638984</v>
      </c>
    </row>
    <row r="289" spans="1:26" s="23" customFormat="1" hidden="1" outlineLevel="2" x14ac:dyDescent="0.25">
      <c r="A289" s="27"/>
      <c r="B289" s="10" t="str">
        <f>CONCATENATE("          ", "6237", " - ", "JANITORIAL SUPPLIES")</f>
        <v xml:space="preserve">          6237 - JANITORIAL SUPPLIES</v>
      </c>
      <c r="C289" s="10"/>
      <c r="D289" s="6">
        <v>1785.74</v>
      </c>
      <c r="E289" s="2"/>
      <c r="F289" s="7">
        <f t="shared" si="146"/>
        <v>2.2088075008566566E-3</v>
      </c>
      <c r="G289" s="2"/>
      <c r="H289" s="6">
        <v>1123.01</v>
      </c>
      <c r="I289" s="2"/>
      <c r="J289" s="7">
        <f t="shared" si="147"/>
        <v>2.2237010681709396E-3</v>
      </c>
      <c r="K289" s="2"/>
      <c r="L289" s="6">
        <f t="shared" si="148"/>
        <v>662.73</v>
      </c>
      <c r="M289" s="2"/>
      <c r="N289" s="7">
        <f t="shared" si="149"/>
        <v>0.59013722050560546</v>
      </c>
      <c r="O289" s="10"/>
      <c r="P289" s="6">
        <v>27693.49</v>
      </c>
      <c r="Q289" s="2"/>
      <c r="R289" s="7">
        <f t="shared" si="150"/>
        <v>2.8223272318591867E-3</v>
      </c>
      <c r="S289" s="2"/>
      <c r="T289" s="6">
        <v>132411.94</v>
      </c>
      <c r="U289" s="2"/>
      <c r="V289" s="7">
        <f t="shared" si="151"/>
        <v>4.7207920078750545E-3</v>
      </c>
      <c r="W289" s="2"/>
      <c r="X289" s="6">
        <f t="shared" si="152"/>
        <v>-104718.45</v>
      </c>
      <c r="Y289" s="2"/>
      <c r="Z289" s="7">
        <f t="shared" si="153"/>
        <v>-0.79085352876787396</v>
      </c>
    </row>
    <row r="290" spans="1:26" s="23" customFormat="1" hidden="1" outlineLevel="2" x14ac:dyDescent="0.25">
      <c r="A290" s="27"/>
      <c r="B290" s="10" t="str">
        <f>CONCATENATE("          ", "6239", " - ", "KITCHEN SUPPLIES")</f>
        <v xml:space="preserve">          6239 - KITCHEN SUPPLIES</v>
      </c>
      <c r="C290" s="10"/>
      <c r="D290" s="6">
        <v>618.89</v>
      </c>
      <c r="E290" s="2"/>
      <c r="F290" s="7">
        <f t="shared" si="146"/>
        <v>7.6551394615407403E-4</v>
      </c>
      <c r="G290" s="2"/>
      <c r="H290" s="6">
        <v>50</v>
      </c>
      <c r="I290" s="2"/>
      <c r="J290" s="7">
        <f t="shared" si="147"/>
        <v>9.9006289711175304E-5</v>
      </c>
      <c r="K290" s="2"/>
      <c r="L290" s="6">
        <f t="shared" si="148"/>
        <v>568.89</v>
      </c>
      <c r="M290" s="2"/>
      <c r="N290" s="7">
        <f t="shared" si="149"/>
        <v>11.377800000000001</v>
      </c>
      <c r="O290" s="10"/>
      <c r="P290" s="6">
        <v>7886.1</v>
      </c>
      <c r="Q290" s="2"/>
      <c r="R290" s="7">
        <f t="shared" si="150"/>
        <v>8.0369627602605283E-4</v>
      </c>
      <c r="S290" s="2"/>
      <c r="T290" s="6">
        <v>72815.33</v>
      </c>
      <c r="U290" s="2"/>
      <c r="V290" s="7">
        <f t="shared" si="151"/>
        <v>2.5960349792834747E-3</v>
      </c>
      <c r="W290" s="2"/>
      <c r="X290" s="6">
        <f t="shared" si="152"/>
        <v>-64929.23</v>
      </c>
      <c r="Y290" s="2"/>
      <c r="Z290" s="7">
        <f t="shared" si="153"/>
        <v>-0.89169725660791488</v>
      </c>
    </row>
    <row r="291" spans="1:26" s="23" customFormat="1" hidden="1" outlineLevel="2" x14ac:dyDescent="0.25">
      <c r="A291" s="27"/>
      <c r="B291" s="10" t="str">
        <f>CONCATENATE("          ", "6241", " - ", "OFFICE EXPENSE")</f>
        <v xml:space="preserve">          6241 - OFFICE EXPENSE</v>
      </c>
      <c r="C291" s="10"/>
      <c r="D291" s="6">
        <v>6122.59</v>
      </c>
      <c r="E291" s="2"/>
      <c r="F291" s="7">
        <f t="shared" si="146"/>
        <v>7.5731196684119513E-3</v>
      </c>
      <c r="G291" s="2"/>
      <c r="H291" s="6">
        <v>1542.51</v>
      </c>
      <c r="I291" s="2"/>
      <c r="J291" s="7">
        <f t="shared" si="147"/>
        <v>3.0543638388477001E-3</v>
      </c>
      <c r="K291" s="2"/>
      <c r="L291" s="6">
        <f t="shared" si="148"/>
        <v>4580.08</v>
      </c>
      <c r="M291" s="2"/>
      <c r="N291" s="7">
        <f t="shared" si="149"/>
        <v>2.9692384490214003</v>
      </c>
      <c r="O291" s="10"/>
      <c r="P291" s="6">
        <v>42551.19</v>
      </c>
      <c r="Q291" s="2"/>
      <c r="R291" s="7">
        <f t="shared" si="150"/>
        <v>4.3365203260771505E-3</v>
      </c>
      <c r="S291" s="2"/>
      <c r="T291" s="6">
        <v>98605.6</v>
      </c>
      <c r="U291" s="2"/>
      <c r="V291" s="7">
        <f t="shared" si="151"/>
        <v>3.5155177728815432E-3</v>
      </c>
      <c r="W291" s="2"/>
      <c r="X291" s="6">
        <f t="shared" si="152"/>
        <v>-56054.41</v>
      </c>
      <c r="Y291" s="2"/>
      <c r="Z291" s="7">
        <f t="shared" si="153"/>
        <v>-0.56847085763891703</v>
      </c>
    </row>
    <row r="292" spans="1:26" s="23" customFormat="1" hidden="1" outlineLevel="2" x14ac:dyDescent="0.25">
      <c r="A292" s="27"/>
      <c r="B292" s="10" t="str">
        <f>CONCATENATE("          ", "6243", " - ", "PAPER SUPPLIES")</f>
        <v xml:space="preserve">          6243 - PAPER SUPPLIES</v>
      </c>
      <c r="C292" s="10"/>
      <c r="D292" s="6">
        <v>3342.95</v>
      </c>
      <c r="E292" s="2"/>
      <c r="F292" s="7">
        <f t="shared" si="146"/>
        <v>4.1349429564151328E-3</v>
      </c>
      <c r="G292" s="2"/>
      <c r="H292" s="6">
        <v>1312.96</v>
      </c>
      <c r="I292" s="2"/>
      <c r="J292" s="7">
        <f t="shared" si="147"/>
        <v>2.5998259627836944E-3</v>
      </c>
      <c r="K292" s="2"/>
      <c r="L292" s="6">
        <f t="shared" si="148"/>
        <v>2029.9899999999998</v>
      </c>
      <c r="M292" s="2"/>
      <c r="N292" s="7">
        <f t="shared" si="149"/>
        <v>1.5461171703631487</v>
      </c>
      <c r="O292" s="10"/>
      <c r="P292" s="6">
        <v>45656.78</v>
      </c>
      <c r="Q292" s="2"/>
      <c r="R292" s="7">
        <f t="shared" si="150"/>
        <v>4.6530203854047965E-3</v>
      </c>
      <c r="S292" s="2"/>
      <c r="T292" s="6">
        <v>112012.53</v>
      </c>
      <c r="U292" s="2"/>
      <c r="V292" s="7">
        <f t="shared" si="151"/>
        <v>3.9935058455141193E-3</v>
      </c>
      <c r="W292" s="2"/>
      <c r="X292" s="6">
        <f t="shared" si="152"/>
        <v>-66355.75</v>
      </c>
      <c r="Y292" s="2"/>
      <c r="Z292" s="7">
        <f t="shared" si="153"/>
        <v>-0.59239577929362008</v>
      </c>
    </row>
    <row r="293" spans="1:26" s="23" customFormat="1" hidden="1" outlineLevel="2" x14ac:dyDescent="0.25">
      <c r="A293" s="27"/>
      <c r="B293" s="10" t="str">
        <f>CONCATENATE("          ", "6245", " - ", "PRINTING")</f>
        <v xml:space="preserve">          6245 - PRINTING</v>
      </c>
      <c r="C293" s="10"/>
      <c r="D293" s="6">
        <v>5963.79</v>
      </c>
      <c r="E293" s="2"/>
      <c r="F293" s="7">
        <f t="shared" si="146"/>
        <v>7.3766976634526416E-3</v>
      </c>
      <c r="G293" s="2"/>
      <c r="H293" s="6">
        <v>66.150000000000006</v>
      </c>
      <c r="I293" s="2"/>
      <c r="J293" s="7">
        <f t="shared" si="147"/>
        <v>1.3098532128788494E-4</v>
      </c>
      <c r="K293" s="2"/>
      <c r="L293" s="6">
        <f t="shared" si="148"/>
        <v>5897.64</v>
      </c>
      <c r="M293" s="2"/>
      <c r="N293" s="7">
        <f t="shared" si="149"/>
        <v>89.155555555555551</v>
      </c>
      <c r="O293" s="10"/>
      <c r="P293" s="6">
        <v>9084.3799999999992</v>
      </c>
      <c r="Q293" s="2"/>
      <c r="R293" s="7">
        <f t="shared" si="150"/>
        <v>9.258166109998038E-4</v>
      </c>
      <c r="S293" s="2"/>
      <c r="T293" s="6">
        <v>12795.58</v>
      </c>
      <c r="U293" s="2"/>
      <c r="V293" s="7">
        <f t="shared" si="151"/>
        <v>4.5619203071963063E-4</v>
      </c>
      <c r="W293" s="2"/>
      <c r="X293" s="6">
        <f t="shared" si="152"/>
        <v>-3711.2000000000007</v>
      </c>
      <c r="Y293" s="2"/>
      <c r="Z293" s="7">
        <f t="shared" si="153"/>
        <v>-0.29003765362726824</v>
      </c>
    </row>
    <row r="294" spans="1:26" s="23" customFormat="1" hidden="1" outlineLevel="2" x14ac:dyDescent="0.25">
      <c r="A294" s="27"/>
      <c r="B294" s="10" t="str">
        <f>CONCATENATE("          ", "6246", " - ", "REPLACEMENTS")</f>
        <v xml:space="preserve">          6246 - REPLACEMENTS</v>
      </c>
      <c r="C294" s="10"/>
      <c r="D294" s="6"/>
      <c r="E294" s="2"/>
      <c r="F294" s="7">
        <f t="shared" si="146"/>
        <v>0</v>
      </c>
      <c r="G294" s="2"/>
      <c r="H294" s="6"/>
      <c r="I294" s="2"/>
      <c r="J294" s="7">
        <f t="shared" si="147"/>
        <v>0</v>
      </c>
      <c r="K294" s="2"/>
      <c r="L294" s="6">
        <f t="shared" si="148"/>
        <v>0</v>
      </c>
      <c r="M294" s="2"/>
      <c r="N294" s="7">
        <f t="shared" si="149"/>
        <v>0</v>
      </c>
      <c r="O294" s="10"/>
      <c r="P294" s="6"/>
      <c r="Q294" s="2"/>
      <c r="R294" s="7">
        <f t="shared" si="150"/>
        <v>0</v>
      </c>
      <c r="S294" s="2"/>
      <c r="T294" s="6">
        <v>25.87</v>
      </c>
      <c r="U294" s="2"/>
      <c r="V294" s="7">
        <f t="shared" si="151"/>
        <v>9.2232535256055963E-7</v>
      </c>
      <c r="W294" s="2"/>
      <c r="X294" s="6">
        <f t="shared" si="152"/>
        <v>-25.87</v>
      </c>
      <c r="Y294" s="2"/>
      <c r="Z294" s="7">
        <f t="shared" si="153"/>
        <v>-1</v>
      </c>
    </row>
    <row r="295" spans="1:26" s="23" customFormat="1" hidden="1" outlineLevel="2" x14ac:dyDescent="0.25">
      <c r="A295" s="27"/>
      <c r="B295" s="10" t="str">
        <f>CONCATENATE("          ", "6247", " - ", "STORE SUPPLIES")</f>
        <v xml:space="preserve">          6247 - STORE SUPPLIES</v>
      </c>
      <c r="C295" s="10"/>
      <c r="D295" s="6">
        <v>781.56</v>
      </c>
      <c r="E295" s="2"/>
      <c r="F295" s="7">
        <f t="shared" si="146"/>
        <v>9.6672280979847485E-4</v>
      </c>
      <c r="G295" s="2"/>
      <c r="H295" s="6">
        <v>1523.47</v>
      </c>
      <c r="I295" s="2"/>
      <c r="J295" s="7">
        <f t="shared" si="147"/>
        <v>3.0166622437256848E-3</v>
      </c>
      <c r="K295" s="2"/>
      <c r="L295" s="6">
        <f t="shared" si="148"/>
        <v>-741.91000000000008</v>
      </c>
      <c r="M295" s="2"/>
      <c r="N295" s="7">
        <f t="shared" si="149"/>
        <v>-0.48698694427852213</v>
      </c>
      <c r="O295" s="10"/>
      <c r="P295" s="6">
        <v>47369.15</v>
      </c>
      <c r="Q295" s="2"/>
      <c r="R295" s="7">
        <f t="shared" si="150"/>
        <v>4.8275331854173162E-3</v>
      </c>
      <c r="S295" s="2"/>
      <c r="T295" s="6">
        <v>75354.350000000006</v>
      </c>
      <c r="U295" s="2"/>
      <c r="V295" s="7">
        <f t="shared" si="151"/>
        <v>2.6865569165335063E-3</v>
      </c>
      <c r="W295" s="2"/>
      <c r="X295" s="6">
        <f t="shared" si="152"/>
        <v>-27985.200000000004</v>
      </c>
      <c r="Y295" s="2"/>
      <c r="Z295" s="7">
        <f t="shared" si="153"/>
        <v>-0.37138134692954028</v>
      </c>
    </row>
    <row r="296" spans="1:26" s="23" customFormat="1" hidden="1" outlineLevel="2" x14ac:dyDescent="0.25">
      <c r="A296" s="27"/>
      <c r="B296" s="10" t="str">
        <f>CONCATENATE("          ", "6248", " - ", "UNIFORMS")</f>
        <v xml:space="preserve">          6248 - UNIFORMS</v>
      </c>
      <c r="C296" s="10"/>
      <c r="D296" s="6"/>
      <c r="E296" s="2"/>
      <c r="F296" s="7">
        <f t="shared" si="146"/>
        <v>0</v>
      </c>
      <c r="G296" s="2"/>
      <c r="H296" s="6">
        <v>41.07</v>
      </c>
      <c r="I296" s="2"/>
      <c r="J296" s="7">
        <f t="shared" si="147"/>
        <v>8.1323766368759394E-5</v>
      </c>
      <c r="K296" s="2"/>
      <c r="L296" s="6">
        <f t="shared" si="148"/>
        <v>-41.07</v>
      </c>
      <c r="M296" s="2"/>
      <c r="N296" s="7">
        <f t="shared" si="149"/>
        <v>-1</v>
      </c>
      <c r="O296" s="10"/>
      <c r="P296" s="6">
        <v>4500.59</v>
      </c>
      <c r="Q296" s="2"/>
      <c r="R296" s="7">
        <f t="shared" si="150"/>
        <v>4.5866872382040462E-4</v>
      </c>
      <c r="S296" s="2"/>
      <c r="T296" s="6">
        <v>4835.18</v>
      </c>
      <c r="U296" s="2"/>
      <c r="V296" s="7">
        <f t="shared" si="151"/>
        <v>1.72385353621715E-4</v>
      </c>
      <c r="W296" s="2"/>
      <c r="X296" s="6">
        <f t="shared" si="152"/>
        <v>-334.59000000000015</v>
      </c>
      <c r="Y296" s="2"/>
      <c r="Z296" s="7">
        <f t="shared" si="153"/>
        <v>-6.9199078421072258E-2</v>
      </c>
    </row>
    <row r="297" spans="1:26" s="26" customFormat="1" outlineLevel="1" collapsed="1" x14ac:dyDescent="0.25">
      <c r="A297" s="25"/>
      <c r="B297" s="12" t="str">
        <f>CONCATENATE("     ","Telephone/Data Lines                              ")</f>
        <v xml:space="preserve">     Telephone/Data Lines                              </v>
      </c>
      <c r="C297" s="12"/>
      <c r="D297" s="1">
        <f>SUM(OSRRefD22_23x_0)</f>
        <v>3381.15</v>
      </c>
      <c r="E297" s="1"/>
      <c r="F297" s="5">
        <f t="shared" ref="F297:F299" si="154">IF(D$12=0,0,D297/D$12)</f>
        <v>4.1821930860715915E-3</v>
      </c>
      <c r="G297" s="1"/>
      <c r="H297" s="1">
        <f>SUM(OSRRefH22_23x_0)</f>
        <v>5686.23</v>
      </c>
      <c r="I297" s="1"/>
      <c r="J297" s="5">
        <f t="shared" ref="J297:J299" si="155">IF(H$12=0,0,H297/H$12)</f>
        <v>1.1259450694887527E-2</v>
      </c>
      <c r="K297" s="1"/>
      <c r="L297" s="1">
        <f t="shared" ref="L297:L299" si="156">+D297-H297</f>
        <v>-2305.0799999999995</v>
      </c>
      <c r="M297" s="1"/>
      <c r="N297" s="5">
        <f t="shared" ref="N297:N299" si="157">IF(H297=0,0,L297/H297)</f>
        <v>-0.40537931107253833</v>
      </c>
      <c r="O297" s="12"/>
      <c r="P297" s="1">
        <f>SUM(OSRRefP22_23x_0)</f>
        <v>44028.78</v>
      </c>
      <c r="Q297" s="1"/>
      <c r="R297" s="5">
        <f t="shared" ref="R297:R299" si="158">IF(P$12=0,0,P297/P$12)</f>
        <v>4.4871059869860067E-3</v>
      </c>
      <c r="S297" s="1"/>
      <c r="T297" s="1">
        <f>SUM(OSRRefT22_23x_0)</f>
        <v>64761.86</v>
      </c>
      <c r="U297" s="1"/>
      <c r="V297" s="5">
        <f t="shared" ref="V297:V299" si="159">IF(T$12=0,0,T297/T$12)</f>
        <v>2.3089101413597836E-3</v>
      </c>
      <c r="W297" s="1"/>
      <c r="X297" s="1">
        <f t="shared" ref="X297:X299" si="160">+P297-T297</f>
        <v>-20733.080000000002</v>
      </c>
      <c r="Y297" s="1"/>
      <c r="Z297" s="5">
        <f t="shared" ref="Z297:Z299" si="161">IF(T297=0,0,X297/T297)</f>
        <v>-0.32014336833438695</v>
      </c>
    </row>
    <row r="298" spans="1:26" s="23" customFormat="1" hidden="1" outlineLevel="2" x14ac:dyDescent="0.25">
      <c r="A298" s="27"/>
      <c r="B298" s="10" t="str">
        <f>CONCATENATE("          ", "6303", " - ", "DATA PHONE LINES")</f>
        <v xml:space="preserve">          6303 - DATA PHONE LINES</v>
      </c>
      <c r="C298" s="10"/>
      <c r="D298" s="6"/>
      <c r="E298" s="2"/>
      <c r="F298" s="7">
        <f t="shared" si="154"/>
        <v>0</v>
      </c>
      <c r="G298" s="2"/>
      <c r="H298" s="6">
        <v>590</v>
      </c>
      <c r="I298" s="2"/>
      <c r="J298" s="7">
        <f t="shared" si="155"/>
        <v>1.1682742185918685E-3</v>
      </c>
      <c r="K298" s="2"/>
      <c r="L298" s="6">
        <f t="shared" si="156"/>
        <v>-590</v>
      </c>
      <c r="M298" s="2"/>
      <c r="N298" s="7">
        <f t="shared" si="157"/>
        <v>-1</v>
      </c>
      <c r="O298" s="10"/>
      <c r="P298" s="6">
        <v>3540</v>
      </c>
      <c r="Q298" s="2"/>
      <c r="R298" s="7">
        <f t="shared" si="158"/>
        <v>3.6077209484183901E-4</v>
      </c>
      <c r="S298" s="2"/>
      <c r="T298" s="6">
        <v>2950</v>
      </c>
      <c r="U298" s="2"/>
      <c r="V298" s="7">
        <f t="shared" si="159"/>
        <v>1.0517432508904719E-4</v>
      </c>
      <c r="W298" s="2"/>
      <c r="X298" s="6">
        <f t="shared" si="160"/>
        <v>590</v>
      </c>
      <c r="Y298" s="2"/>
      <c r="Z298" s="7">
        <f t="shared" si="161"/>
        <v>0.2</v>
      </c>
    </row>
    <row r="299" spans="1:26" s="23" customFormat="1" hidden="1" outlineLevel="2" x14ac:dyDescent="0.25">
      <c r="A299" s="27"/>
      <c r="B299" s="10" t="str">
        <f>CONCATENATE("          ", "6309", " - ", "TELEPHONE")</f>
        <v xml:space="preserve">          6309 - TELEPHONE</v>
      </c>
      <c r="C299" s="10"/>
      <c r="D299" s="6">
        <v>3381.15</v>
      </c>
      <c r="E299" s="2"/>
      <c r="F299" s="7">
        <f t="shared" si="154"/>
        <v>4.1821930860715915E-3</v>
      </c>
      <c r="G299" s="2"/>
      <c r="H299" s="6">
        <v>5096.2299999999996</v>
      </c>
      <c r="I299" s="2"/>
      <c r="J299" s="7">
        <f t="shared" si="155"/>
        <v>1.0091176476295658E-2</v>
      </c>
      <c r="K299" s="2"/>
      <c r="L299" s="6">
        <f t="shared" si="156"/>
        <v>-1715.0799999999995</v>
      </c>
      <c r="M299" s="2"/>
      <c r="N299" s="7">
        <f t="shared" si="157"/>
        <v>-0.33653897096481117</v>
      </c>
      <c r="O299" s="10"/>
      <c r="P299" s="6">
        <v>40488.78</v>
      </c>
      <c r="Q299" s="2"/>
      <c r="R299" s="7">
        <f t="shared" si="158"/>
        <v>4.1263338921441678E-3</v>
      </c>
      <c r="S299" s="2"/>
      <c r="T299" s="6">
        <v>61811.86</v>
      </c>
      <c r="U299" s="2"/>
      <c r="V299" s="7">
        <f t="shared" si="159"/>
        <v>2.2037358162707364E-3</v>
      </c>
      <c r="W299" s="2"/>
      <c r="X299" s="6">
        <f t="shared" si="160"/>
        <v>-21323.08</v>
      </c>
      <c r="Y299" s="2"/>
      <c r="Z299" s="7">
        <f t="shared" si="161"/>
        <v>-0.34496745446585819</v>
      </c>
    </row>
    <row r="300" spans="1:26" s="26" customFormat="1" outlineLevel="1" collapsed="1" x14ac:dyDescent="0.25">
      <c r="A300" s="25"/>
      <c r="B300" s="12" t="str">
        <f>CONCATENATE("     ","Training                                          ")</f>
        <v xml:space="preserve">     Training                                          </v>
      </c>
      <c r="C300" s="12"/>
      <c r="D300" s="1">
        <f>SUM(OSRRefD22_24x_0)</f>
        <v>0</v>
      </c>
      <c r="E300" s="1"/>
      <c r="F300" s="5">
        <f t="shared" ref="F300:F305" si="162">IF(D$12=0,0,D300/D$12)</f>
        <v>0</v>
      </c>
      <c r="G300" s="1"/>
      <c r="H300" s="1">
        <f>SUM(OSRRefH22_24x_0)</f>
        <v>2140.13</v>
      </c>
      <c r="I300" s="1"/>
      <c r="J300" s="5">
        <f t="shared" ref="J300:J305" si="163">IF(H$12=0,0,H300/H$12)</f>
        <v>4.2377266159915519E-3</v>
      </c>
      <c r="K300" s="1"/>
      <c r="L300" s="1">
        <f t="shared" ref="L300:L305" si="164">+D300-H300</f>
        <v>-2140.13</v>
      </c>
      <c r="M300" s="1"/>
      <c r="N300" s="5">
        <f t="shared" ref="N300:N305" si="165">IF(H300=0,0,L300/H300)</f>
        <v>-1</v>
      </c>
      <c r="O300" s="12"/>
      <c r="P300" s="1">
        <f>SUM(OSRRefP22_24x_0)</f>
        <v>2181.86</v>
      </c>
      <c r="Q300" s="1"/>
      <c r="R300" s="5">
        <f t="shared" ref="R300:R305" si="166">IF(P$12=0,0,P300/P$12)</f>
        <v>2.2235994430836581E-4</v>
      </c>
      <c r="S300" s="1"/>
      <c r="T300" s="1">
        <f>SUM(OSRRefT22_24x_0)</f>
        <v>37550.239999999998</v>
      </c>
      <c r="U300" s="1"/>
      <c r="V300" s="5">
        <f t="shared" ref="V300:V305" si="167">IF(T$12=0,0,T300/T$12)</f>
        <v>1.3387529318412688E-3</v>
      </c>
      <c r="W300" s="1"/>
      <c r="X300" s="1">
        <f t="shared" ref="X300:X305" si="168">+P300-T300</f>
        <v>-35368.379999999997</v>
      </c>
      <c r="Y300" s="1"/>
      <c r="Z300" s="5">
        <f t="shared" ref="Z300:Z305" si="169">IF(T300=0,0,X300/T300)</f>
        <v>-0.94189491198991004</v>
      </c>
    </row>
    <row r="301" spans="1:26" s="23" customFormat="1" hidden="1" outlineLevel="2" x14ac:dyDescent="0.25">
      <c r="A301" s="27"/>
      <c r="B301" s="10" t="str">
        <f>CONCATENATE("          ", "6376", " - ", "TRAINING")</f>
        <v xml:space="preserve">          6376 - TRAINING</v>
      </c>
      <c r="C301" s="10"/>
      <c r="D301" s="6"/>
      <c r="E301" s="2"/>
      <c r="F301" s="7">
        <f t="shared" si="162"/>
        <v>0</v>
      </c>
      <c r="G301" s="2"/>
      <c r="H301" s="6">
        <v>2140.13</v>
      </c>
      <c r="I301" s="2"/>
      <c r="J301" s="7">
        <f t="shared" si="163"/>
        <v>4.2377266159915519E-3</v>
      </c>
      <c r="K301" s="2"/>
      <c r="L301" s="6">
        <f t="shared" si="164"/>
        <v>-2140.13</v>
      </c>
      <c r="M301" s="2"/>
      <c r="N301" s="7">
        <f t="shared" si="165"/>
        <v>-1</v>
      </c>
      <c r="O301" s="10"/>
      <c r="P301" s="6">
        <v>2181.86</v>
      </c>
      <c r="Q301" s="2"/>
      <c r="R301" s="7">
        <f t="shared" si="166"/>
        <v>2.2235994430836581E-4</v>
      </c>
      <c r="S301" s="2"/>
      <c r="T301" s="6">
        <v>37550.239999999998</v>
      </c>
      <c r="U301" s="2"/>
      <c r="V301" s="7">
        <f t="shared" si="167"/>
        <v>1.3387529318412688E-3</v>
      </c>
      <c r="W301" s="2"/>
      <c r="X301" s="6">
        <f t="shared" si="168"/>
        <v>-35368.379999999997</v>
      </c>
      <c r="Y301" s="2"/>
      <c r="Z301" s="7">
        <f t="shared" si="169"/>
        <v>-0.94189491198991004</v>
      </c>
    </row>
    <row r="302" spans="1:26" s="26" customFormat="1" outlineLevel="1" collapsed="1" x14ac:dyDescent="0.25">
      <c r="A302" s="25"/>
      <c r="B302" s="12" t="str">
        <f>CONCATENATE("     ","Travel                                            ")</f>
        <v xml:space="preserve">     Travel                                            </v>
      </c>
      <c r="C302" s="12"/>
      <c r="D302" s="1">
        <f>SUM(OSRRefD22_25x_0)</f>
        <v>0</v>
      </c>
      <c r="E302" s="1"/>
      <c r="F302" s="5">
        <f t="shared" si="162"/>
        <v>0</v>
      </c>
      <c r="G302" s="1"/>
      <c r="H302" s="1">
        <f>SUM(OSRRefH22_25x_0)</f>
        <v>0</v>
      </c>
      <c r="I302" s="1"/>
      <c r="J302" s="5">
        <f t="shared" si="163"/>
        <v>0</v>
      </c>
      <c r="K302" s="1"/>
      <c r="L302" s="1">
        <f t="shared" si="164"/>
        <v>0</v>
      </c>
      <c r="M302" s="1"/>
      <c r="N302" s="5">
        <f t="shared" si="165"/>
        <v>0</v>
      </c>
      <c r="O302" s="12"/>
      <c r="P302" s="1">
        <f>SUM(OSRRefP22_25x_0)</f>
        <v>1464.9099999999999</v>
      </c>
      <c r="Q302" s="1"/>
      <c r="R302" s="5">
        <f t="shared" si="166"/>
        <v>1.4929340380077919E-4</v>
      </c>
      <c r="S302" s="1"/>
      <c r="T302" s="1">
        <f>SUM(OSRRefT22_25x_0)</f>
        <v>9441.3100000000013</v>
      </c>
      <c r="U302" s="1"/>
      <c r="V302" s="5">
        <f t="shared" si="167"/>
        <v>3.3660454481575328E-4</v>
      </c>
      <c r="W302" s="1"/>
      <c r="X302" s="1">
        <f t="shared" si="168"/>
        <v>-7976.4000000000015</v>
      </c>
      <c r="Y302" s="1"/>
      <c r="Z302" s="5">
        <f t="shared" si="169"/>
        <v>-0.84484038761570168</v>
      </c>
    </row>
    <row r="303" spans="1:26" s="23" customFormat="1" hidden="1" outlineLevel="2" x14ac:dyDescent="0.25">
      <c r="A303" s="27"/>
      <c r="B303" s="10" t="str">
        <f>CONCATENATE("          ", "6292", " - ", "TRAVEL/CONFERENCE")</f>
        <v xml:space="preserve">          6292 - TRAVEL/CONFERENCE</v>
      </c>
      <c r="C303" s="10"/>
      <c r="D303" s="6"/>
      <c r="E303" s="2"/>
      <c r="F303" s="7">
        <f t="shared" si="162"/>
        <v>0</v>
      </c>
      <c r="G303" s="2"/>
      <c r="H303" s="6"/>
      <c r="I303" s="2"/>
      <c r="J303" s="7">
        <f t="shared" si="163"/>
        <v>0</v>
      </c>
      <c r="K303" s="2"/>
      <c r="L303" s="6">
        <f t="shared" si="164"/>
        <v>0</v>
      </c>
      <c r="M303" s="2"/>
      <c r="N303" s="7">
        <f t="shared" si="165"/>
        <v>0</v>
      </c>
      <c r="O303" s="10"/>
      <c r="P303" s="6">
        <v>299.16000000000003</v>
      </c>
      <c r="Q303" s="2"/>
      <c r="R303" s="7">
        <f t="shared" si="166"/>
        <v>3.0488299404769654E-5</v>
      </c>
      <c r="S303" s="2"/>
      <c r="T303" s="6">
        <v>7216.54</v>
      </c>
      <c r="U303" s="2"/>
      <c r="V303" s="7">
        <f t="shared" si="167"/>
        <v>2.572863471112246E-4</v>
      </c>
      <c r="W303" s="2"/>
      <c r="X303" s="6">
        <f t="shared" si="168"/>
        <v>-6917.38</v>
      </c>
      <c r="Y303" s="2"/>
      <c r="Z303" s="7">
        <f t="shared" si="169"/>
        <v>-0.95854523081698428</v>
      </c>
    </row>
    <row r="304" spans="1:26" s="23" customFormat="1" hidden="1" outlineLevel="2" x14ac:dyDescent="0.25">
      <c r="A304" s="27"/>
      <c r="B304" s="10" t="str">
        <f>CONCATENATE("          ", "6294", " - ", "TRAVEL OPERATIONAL")</f>
        <v xml:space="preserve">          6294 - TRAVEL OPERATIONAL</v>
      </c>
      <c r="C304" s="10"/>
      <c r="D304" s="6"/>
      <c r="E304" s="2"/>
      <c r="F304" s="7">
        <f t="shared" si="162"/>
        <v>0</v>
      </c>
      <c r="G304" s="2"/>
      <c r="H304" s="6"/>
      <c r="I304" s="2"/>
      <c r="J304" s="7">
        <f t="shared" si="163"/>
        <v>0</v>
      </c>
      <c r="K304" s="2"/>
      <c r="L304" s="6">
        <f t="shared" si="164"/>
        <v>0</v>
      </c>
      <c r="M304" s="2"/>
      <c r="N304" s="7">
        <f t="shared" si="165"/>
        <v>0</v>
      </c>
      <c r="O304" s="10"/>
      <c r="P304" s="6">
        <v>773.65</v>
      </c>
      <c r="Q304" s="2"/>
      <c r="R304" s="7">
        <f t="shared" si="166"/>
        <v>7.8845008806324507E-5</v>
      </c>
      <c r="S304" s="2"/>
      <c r="T304" s="6">
        <v>418.6</v>
      </c>
      <c r="U304" s="2"/>
      <c r="V304" s="7">
        <f t="shared" si="167"/>
        <v>1.4924058468567849E-5</v>
      </c>
      <c r="W304" s="2"/>
      <c r="X304" s="6">
        <f t="shared" si="168"/>
        <v>355.04999999999995</v>
      </c>
      <c r="Y304" s="2"/>
      <c r="Z304" s="7">
        <f t="shared" si="169"/>
        <v>0.84818442427138063</v>
      </c>
    </row>
    <row r="305" spans="1:26" s="23" customFormat="1" hidden="1" outlineLevel="2" x14ac:dyDescent="0.25">
      <c r="A305" s="27"/>
      <c r="B305" s="10" t="str">
        <f>CONCATENATE("          ", "6298", " - ", "VEHICLE MILEAGE")</f>
        <v xml:space="preserve">          6298 - VEHICLE MILEAGE</v>
      </c>
      <c r="C305" s="10"/>
      <c r="D305" s="6"/>
      <c r="E305" s="2"/>
      <c r="F305" s="7">
        <f t="shared" si="162"/>
        <v>0</v>
      </c>
      <c r="G305" s="2"/>
      <c r="H305" s="6"/>
      <c r="I305" s="2"/>
      <c r="J305" s="7">
        <f t="shared" si="163"/>
        <v>0</v>
      </c>
      <c r="K305" s="2"/>
      <c r="L305" s="6">
        <f t="shared" si="164"/>
        <v>0</v>
      </c>
      <c r="M305" s="2"/>
      <c r="N305" s="7">
        <f t="shared" si="165"/>
        <v>0</v>
      </c>
      <c r="O305" s="10"/>
      <c r="P305" s="6">
        <v>392.1</v>
      </c>
      <c r="Q305" s="2"/>
      <c r="R305" s="7">
        <f t="shared" si="166"/>
        <v>3.9960095589685056E-5</v>
      </c>
      <c r="S305" s="2"/>
      <c r="T305" s="6">
        <v>1806.17</v>
      </c>
      <c r="U305" s="2"/>
      <c r="V305" s="7">
        <f t="shared" si="167"/>
        <v>6.4394139235960808E-5</v>
      </c>
      <c r="W305" s="2"/>
      <c r="X305" s="6">
        <f t="shared" si="168"/>
        <v>-1414.0700000000002</v>
      </c>
      <c r="Y305" s="2"/>
      <c r="Z305" s="7">
        <f t="shared" si="169"/>
        <v>-0.78291080020153148</v>
      </c>
    </row>
    <row r="306" spans="1:26" s="26" customFormat="1" outlineLevel="1" collapsed="1" x14ac:dyDescent="0.25">
      <c r="A306" s="25"/>
      <c r="B306" s="12" t="str">
        <f>CONCATENATE("     ","Utilities                                         ")</f>
        <v xml:space="preserve">     Utilities                                         </v>
      </c>
      <c r="C306" s="12"/>
      <c r="D306" s="1">
        <f>SUM(OSRRefD22_26x_0)</f>
        <v>10946.9</v>
      </c>
      <c r="E306" s="1"/>
      <c r="F306" s="5">
        <f t="shared" ref="F306:F307" si="170">IF(D$12=0,0,D306/D$12)</f>
        <v>1.3540378123986545E-2</v>
      </c>
      <c r="G306" s="1"/>
      <c r="H306" s="1">
        <f>SUM(OSRRefH22_26x_0)</f>
        <v>22851.43</v>
      </c>
      <c r="I306" s="1"/>
      <c r="J306" s="5">
        <f t="shared" ref="J306:J307" si="171">IF(H$12=0,0,H306/H$12)</f>
        <v>4.524870597789285E-2</v>
      </c>
      <c r="K306" s="1"/>
      <c r="L306" s="1">
        <f t="shared" ref="L306:L307" si="172">+D306-H306</f>
        <v>-11904.53</v>
      </c>
      <c r="M306" s="1"/>
      <c r="N306" s="5">
        <f t="shared" ref="N306:N307" si="173">IF(H306=0,0,L306/H306)</f>
        <v>-0.52095339328873513</v>
      </c>
      <c r="O306" s="12"/>
      <c r="P306" s="1">
        <f>SUM(OSRRefP22_26x_0)</f>
        <v>77598.45</v>
      </c>
      <c r="Q306" s="1"/>
      <c r="R306" s="5">
        <f t="shared" ref="R306:R307" si="174">IF(P$12=0,0,P306/P$12)</f>
        <v>7.9082924754179957E-3</v>
      </c>
      <c r="S306" s="1"/>
      <c r="T306" s="1">
        <f>SUM(OSRRefT22_26x_0)</f>
        <v>251770.52</v>
      </c>
      <c r="U306" s="1"/>
      <c r="V306" s="5">
        <f t="shared" ref="V306:V307" si="175">IF(T$12=0,0,T306/T$12)</f>
        <v>8.9762015316333741E-3</v>
      </c>
      <c r="W306" s="1"/>
      <c r="X306" s="1">
        <f t="shared" ref="X306:X307" si="176">+P306-T306</f>
        <v>-174172.07</v>
      </c>
      <c r="Y306" s="1"/>
      <c r="Z306" s="5">
        <f t="shared" ref="Z306:Z307" si="177">IF(T306=0,0,X306/T306)</f>
        <v>-0.69178897513497617</v>
      </c>
    </row>
    <row r="307" spans="1:26" s="23" customFormat="1" hidden="1" outlineLevel="2" x14ac:dyDescent="0.25">
      <c r="A307" s="27"/>
      <c r="B307" s="10" t="str">
        <f>CONCATENATE("          ", "6274", " - ", "UTILITIES")</f>
        <v xml:space="preserve">          6274 - UTILITIES</v>
      </c>
      <c r="C307" s="10"/>
      <c r="D307" s="6">
        <v>10946.9</v>
      </c>
      <c r="E307" s="2"/>
      <c r="F307" s="7">
        <f t="shared" si="170"/>
        <v>1.3540378123986545E-2</v>
      </c>
      <c r="G307" s="2"/>
      <c r="H307" s="6">
        <v>22851.43</v>
      </c>
      <c r="I307" s="2"/>
      <c r="J307" s="7">
        <f t="shared" si="171"/>
        <v>4.524870597789285E-2</v>
      </c>
      <c r="K307" s="2"/>
      <c r="L307" s="6">
        <f t="shared" si="172"/>
        <v>-11904.53</v>
      </c>
      <c r="M307" s="2"/>
      <c r="N307" s="7">
        <f t="shared" si="173"/>
        <v>-0.52095339328873513</v>
      </c>
      <c r="O307" s="10"/>
      <c r="P307" s="6">
        <v>77598.45</v>
      </c>
      <c r="Q307" s="2"/>
      <c r="R307" s="7">
        <f t="shared" si="174"/>
        <v>7.9082924754179957E-3</v>
      </c>
      <c r="S307" s="2"/>
      <c r="T307" s="6">
        <v>251770.52</v>
      </c>
      <c r="U307" s="2"/>
      <c r="V307" s="7">
        <f t="shared" si="175"/>
        <v>8.9762015316333741E-3</v>
      </c>
      <c r="W307" s="2"/>
      <c r="X307" s="6">
        <f t="shared" si="176"/>
        <v>-174172.07</v>
      </c>
      <c r="Y307" s="2"/>
      <c r="Z307" s="7">
        <f t="shared" si="177"/>
        <v>-0.69178897513497617</v>
      </c>
    </row>
    <row r="308" spans="1:26" s="57" customFormat="1" x14ac:dyDescent="0.25">
      <c r="A308" s="37"/>
      <c r="B308" s="37"/>
      <c r="C308" s="37"/>
      <c r="D308" s="1"/>
      <c r="E308" s="1"/>
      <c r="F308" s="5"/>
      <c r="G308" s="1"/>
      <c r="H308" s="1"/>
      <c r="I308" s="1"/>
      <c r="J308" s="5"/>
      <c r="K308" s="1"/>
      <c r="L308" s="1"/>
      <c r="M308" s="1"/>
      <c r="N308" s="5"/>
      <c r="O308" s="37"/>
      <c r="P308" s="1"/>
      <c r="Q308" s="1"/>
      <c r="R308" s="5"/>
      <c r="S308" s="1"/>
      <c r="T308" s="1"/>
      <c r="U308" s="1"/>
      <c r="V308" s="5"/>
      <c r="W308" s="1"/>
      <c r="X308" s="1"/>
      <c r="Y308" s="1"/>
      <c r="Z308" s="5"/>
    </row>
    <row r="309" spans="1:26" s="24" customFormat="1" collapsed="1" x14ac:dyDescent="0.25">
      <c r="A309" s="11"/>
      <c r="B309" s="29" t="s">
        <v>292</v>
      </c>
      <c r="C309" s="11"/>
      <c r="D309" s="4">
        <f>SUM(OSRRefD25x_0)</f>
        <v>60774.670000000006</v>
      </c>
      <c r="E309" s="4"/>
      <c r="F309" s="13">
        <f t="shared" ref="F309:F322" si="178">IF(D$12=0,0,D309/D$12)</f>
        <v>7.5173063804410509E-2</v>
      </c>
      <c r="G309" s="4"/>
      <c r="H309" s="4">
        <f>SUM(OSRRefH25x_0)</f>
        <v>114560.20999999999</v>
      </c>
      <c r="I309" s="4"/>
      <c r="J309" s="13">
        <f t="shared" ref="J309:J322" si="179">IF(H$12=0,0,H309/H$12)</f>
        <v>0.22684362681266163</v>
      </c>
      <c r="K309" s="4"/>
      <c r="L309" s="4">
        <f t="shared" ref="L309:L322" si="180">+D309-H309</f>
        <v>-53785.539999999986</v>
      </c>
      <c r="M309" s="4"/>
      <c r="N309" s="13">
        <f t="shared" ref="N309:N322" si="181">IF(H309=0,0,L309/H309)</f>
        <v>-0.4694958223278396</v>
      </c>
      <c r="O309" s="11"/>
      <c r="P309" s="4">
        <f>SUM(OSRRefP25x_0)</f>
        <v>1082109.6199999999</v>
      </c>
      <c r="Q309" s="4"/>
      <c r="R309" s="13">
        <f t="shared" ref="R309:R322" si="182">IF(P$12=0,0,P309/P$12)</f>
        <v>0.11028106058076451</v>
      </c>
      <c r="S309" s="4"/>
      <c r="T309" s="4">
        <f>SUM(OSRRefT25x_0)</f>
        <v>1890337.32</v>
      </c>
      <c r="U309" s="4"/>
      <c r="V309" s="13">
        <f t="shared" ref="V309:V322" si="183">IF(T$12=0,0,T309/T$12)</f>
        <v>6.7394898922589236E-2</v>
      </c>
      <c r="W309" s="4"/>
      <c r="X309" s="4">
        <f t="shared" ref="X309:X322" si="184">+P309-T309</f>
        <v>-808227.70000000019</v>
      </c>
      <c r="Y309" s="4"/>
      <c r="Z309" s="13">
        <f t="shared" ref="Z309:Z322" si="185">IF(T309=0,0,X309/T309)</f>
        <v>-0.42755739488865413</v>
      </c>
    </row>
    <row r="310" spans="1:26" s="23" customFormat="1" hidden="1" outlineLevel="1" x14ac:dyDescent="0.25">
      <c r="A310" s="44"/>
      <c r="B310" s="10" t="str">
        <f>CONCATENATE("          ", "4098", " - ", "TAXABLE SALES-GRAD RENTALS")</f>
        <v xml:space="preserve">          4098 - TAXABLE SALES-GRAD RENTALS</v>
      </c>
      <c r="C310" s="10"/>
      <c r="D310" s="2">
        <f>0</f>
        <v>0</v>
      </c>
      <c r="E310" s="2"/>
      <c r="F310" s="19">
        <f t="shared" si="178"/>
        <v>0</v>
      </c>
      <c r="G310" s="2"/>
      <c r="H310" s="2">
        <f>-152</f>
        <v>-152</v>
      </c>
      <c r="I310" s="2"/>
      <c r="J310" s="19">
        <f t="shared" si="179"/>
        <v>-3.0097912072197294E-4</v>
      </c>
      <c r="K310" s="2"/>
      <c r="L310" s="2">
        <f t="shared" si="180"/>
        <v>152</v>
      </c>
      <c r="M310" s="2"/>
      <c r="N310" s="19">
        <f t="shared" si="181"/>
        <v>-1</v>
      </c>
      <c r="O310" s="10"/>
      <c r="P310" s="2">
        <f>--49.95</f>
        <v>49.95</v>
      </c>
      <c r="Q310" s="2"/>
      <c r="R310" s="19">
        <f t="shared" si="182"/>
        <v>5.0905554060310338E-6</v>
      </c>
      <c r="S310" s="2"/>
      <c r="T310" s="2">
        <f>--1946.85</f>
        <v>1946.85</v>
      </c>
      <c r="U310" s="2"/>
      <c r="V310" s="19">
        <f t="shared" si="183"/>
        <v>6.9409706711732712E-5</v>
      </c>
      <c r="W310" s="2"/>
      <c r="X310" s="2">
        <f t="shared" si="184"/>
        <v>-1896.8999999999999</v>
      </c>
      <c r="Y310" s="2"/>
      <c r="Z310" s="19">
        <f t="shared" si="185"/>
        <v>-0.97434316973572688</v>
      </c>
    </row>
    <row r="311" spans="1:26" s="23" customFormat="1" hidden="1" outlineLevel="1" x14ac:dyDescent="0.25">
      <c r="A311" s="44"/>
      <c r="B311" s="10" t="str">
        <f>CONCATENATE("          ", "4187", " - ", "NON-TAXABLE SALES-COMPUTER REP")</f>
        <v xml:space="preserve">          4187 - NON-TAXABLE SALES-COMPUTER REP</v>
      </c>
      <c r="C311" s="10"/>
      <c r="D311" s="2">
        <f>--264.48</f>
        <v>264.48</v>
      </c>
      <c r="E311" s="2"/>
      <c r="F311" s="19">
        <f t="shared" si="178"/>
        <v>3.2713911757958523E-4</v>
      </c>
      <c r="G311" s="2"/>
      <c r="H311" s="2">
        <f>--99.99</f>
        <v>99.99</v>
      </c>
      <c r="I311" s="2"/>
      <c r="J311" s="19">
        <f t="shared" si="179"/>
        <v>1.9799277816440837E-4</v>
      </c>
      <c r="K311" s="2"/>
      <c r="L311" s="2">
        <f t="shared" si="180"/>
        <v>164.49</v>
      </c>
      <c r="M311" s="2"/>
      <c r="N311" s="19">
        <f t="shared" si="181"/>
        <v>1.6450645064506453</v>
      </c>
      <c r="O311" s="10"/>
      <c r="P311" s="2">
        <f>--3580.44</f>
        <v>3580.44</v>
      </c>
      <c r="Q311" s="2"/>
      <c r="R311" s="19">
        <f t="shared" si="182"/>
        <v>3.6489345741681192E-4</v>
      </c>
      <c r="S311" s="2"/>
      <c r="T311" s="2">
        <f>--16283.19</f>
        <v>16283.19</v>
      </c>
      <c r="U311" s="2"/>
      <c r="V311" s="19">
        <f t="shared" si="183"/>
        <v>5.8053339611753303E-4</v>
      </c>
      <c r="W311" s="2"/>
      <c r="X311" s="2">
        <f t="shared" si="184"/>
        <v>-12702.75</v>
      </c>
      <c r="Y311" s="2"/>
      <c r="Z311" s="19">
        <f t="shared" si="185"/>
        <v>-0.78011433877514169</v>
      </c>
    </row>
    <row r="312" spans="1:26" s="23" customFormat="1" hidden="1" outlineLevel="1" x14ac:dyDescent="0.25">
      <c r="A312" s="44"/>
      <c r="B312" s="10" t="str">
        <f>CONCATENATE("          ", "4197", " - ", "NON-TAXABLE SALES-RETURNED CHE")</f>
        <v xml:space="preserve">          4197 - NON-TAXABLE SALES-RETURNED CHE</v>
      </c>
      <c r="C312" s="10"/>
      <c r="D312" s="2">
        <f t="shared" ref="D312:D315" si="186">0</f>
        <v>0</v>
      </c>
      <c r="E312" s="2"/>
      <c r="F312" s="19">
        <f t="shared" si="178"/>
        <v>0</v>
      </c>
      <c r="G312" s="2"/>
      <c r="H312" s="2">
        <f>0</f>
        <v>0</v>
      </c>
      <c r="I312" s="2"/>
      <c r="J312" s="19">
        <f t="shared" si="179"/>
        <v>0</v>
      </c>
      <c r="K312" s="2"/>
      <c r="L312" s="2">
        <f t="shared" si="180"/>
        <v>0</v>
      </c>
      <c r="M312" s="2"/>
      <c r="N312" s="19">
        <f t="shared" si="181"/>
        <v>0</v>
      </c>
      <c r="O312" s="10"/>
      <c r="P312" s="2">
        <f t="shared" ref="P312:P315" si="187">0</f>
        <v>0</v>
      </c>
      <c r="Q312" s="2"/>
      <c r="R312" s="19">
        <f t="shared" si="182"/>
        <v>0</v>
      </c>
      <c r="S312" s="2"/>
      <c r="T312" s="2">
        <f>--30</f>
        <v>30</v>
      </c>
      <c r="U312" s="2"/>
      <c r="V312" s="19">
        <f t="shared" si="183"/>
        <v>1.0695694076852257E-6</v>
      </c>
      <c r="W312" s="2"/>
      <c r="X312" s="2">
        <f t="shared" si="184"/>
        <v>-30</v>
      </c>
      <c r="Y312" s="2"/>
      <c r="Z312" s="19">
        <f t="shared" si="185"/>
        <v>-1</v>
      </c>
    </row>
    <row r="313" spans="1:26" s="23" customFormat="1" hidden="1" outlineLevel="1" x14ac:dyDescent="0.25">
      <c r="A313" s="44"/>
      <c r="B313" s="10" t="str">
        <f>CONCATENATE("          ", "4198", " - ", "NON-TAXABLE SALES-GRAD RENTALS")</f>
        <v xml:space="preserve">          4198 - NON-TAXABLE SALES-GRAD RENTALS</v>
      </c>
      <c r="C313" s="10"/>
      <c r="D313" s="2">
        <f t="shared" si="186"/>
        <v>0</v>
      </c>
      <c r="E313" s="2"/>
      <c r="F313" s="19">
        <f t="shared" si="178"/>
        <v>0</v>
      </c>
      <c r="G313" s="2"/>
      <c r="H313" s="2">
        <f>-3469.7</f>
        <v>-3469.7</v>
      </c>
      <c r="I313" s="2"/>
      <c r="J313" s="19">
        <f t="shared" si="179"/>
        <v>-6.8704424682172983E-3</v>
      </c>
      <c r="K313" s="2"/>
      <c r="L313" s="2">
        <f t="shared" si="180"/>
        <v>3469.7</v>
      </c>
      <c r="M313" s="2"/>
      <c r="N313" s="19">
        <f t="shared" si="181"/>
        <v>-1</v>
      </c>
      <c r="O313" s="10"/>
      <c r="P313" s="2">
        <f t="shared" si="187"/>
        <v>0</v>
      </c>
      <c r="Q313" s="2"/>
      <c r="R313" s="19">
        <f t="shared" si="182"/>
        <v>0</v>
      </c>
      <c r="S313" s="2"/>
      <c r="T313" s="2">
        <f>--163.76</f>
        <v>163.76</v>
      </c>
      <c r="U313" s="2"/>
      <c r="V313" s="19">
        <f t="shared" si="183"/>
        <v>5.8384228734177517E-6</v>
      </c>
      <c r="W313" s="2"/>
      <c r="X313" s="2">
        <f t="shared" si="184"/>
        <v>-163.76</v>
      </c>
      <c r="Y313" s="2"/>
      <c r="Z313" s="19">
        <f t="shared" si="185"/>
        <v>-1</v>
      </c>
    </row>
    <row r="314" spans="1:26" s="23" customFormat="1" hidden="1" outlineLevel="1" x14ac:dyDescent="0.25">
      <c r="A314" s="44"/>
      <c r="B314" s="10" t="str">
        <f>CONCATENATE("          ", "4387", " - ", "SALES RETURN NON TAXABLE-COMPU")</f>
        <v xml:space="preserve">          4387 - SALES RETURN NON TAXABLE-COMPU</v>
      </c>
      <c r="C314" s="10"/>
      <c r="D314" s="2">
        <f t="shared" si="186"/>
        <v>0</v>
      </c>
      <c r="E314" s="2"/>
      <c r="F314" s="19">
        <f t="shared" si="178"/>
        <v>0</v>
      </c>
      <c r="G314" s="2"/>
      <c r="H314" s="2">
        <f>0</f>
        <v>0</v>
      </c>
      <c r="I314" s="2"/>
      <c r="J314" s="19">
        <f t="shared" si="179"/>
        <v>0</v>
      </c>
      <c r="K314" s="2"/>
      <c r="L314" s="2">
        <f t="shared" si="180"/>
        <v>0</v>
      </c>
      <c r="M314" s="2"/>
      <c r="N314" s="19">
        <f t="shared" si="181"/>
        <v>0</v>
      </c>
      <c r="O314" s="10"/>
      <c r="P314" s="2">
        <f t="shared" si="187"/>
        <v>0</v>
      </c>
      <c r="Q314" s="2"/>
      <c r="R314" s="19">
        <f t="shared" si="182"/>
        <v>0</v>
      </c>
      <c r="S314" s="2"/>
      <c r="T314" s="2">
        <f>-7889</f>
        <v>-7889</v>
      </c>
      <c r="U314" s="2"/>
      <c r="V314" s="19">
        <f t="shared" si="183"/>
        <v>-2.8126110190762485E-4</v>
      </c>
      <c r="W314" s="2"/>
      <c r="X314" s="2">
        <f t="shared" si="184"/>
        <v>7889</v>
      </c>
      <c r="Y314" s="2"/>
      <c r="Z314" s="19">
        <f t="shared" si="185"/>
        <v>-1</v>
      </c>
    </row>
    <row r="315" spans="1:26" s="23" customFormat="1" hidden="1" outlineLevel="1" x14ac:dyDescent="0.25">
      <c r="A315" s="44"/>
      <c r="B315" s="10" t="str">
        <f>CONCATENATE("          ", "5087", " - ", "PURCHASES @ COST-COMPUTER REPA")</f>
        <v xml:space="preserve">          5087 - PURCHASES @ COST-COMPUTER REPA</v>
      </c>
      <c r="C315" s="10"/>
      <c r="D315" s="2">
        <f t="shared" si="186"/>
        <v>0</v>
      </c>
      <c r="E315" s="2"/>
      <c r="F315" s="19">
        <f t="shared" si="178"/>
        <v>0</v>
      </c>
      <c r="G315" s="2"/>
      <c r="H315" s="2">
        <f>--32.7</f>
        <v>32.700000000000003</v>
      </c>
      <c r="I315" s="2"/>
      <c r="J315" s="19">
        <f t="shared" si="179"/>
        <v>6.475011347110865E-5</v>
      </c>
      <c r="K315" s="2"/>
      <c r="L315" s="2">
        <f t="shared" si="180"/>
        <v>-32.700000000000003</v>
      </c>
      <c r="M315" s="2"/>
      <c r="N315" s="19">
        <f t="shared" si="181"/>
        <v>-1</v>
      </c>
      <c r="O315" s="10"/>
      <c r="P315" s="2">
        <f t="shared" si="187"/>
        <v>0</v>
      </c>
      <c r="Q315" s="2"/>
      <c r="R315" s="19">
        <f t="shared" si="182"/>
        <v>0</v>
      </c>
      <c r="S315" s="2"/>
      <c r="T315" s="2">
        <f>-72.06</f>
        <v>-72.06</v>
      </c>
      <c r="U315" s="2"/>
      <c r="V315" s="19">
        <f t="shared" si="183"/>
        <v>-2.569105717259912E-6</v>
      </c>
      <c r="W315" s="2"/>
      <c r="X315" s="2">
        <f t="shared" si="184"/>
        <v>72.06</v>
      </c>
      <c r="Y315" s="2"/>
      <c r="Z315" s="19">
        <f t="shared" si="185"/>
        <v>-1</v>
      </c>
    </row>
    <row r="316" spans="1:26" s="23" customFormat="1" hidden="1" outlineLevel="1" x14ac:dyDescent="0.25">
      <c r="A316" s="44"/>
      <c r="B316" s="10" t="str">
        <f>CONCATENATE("          ", "9150", " - ", "MISC. INCOME")</f>
        <v xml:space="preserve">          9150 - MISC. INCOME</v>
      </c>
      <c r="C316" s="10"/>
      <c r="D316" s="2">
        <f>--57179.3</f>
        <v>57179.3</v>
      </c>
      <c r="E316" s="2"/>
      <c r="F316" s="19">
        <f t="shared" si="178"/>
        <v>7.0725898917946076E-2</v>
      </c>
      <c r="G316" s="2"/>
      <c r="H316" s="2">
        <f>--47998.15</f>
        <v>47998.15</v>
      </c>
      <c r="I316" s="2"/>
      <c r="J316" s="19">
        <f t="shared" si="179"/>
        <v>9.5042374890008982E-2</v>
      </c>
      <c r="K316" s="2"/>
      <c r="L316" s="2">
        <f t="shared" si="180"/>
        <v>9181.1500000000015</v>
      </c>
      <c r="M316" s="2"/>
      <c r="N316" s="19">
        <f t="shared" si="181"/>
        <v>0.19128133063461825</v>
      </c>
      <c r="O316" s="10"/>
      <c r="P316" s="2">
        <f>--411720.9</f>
        <v>411720.9</v>
      </c>
      <c r="Q316" s="2"/>
      <c r="R316" s="19">
        <f t="shared" si="182"/>
        <v>4.1959720786205461E-2</v>
      </c>
      <c r="S316" s="2"/>
      <c r="T316" s="2">
        <f>--815733.81</f>
        <v>815733.81</v>
      </c>
      <c r="U316" s="2"/>
      <c r="V316" s="19">
        <f t="shared" si="183"/>
        <v>2.9082797599683748E-2</v>
      </c>
      <c r="W316" s="2"/>
      <c r="X316" s="2">
        <f t="shared" si="184"/>
        <v>-404012.91000000003</v>
      </c>
      <c r="Y316" s="2"/>
      <c r="Z316" s="19">
        <f t="shared" si="185"/>
        <v>-0.49527542569309468</v>
      </c>
    </row>
    <row r="317" spans="1:26" s="23" customFormat="1" hidden="1" outlineLevel="1" x14ac:dyDescent="0.25">
      <c r="A317" s="44"/>
      <c r="B317" s="10" t="str">
        <f>CONCATENATE("          ", "9151", " - ", "MISC. INCOME")</f>
        <v xml:space="preserve">          9151 - MISC. INCOME</v>
      </c>
      <c r="C317" s="10"/>
      <c r="D317" s="2">
        <f>0</f>
        <v>0</v>
      </c>
      <c r="E317" s="2"/>
      <c r="F317" s="19">
        <f t="shared" si="178"/>
        <v>0</v>
      </c>
      <c r="G317" s="2"/>
      <c r="H317" s="2">
        <f>0</f>
        <v>0</v>
      </c>
      <c r="I317" s="2"/>
      <c r="J317" s="19">
        <f t="shared" si="179"/>
        <v>0</v>
      </c>
      <c r="K317" s="2"/>
      <c r="L317" s="2">
        <f t="shared" si="180"/>
        <v>0</v>
      </c>
      <c r="M317" s="2"/>
      <c r="N317" s="19">
        <f t="shared" si="181"/>
        <v>0</v>
      </c>
      <c r="O317" s="10"/>
      <c r="P317" s="2">
        <f>--295628.46</f>
        <v>295628.46000000002</v>
      </c>
      <c r="Q317" s="2"/>
      <c r="R317" s="19">
        <f t="shared" si="182"/>
        <v>3.0128389494086673E-2</v>
      </c>
      <c r="S317" s="2"/>
      <c r="T317" s="2">
        <f>--169392.7</f>
        <v>169392.7</v>
      </c>
      <c r="U317" s="2"/>
      <c r="V317" s="19">
        <f t="shared" si="183"/>
        <v>6.0392416601733707E-3</v>
      </c>
      <c r="W317" s="2"/>
      <c r="X317" s="2">
        <f t="shared" si="184"/>
        <v>126235.76000000001</v>
      </c>
      <c r="Y317" s="2"/>
      <c r="Z317" s="19">
        <f t="shared" si="185"/>
        <v>0.7452255026338207</v>
      </c>
    </row>
    <row r="318" spans="1:26" s="23" customFormat="1" hidden="1" outlineLevel="1" x14ac:dyDescent="0.25">
      <c r="A318" s="44"/>
      <c r="B318" s="10" t="str">
        <f>CONCATENATE("          ", "9152", " - ", "MISC. INCOME")</f>
        <v xml:space="preserve">          9152 - MISC. INCOME</v>
      </c>
      <c r="C318" s="10"/>
      <c r="D318" s="2">
        <f>--1436.07</f>
        <v>1436.07</v>
      </c>
      <c r="E318" s="2"/>
      <c r="F318" s="19">
        <f t="shared" si="178"/>
        <v>1.7762956464856131E-3</v>
      </c>
      <c r="G318" s="2"/>
      <c r="H318" s="2">
        <f>--5092.84</f>
        <v>5092.84</v>
      </c>
      <c r="I318" s="2"/>
      <c r="J318" s="19">
        <f t="shared" si="179"/>
        <v>1.008446384985324E-2</v>
      </c>
      <c r="K318" s="2"/>
      <c r="L318" s="2">
        <f t="shared" si="180"/>
        <v>-3656.7700000000004</v>
      </c>
      <c r="M318" s="2"/>
      <c r="N318" s="19">
        <f t="shared" si="181"/>
        <v>-0.71802177174228921</v>
      </c>
      <c r="O318" s="10"/>
      <c r="P318" s="2">
        <f>--5652.57</f>
        <v>5652.57</v>
      </c>
      <c r="Q318" s="2"/>
      <c r="R318" s="19">
        <f t="shared" si="182"/>
        <v>5.7607048591529209E-4</v>
      </c>
      <c r="S318" s="2"/>
      <c r="T318" s="2">
        <f>--9874.89</f>
        <v>9874.89</v>
      </c>
      <c r="U318" s="2"/>
      <c r="V318" s="19">
        <f t="shared" si="183"/>
        <v>3.5206267494189192E-4</v>
      </c>
      <c r="W318" s="2"/>
      <c r="X318" s="2">
        <f t="shared" si="184"/>
        <v>-4222.32</v>
      </c>
      <c r="Y318" s="2"/>
      <c r="Z318" s="19">
        <f t="shared" si="185"/>
        <v>-0.42758147179360984</v>
      </c>
    </row>
    <row r="319" spans="1:26" s="23" customFormat="1" hidden="1" outlineLevel="1" x14ac:dyDescent="0.25">
      <c r="A319" s="44"/>
      <c r="B319" s="10" t="str">
        <f>CONCATENATE("          ", "9153", " - ", "MISC. INCOME")</f>
        <v xml:space="preserve">          9153 - MISC. INCOME</v>
      </c>
      <c r="C319" s="10"/>
      <c r="D319" s="2">
        <f t="shared" ref="D319:D320" si="188">0</f>
        <v>0</v>
      </c>
      <c r="E319" s="2"/>
      <c r="F319" s="19">
        <f t="shared" si="178"/>
        <v>0</v>
      </c>
      <c r="G319" s="2"/>
      <c r="H319" s="2">
        <f t="shared" ref="H319:H320" si="189">0</f>
        <v>0</v>
      </c>
      <c r="I319" s="2"/>
      <c r="J319" s="19">
        <f t="shared" si="179"/>
        <v>0</v>
      </c>
      <c r="K319" s="2"/>
      <c r="L319" s="2">
        <f t="shared" si="180"/>
        <v>0</v>
      </c>
      <c r="M319" s="2"/>
      <c r="N319" s="19">
        <f t="shared" si="181"/>
        <v>0</v>
      </c>
      <c r="O319" s="10"/>
      <c r="P319" s="2">
        <f>0</f>
        <v>0</v>
      </c>
      <c r="Q319" s="2"/>
      <c r="R319" s="19">
        <f t="shared" si="182"/>
        <v>0</v>
      </c>
      <c r="S319" s="2"/>
      <c r="T319" s="2">
        <f>--450</f>
        <v>450</v>
      </c>
      <c r="U319" s="2"/>
      <c r="V319" s="19">
        <f t="shared" si="183"/>
        <v>1.6043541115278384E-5</v>
      </c>
      <c r="W319" s="2"/>
      <c r="X319" s="2">
        <f t="shared" si="184"/>
        <v>-450</v>
      </c>
      <c r="Y319" s="2"/>
      <c r="Z319" s="19">
        <f t="shared" si="185"/>
        <v>-1</v>
      </c>
    </row>
    <row r="320" spans="1:26" s="23" customFormat="1" hidden="1" outlineLevel="1" x14ac:dyDescent="0.25">
      <c r="A320" s="44"/>
      <c r="B320" s="10" t="str">
        <f>CONCATENATE("          ", "9160", " - ", "MISC. INCOME")</f>
        <v xml:space="preserve">          9160 - MISC. INCOME</v>
      </c>
      <c r="C320" s="10"/>
      <c r="D320" s="2">
        <f t="shared" si="188"/>
        <v>0</v>
      </c>
      <c r="E320" s="2"/>
      <c r="F320" s="19">
        <f t="shared" si="178"/>
        <v>0</v>
      </c>
      <c r="G320" s="2"/>
      <c r="H320" s="2">
        <f t="shared" si="189"/>
        <v>0</v>
      </c>
      <c r="I320" s="2"/>
      <c r="J320" s="19">
        <f t="shared" si="179"/>
        <v>0</v>
      </c>
      <c r="K320" s="2"/>
      <c r="L320" s="2">
        <f t="shared" si="180"/>
        <v>0</v>
      </c>
      <c r="M320" s="2"/>
      <c r="N320" s="19">
        <f t="shared" si="181"/>
        <v>0</v>
      </c>
      <c r="O320" s="10"/>
      <c r="P320" s="2">
        <f>--13615.06</f>
        <v>13615.06</v>
      </c>
      <c r="Q320" s="2"/>
      <c r="R320" s="19">
        <f t="shared" si="182"/>
        <v>1.387551897626364E-3</v>
      </c>
      <c r="S320" s="2"/>
      <c r="T320" s="2">
        <f>--152564.32</f>
        <v>152564.32</v>
      </c>
      <c r="U320" s="2"/>
      <c r="V320" s="19">
        <f t="shared" si="183"/>
        <v>5.4392709792099748E-3</v>
      </c>
      <c r="W320" s="2"/>
      <c r="X320" s="2">
        <f t="shared" si="184"/>
        <v>-138949.26</v>
      </c>
      <c r="Y320" s="2"/>
      <c r="Z320" s="19">
        <f t="shared" si="185"/>
        <v>-0.91075855743990475</v>
      </c>
    </row>
    <row r="321" spans="1:26" s="23" customFormat="1" hidden="1" outlineLevel="1" x14ac:dyDescent="0.25">
      <c r="A321" s="44"/>
      <c r="B321" s="10" t="str">
        <f>CONCATENATE("          ", "9163", " - ", "MISC. INCOME")</f>
        <v xml:space="preserve">          9163 - MISC. INCOME</v>
      </c>
      <c r="C321" s="10"/>
      <c r="D321" s="2">
        <f>--1862</f>
        <v>1862</v>
      </c>
      <c r="E321" s="2"/>
      <c r="F321" s="19">
        <f t="shared" si="178"/>
        <v>2.3031345921551258E-3</v>
      </c>
      <c r="G321" s="2"/>
      <c r="H321" s="2">
        <f>--58333.34</f>
        <v>58333.34</v>
      </c>
      <c r="I321" s="2"/>
      <c r="J321" s="19">
        <f t="shared" si="179"/>
        <v>0.11550735119720981</v>
      </c>
      <c r="K321" s="2"/>
      <c r="L321" s="2">
        <f t="shared" si="180"/>
        <v>-56471.34</v>
      </c>
      <c r="M321" s="2"/>
      <c r="N321" s="19">
        <f t="shared" si="181"/>
        <v>-0.96808000364799962</v>
      </c>
      <c r="O321" s="10"/>
      <c r="P321" s="2">
        <f>--348340.56</f>
        <v>348340.56</v>
      </c>
      <c r="Q321" s="2"/>
      <c r="R321" s="19">
        <f t="shared" si="182"/>
        <v>3.5500438855813367E-2</v>
      </c>
      <c r="S321" s="2"/>
      <c r="T321" s="2">
        <f>--488733.84</f>
        <v>488733.84</v>
      </c>
      <c r="U321" s="2"/>
      <c r="V321" s="19">
        <f t="shared" si="183"/>
        <v>1.7424492125484196E-2</v>
      </c>
      <c r="W321" s="2"/>
      <c r="X321" s="2">
        <f t="shared" si="184"/>
        <v>-140393.28000000003</v>
      </c>
      <c r="Y321" s="2"/>
      <c r="Z321" s="19">
        <f t="shared" si="185"/>
        <v>-0.28725917566911269</v>
      </c>
    </row>
    <row r="322" spans="1:26" s="23" customFormat="1" hidden="1" outlineLevel="1" x14ac:dyDescent="0.25">
      <c r="A322" s="44"/>
      <c r="B322" s="10" t="str">
        <f>CONCATENATE("          ", "9165", " - ", "OTHER INCOME")</f>
        <v xml:space="preserve">          9165 - OTHER INCOME</v>
      </c>
      <c r="C322" s="10"/>
      <c r="D322" s="2">
        <f>--32.82</f>
        <v>32.82</v>
      </c>
      <c r="E322" s="2"/>
      <c r="F322" s="19">
        <f t="shared" si="178"/>
        <v>4.0595530244109146E-5</v>
      </c>
      <c r="G322" s="2"/>
      <c r="H322" s="2">
        <f>--6624.89</f>
        <v>6624.89</v>
      </c>
      <c r="I322" s="2"/>
      <c r="J322" s="19">
        <f t="shared" si="179"/>
        <v>1.3118115572893364E-2</v>
      </c>
      <c r="K322" s="2"/>
      <c r="L322" s="2">
        <f t="shared" si="180"/>
        <v>-6592.0700000000006</v>
      </c>
      <c r="M322" s="2"/>
      <c r="N322" s="19">
        <f t="shared" si="181"/>
        <v>-0.99504595548001551</v>
      </c>
      <c r="O322" s="10"/>
      <c r="P322" s="2">
        <f>--3521.68</f>
        <v>3521.68</v>
      </c>
      <c r="Q322" s="2"/>
      <c r="R322" s="19">
        <f t="shared" si="182"/>
        <v>3.5890504829452194E-4</v>
      </c>
      <c r="S322" s="2"/>
      <c r="T322" s="2">
        <f>--243125.02</f>
        <v>243125.02</v>
      </c>
      <c r="U322" s="2"/>
      <c r="V322" s="19">
        <f t="shared" si="183"/>
        <v>8.667969454495288E-3</v>
      </c>
      <c r="W322" s="2"/>
      <c r="X322" s="2">
        <f t="shared" si="184"/>
        <v>-239603.34</v>
      </c>
      <c r="Y322" s="2"/>
      <c r="Z322" s="19">
        <f t="shared" si="185"/>
        <v>-0.98551494206560886</v>
      </c>
    </row>
    <row r="323" spans="1:26" x14ac:dyDescent="0.25">
      <c r="A323" s="9"/>
      <c r="B323" s="11"/>
      <c r="C323" s="11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O323" s="11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4" customFormat="1" x14ac:dyDescent="0.25">
      <c r="A324" s="11"/>
      <c r="B324" s="28" t="s">
        <v>276</v>
      </c>
      <c r="C324" s="28"/>
      <c r="D324" s="20">
        <f>+D205-D207+D309</f>
        <v>-76429.200000000099</v>
      </c>
      <c r="E324" s="14"/>
      <c r="F324" s="21">
        <f>IF(D$12=0,0,D324/D$12)</f>
        <v>-9.4536377213073453E-2</v>
      </c>
      <c r="G324" s="14"/>
      <c r="H324" s="20">
        <f>+H205-H207+H309</f>
        <v>-296366.33000000007</v>
      </c>
      <c r="I324" s="14"/>
      <c r="J324" s="21">
        <f>IF(H$12=0,0,H324/H$12)</f>
        <v>-0.58684261457235587</v>
      </c>
      <c r="K324" s="15"/>
      <c r="L324" s="20">
        <f>+D324-H324</f>
        <v>219937.12999999998</v>
      </c>
      <c r="M324" s="15"/>
      <c r="N324" s="21">
        <f>IF(H324=0,0,L324/H324)</f>
        <v>-0.74211240527896649</v>
      </c>
      <c r="O324" s="29"/>
      <c r="P324" s="20">
        <f>+P205-P207+P309</f>
        <v>-2465946.1399999997</v>
      </c>
      <c r="Q324" s="14"/>
      <c r="R324" s="21">
        <f>IF(P$12=0,0,P324/P$12)</f>
        <v>-0.25131202110026746</v>
      </c>
      <c r="S324" s="14"/>
      <c r="T324" s="20">
        <f>+T205-T207+T309</f>
        <v>2444695.9800000023</v>
      </c>
      <c r="U324" s="14"/>
      <c r="V324" s="21">
        <f>IF(T$12=0,0,T324/T$12)</f>
        <v>8.7159067709968494E-2</v>
      </c>
      <c r="W324" s="15"/>
      <c r="X324" s="20">
        <f>+P324-T324</f>
        <v>-4910642.120000002</v>
      </c>
      <c r="Y324" s="15"/>
      <c r="Z324" s="21">
        <f>IF(T324=0,0,X324/T324)</f>
        <v>-2.0086923528217189</v>
      </c>
    </row>
    <row r="325" spans="1:26" x14ac:dyDescent="0.25">
      <c r="A325" s="9"/>
      <c r="B325" s="11"/>
      <c r="C325" s="9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4" customFormat="1" x14ac:dyDescent="0.25">
      <c r="A326" s="51"/>
      <c r="B326" s="11" t="s">
        <v>127</v>
      </c>
      <c r="C326" s="11"/>
      <c r="D326" s="4">
        <v>213156.26</v>
      </c>
      <c r="E326" s="4"/>
      <c r="F326" s="13">
        <f>IF(D$12=0,0,D326/D$12)</f>
        <v>0.26365604508077983</v>
      </c>
      <c r="G326" s="4"/>
      <c r="H326" s="4">
        <v>194155.12</v>
      </c>
      <c r="I326" s="4"/>
      <c r="J326" s="13">
        <f>IF(H$12=0,0,H326/H$12)</f>
        <v>0.38445156119256013</v>
      </c>
      <c r="K326" s="4"/>
      <c r="L326" s="4">
        <f>+D326-H326</f>
        <v>19001.140000000014</v>
      </c>
      <c r="M326" s="4"/>
      <c r="N326" s="13">
        <f>IF(H326=0,0,L326/H326)</f>
        <v>9.7865768360885952E-2</v>
      </c>
      <c r="O326" s="11"/>
      <c r="P326" s="4">
        <v>2096793.09</v>
      </c>
      <c r="Q326" s="4"/>
      <c r="R326" s="13">
        <f>IF(P$12=0,0,P326/P$12)</f>
        <v>0.2136905185110714</v>
      </c>
      <c r="S326" s="4"/>
      <c r="T326" s="4">
        <v>3321539.68</v>
      </c>
      <c r="U326" s="4"/>
      <c r="V326" s="13">
        <f>IF(T$12=0,0,T326/T$12)</f>
        <v>0.11842057427135247</v>
      </c>
      <c r="W326" s="4"/>
      <c r="X326" s="4">
        <f>+P326-T326</f>
        <v>-1224746.5900000001</v>
      </c>
      <c r="Y326" s="4"/>
      <c r="Z326" s="13">
        <f>IF(T326=0,0,X326/T326)</f>
        <v>-0.36872857409308446</v>
      </c>
    </row>
    <row r="327" spans="1:26" x14ac:dyDescent="0.25">
      <c r="A327" s="9"/>
      <c r="B327" s="11"/>
      <c r="C327" s="11"/>
      <c r="D327" s="3"/>
      <c r="E327" s="3"/>
      <c r="F327" s="8"/>
      <c r="G327" s="3"/>
      <c r="H327" s="3"/>
      <c r="I327" s="3"/>
      <c r="J327" s="8"/>
      <c r="K327" s="3"/>
      <c r="L327" s="3"/>
      <c r="M327" s="3"/>
      <c r="N327" s="8"/>
      <c r="O327" s="11"/>
      <c r="P327" s="3"/>
      <c r="Q327" s="3"/>
      <c r="R327" s="8"/>
      <c r="S327" s="3"/>
      <c r="T327" s="3"/>
      <c r="U327" s="3"/>
      <c r="V327" s="8"/>
      <c r="W327" s="3"/>
      <c r="X327" s="3"/>
      <c r="Y327" s="3"/>
      <c r="Z327" s="8"/>
    </row>
    <row r="328" spans="1:26" s="24" customFormat="1" ht="15.75" thickBot="1" x14ac:dyDescent="0.3">
      <c r="A328" s="11"/>
      <c r="B328" s="28" t="s">
        <v>125</v>
      </c>
      <c r="C328" s="28"/>
      <c r="D328" s="35">
        <f>+D324-D326</f>
        <v>-289585.46000000008</v>
      </c>
      <c r="E328" s="14"/>
      <c r="F328" s="36">
        <f>IF(D$12=0,0,D328/D$12)</f>
        <v>-0.35819242229385323</v>
      </c>
      <c r="G328" s="14"/>
      <c r="H328" s="35">
        <f>+H324-H326</f>
        <v>-490521.45000000007</v>
      </c>
      <c r="I328" s="14"/>
      <c r="J328" s="36">
        <f>IF(H$12=0,0,H328/H$12)</f>
        <v>-0.97129417576491595</v>
      </c>
      <c r="K328" s="15"/>
      <c r="L328" s="35">
        <f>D328-H328</f>
        <v>200935.99</v>
      </c>
      <c r="M328" s="15"/>
      <c r="N328" s="36">
        <f>IF(H328=0,0,L328/H328)</f>
        <v>-0.40963751941938514</v>
      </c>
      <c r="O328" s="29"/>
      <c r="P328" s="35">
        <f>+P324-P326</f>
        <v>-4562739.2299999995</v>
      </c>
      <c r="Q328" s="14"/>
      <c r="R328" s="36">
        <f>IF(P$12=0,0,P328/P$12)</f>
        <v>-0.46500253961133881</v>
      </c>
      <c r="S328" s="14"/>
      <c r="T328" s="35">
        <f>+T324-T326</f>
        <v>-876843.69999999786</v>
      </c>
      <c r="U328" s="14"/>
      <c r="V328" s="36">
        <f>IF(T$12=0,0,T328/T$12)</f>
        <v>-3.1261506561383982E-2</v>
      </c>
      <c r="W328" s="15"/>
      <c r="X328" s="35">
        <f>P328-T328</f>
        <v>-3685895.5300000017</v>
      </c>
      <c r="Y328" s="15"/>
      <c r="Z328" s="36">
        <f>IF(T328=0,0,X328/T328)</f>
        <v>4.2035946999448255</v>
      </c>
    </row>
    <row r="329" spans="1:26" ht="15.75" thickTop="1" x14ac:dyDescent="0.25">
      <c r="A329" s="9"/>
      <c r="B329" s="9"/>
      <c r="C329" s="9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4" customFormat="1" x14ac:dyDescent="0.25">
      <c r="A330" s="51"/>
      <c r="B330" s="11" t="s">
        <v>183</v>
      </c>
      <c r="C330" s="11"/>
      <c r="D330" s="4">
        <f>--71471.24</f>
        <v>71471.240000000005</v>
      </c>
      <c r="E330" s="4"/>
      <c r="F330" s="13">
        <f t="shared" ref="F330:F331" si="190">IF(D$12=0,0,D330/D$12)</f>
        <v>8.8403805149420589E-2</v>
      </c>
      <c r="G330" s="4"/>
      <c r="H330" s="4">
        <f>--502115.75</f>
        <v>502115.75</v>
      </c>
      <c r="I330" s="4"/>
      <c r="J330" s="13">
        <f t="shared" ref="J330:J331" si="191">IF(H$12=0,0,H330/H$12)</f>
        <v>0.99425234826088138</v>
      </c>
      <c r="K330" s="4"/>
      <c r="L330" s="4">
        <f t="shared" ref="L330:L331" si="192">+D330-H330</f>
        <v>-430644.51</v>
      </c>
      <c r="M330" s="4"/>
      <c r="N330" s="13">
        <f t="shared" ref="N330:N331" si="193">IF(H330=0,0,L330/H330)</f>
        <v>-0.85765983241911847</v>
      </c>
      <c r="O330" s="11"/>
      <c r="P330" s="4">
        <f>--2702968.14</f>
        <v>2702968.14</v>
      </c>
      <c r="Q330" s="4"/>
      <c r="R330" s="13">
        <f t="shared" ref="R330:R331" si="194">IF(P$12=0,0,P330/P$12)</f>
        <v>0.2754676491973303</v>
      </c>
      <c r="S330" s="4"/>
      <c r="T330" s="4">
        <f>-359271.52</f>
        <v>-359271.52</v>
      </c>
      <c r="U330" s="4"/>
      <c r="V330" s="13">
        <f t="shared" ref="V330:V331" si="195">IF(T$12=0,0,T330/T$12)</f>
        <v>-1.2808860894819024E-2</v>
      </c>
      <c r="W330" s="4"/>
      <c r="X330" s="4">
        <f t="shared" ref="X330:X331" si="196">+P330-T330</f>
        <v>3062239.66</v>
      </c>
      <c r="Y330" s="4"/>
      <c r="Z330" s="13">
        <f t="shared" ref="Z330:Z331" si="197">IF(T330=0,0,X330/T330)</f>
        <v>-8.5234689908067303</v>
      </c>
    </row>
    <row r="331" spans="1:26" s="24" customFormat="1" x14ac:dyDescent="0.25">
      <c r="A331" s="51"/>
      <c r="B331" s="11" t="s">
        <v>81</v>
      </c>
      <c r="C331" s="11"/>
      <c r="D331" s="4">
        <f>--11468.39</f>
        <v>11468.39</v>
      </c>
      <c r="E331" s="4"/>
      <c r="F331" s="13">
        <f t="shared" si="190"/>
        <v>1.4185416608660538E-2</v>
      </c>
      <c r="G331" s="4"/>
      <c r="H331" s="4">
        <f>--23915.4</f>
        <v>23915.4</v>
      </c>
      <c r="I331" s="4"/>
      <c r="J331" s="13">
        <f t="shared" si="191"/>
        <v>4.7355500419172837E-2</v>
      </c>
      <c r="K331" s="4"/>
      <c r="L331" s="4">
        <f t="shared" si="192"/>
        <v>-12447.010000000002</v>
      </c>
      <c r="M331" s="4"/>
      <c r="N331" s="13">
        <f t="shared" si="193"/>
        <v>-0.52046003830168019</v>
      </c>
      <c r="O331" s="11"/>
      <c r="P331" s="4">
        <f>--104227.92</f>
        <v>104227.92</v>
      </c>
      <c r="Q331" s="4"/>
      <c r="R331" s="13">
        <f t="shared" si="194"/>
        <v>1.0622182214521924E-2</v>
      </c>
      <c r="S331" s="4"/>
      <c r="T331" s="4">
        <f>--267586.13</f>
        <v>267586.13</v>
      </c>
      <c r="U331" s="4"/>
      <c r="V331" s="13">
        <f t="shared" si="195"/>
        <v>9.5400646189627257E-3</v>
      </c>
      <c r="W331" s="4"/>
      <c r="X331" s="4">
        <f t="shared" si="196"/>
        <v>-163358.21000000002</v>
      </c>
      <c r="Y331" s="4"/>
      <c r="Z331" s="13">
        <f t="shared" si="197"/>
        <v>-0.61048833136455916</v>
      </c>
    </row>
    <row r="332" spans="1:26" x14ac:dyDescent="0.25">
      <c r="A332" s="9"/>
      <c r="B332" s="9"/>
      <c r="C332" s="9"/>
      <c r="D332" s="3"/>
      <c r="E332" s="3"/>
      <c r="F332" s="8"/>
      <c r="G332" s="3"/>
      <c r="H332" s="3"/>
      <c r="I332" s="3"/>
      <c r="J332" s="8"/>
      <c r="K332" s="3"/>
      <c r="L332" s="3"/>
      <c r="M332" s="3"/>
      <c r="N332" s="8"/>
      <c r="P332" s="3"/>
      <c r="Q332" s="3"/>
      <c r="R332" s="8"/>
      <c r="S332" s="3"/>
      <c r="T332" s="3"/>
      <c r="U332" s="3"/>
      <c r="V332" s="8"/>
      <c r="W332" s="3"/>
      <c r="X332" s="3"/>
      <c r="Y332" s="3"/>
      <c r="Z332" s="8"/>
    </row>
    <row r="333" spans="1:26" s="24" customFormat="1" ht="15.75" thickBot="1" x14ac:dyDescent="0.3">
      <c r="A333" s="11"/>
      <c r="B333" s="28" t="s">
        <v>293</v>
      </c>
      <c r="C333" s="28"/>
      <c r="D333" s="30">
        <f>SUM(D328:D332)</f>
        <v>-206645.83000000007</v>
      </c>
      <c r="E333" s="14"/>
      <c r="F333" s="31">
        <f>IF(D$12=0,0,D333/D$12)</f>
        <v>-0.25560320053577212</v>
      </c>
      <c r="G333" s="14"/>
      <c r="H333" s="30">
        <f>SUM(H328:H332)</f>
        <v>35509.699999999932</v>
      </c>
      <c r="I333" s="14"/>
      <c r="J333" s="31">
        <f>IF(H$12=0,0,H333/H$12)</f>
        <v>7.0313672915138292E-2</v>
      </c>
      <c r="K333" s="15"/>
      <c r="L333" s="30">
        <f>+D333-H333</f>
        <v>-242155.53</v>
      </c>
      <c r="M333" s="15"/>
      <c r="N333" s="31">
        <f>IF(H333=0,0,L333/H333)</f>
        <v>-6.8194192009507395</v>
      </c>
      <c r="O333" s="29"/>
      <c r="P333" s="30">
        <f>SUM(P328:P332)</f>
        <v>-1755543.1699999995</v>
      </c>
      <c r="Q333" s="14"/>
      <c r="R333" s="31">
        <f>IF(P$12=0,0,P333/P$12)</f>
        <v>-0.1789127081994866</v>
      </c>
      <c r="S333" s="14"/>
      <c r="T333" s="30">
        <f>SUM(T328:T332)</f>
        <v>-968529.08999999787</v>
      </c>
      <c r="U333" s="14"/>
      <c r="V333" s="31">
        <f>IF(T$12=0,0,T333/T$12)</f>
        <v>-3.4530302837240276E-2</v>
      </c>
      <c r="W333" s="15"/>
      <c r="X333" s="30">
        <f>+P333-T333</f>
        <v>-787014.08000000159</v>
      </c>
      <c r="Y333" s="15"/>
      <c r="Z333" s="31">
        <f>IF(T333=0,0,X333/T333)</f>
        <v>0.81258693014579797</v>
      </c>
    </row>
    <row r="334" spans="1:26" ht="15.75" thickTop="1" x14ac:dyDescent="0.25">
      <c r="A334" s="9"/>
      <c r="C334" s="9"/>
      <c r="D334" s="18"/>
      <c r="E334" s="18"/>
      <c r="G334" s="18"/>
      <c r="H334" s="18"/>
      <c r="I334" s="18"/>
      <c r="J334" s="42"/>
      <c r="K334" s="18"/>
      <c r="L334" s="18"/>
      <c r="M334" s="18"/>
      <c r="P334" s="18"/>
      <c r="Q334" s="18"/>
      <c r="R334" s="42"/>
      <c r="S334" s="18"/>
      <c r="T334" s="18"/>
      <c r="U334" s="18"/>
      <c r="V334" s="42"/>
      <c r="W334" s="18"/>
      <c r="X334" s="18"/>
    </row>
    <row r="335" spans="1:26" x14ac:dyDescent="0.25">
      <c r="A335" s="9"/>
      <c r="B335" s="59">
        <v>44356.893284409722</v>
      </c>
      <c r="D335" s="18"/>
      <c r="E335" s="18"/>
      <c r="G335" s="18"/>
      <c r="H335" s="18"/>
      <c r="I335" s="18"/>
      <c r="J335" s="42"/>
      <c r="K335" s="18"/>
      <c r="L335" s="18"/>
      <c r="M335" s="18"/>
      <c r="P335" s="18"/>
      <c r="Q335" s="18"/>
      <c r="R335" s="42"/>
      <c r="S335" s="18"/>
      <c r="T335" s="18"/>
      <c r="U335" s="18"/>
      <c r="V335" s="42"/>
      <c r="W335" s="18"/>
      <c r="X335" s="18"/>
    </row>
    <row r="336" spans="1:26" x14ac:dyDescent="0.25">
      <c r="A336" s="9"/>
      <c r="B336" s="52" t="s">
        <v>56</v>
      </c>
      <c r="D336" s="18"/>
      <c r="E336" s="18"/>
      <c r="G336" s="18"/>
      <c r="H336" s="18"/>
      <c r="I336" s="18"/>
      <c r="J336" s="42"/>
      <c r="K336" s="18"/>
      <c r="L336" s="18"/>
      <c r="M336" s="18"/>
      <c r="P336" s="18"/>
      <c r="Q336" s="18"/>
      <c r="R336" s="42"/>
      <c r="S336" s="18"/>
      <c r="T336" s="18"/>
      <c r="U336" s="18"/>
      <c r="V336" s="42"/>
      <c r="W336" s="18"/>
      <c r="X336" s="18"/>
    </row>
    <row r="337" spans="1:24" x14ac:dyDescent="0.25">
      <c r="A337" s="9"/>
      <c r="B337" s="54"/>
      <c r="D337" s="18"/>
      <c r="E337" s="18"/>
      <c r="G337" s="18"/>
      <c r="H337" s="18"/>
      <c r="I337" s="18"/>
      <c r="J337" s="42"/>
      <c r="K337" s="18"/>
      <c r="L337" s="18"/>
      <c r="M337" s="18"/>
      <c r="P337" s="18"/>
      <c r="Q337" s="18"/>
      <c r="R337" s="42"/>
      <c r="S337" s="18"/>
      <c r="T337" s="18"/>
      <c r="U337" s="18"/>
      <c r="V337" s="42"/>
      <c r="W337" s="18"/>
      <c r="X337" s="18"/>
    </row>
    <row r="338" spans="1:24" x14ac:dyDescent="0.25">
      <c r="D338" s="18"/>
      <c r="E338" s="18"/>
      <c r="G338" s="18"/>
      <c r="H338" s="18"/>
      <c r="I338" s="18"/>
      <c r="J338" s="42"/>
      <c r="K338" s="18"/>
      <c r="L338" s="18"/>
      <c r="M338" s="18"/>
      <c r="P338" s="18"/>
      <c r="Q338" s="18"/>
      <c r="R338" s="42"/>
      <c r="S338" s="18"/>
      <c r="T338" s="18"/>
      <c r="U338" s="18"/>
      <c r="V338" s="42"/>
      <c r="W338" s="18"/>
      <c r="X338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1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7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276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8" t="s">
        <v>125</v>
      </c>
      <c r="C26" s="28"/>
      <c r="D26" s="35">
        <f>+D22-D24</f>
        <v>0</v>
      </c>
      <c r="E26" s="14"/>
      <c r="F26" s="36">
        <f>IF(D$12=0,0,D26/D$12)</f>
        <v>0</v>
      </c>
      <c r="G26" s="14"/>
      <c r="H26" s="35">
        <f>+H22-H24</f>
        <v>0</v>
      </c>
      <c r="I26" s="14"/>
      <c r="J26" s="36">
        <f>IF(H$12=0,0,H26/H$12)</f>
        <v>0</v>
      </c>
      <c r="K26" s="15"/>
      <c r="L26" s="35">
        <f>D26-H26</f>
        <v>0</v>
      </c>
      <c r="M26" s="15"/>
      <c r="N26" s="36">
        <f>IF(H26=0,0,L26/H26)</f>
        <v>0</v>
      </c>
      <c r="O26" s="29"/>
      <c r="P26" s="35">
        <f>+P22-P24</f>
        <v>0</v>
      </c>
      <c r="Q26" s="14"/>
      <c r="R26" s="36">
        <f>IF(P$12=0,0,P26/P$12)</f>
        <v>0</v>
      </c>
      <c r="S26" s="14"/>
      <c r="T26" s="35">
        <f>+T22-T24</f>
        <v>0</v>
      </c>
      <c r="U26" s="14"/>
      <c r="V26" s="36">
        <f>IF(T$12=0,0,T26/T$12)</f>
        <v>0</v>
      </c>
      <c r="W26" s="15"/>
      <c r="X26" s="35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--71471.24</f>
        <v>71471.240000000005</v>
      </c>
      <c r="E28" s="4"/>
      <c r="F28" s="13">
        <f t="shared" ref="F28:F29" si="0">IF(D$12=0,0,D28/D$12)</f>
        <v>0</v>
      </c>
      <c r="G28" s="4"/>
      <c r="H28" s="4">
        <f>--502115.75</f>
        <v>502115.75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-430644.51</v>
      </c>
      <c r="M28" s="4"/>
      <c r="N28" s="13">
        <f t="shared" ref="N28:N29" si="3">IF(H28=0,0,L28/H28)</f>
        <v>-0.85765983241911847</v>
      </c>
      <c r="O28" s="11"/>
      <c r="P28" s="4">
        <f>--2702968.14</f>
        <v>2702968.14</v>
      </c>
      <c r="Q28" s="4"/>
      <c r="R28" s="13">
        <f t="shared" ref="R28:R29" si="4">IF(P$12=0,0,P28/P$12)</f>
        <v>0</v>
      </c>
      <c r="S28" s="4"/>
      <c r="T28" s="4">
        <f>-359271.52</f>
        <v>-359271.52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3062239.66</v>
      </c>
      <c r="Y28" s="4"/>
      <c r="Z28" s="13">
        <f t="shared" ref="Z28:Z29" si="7">IF(T28=0,0,X28/T28)</f>
        <v>-8.5234689908067303</v>
      </c>
    </row>
    <row r="29" spans="1:26" s="24" customFormat="1" x14ac:dyDescent="0.25">
      <c r="A29" s="51"/>
      <c r="B29" s="11" t="s">
        <v>81</v>
      </c>
      <c r="C29" s="11"/>
      <c r="D29" s="4">
        <f>--11468.39</f>
        <v>11468.39</v>
      </c>
      <c r="E29" s="4"/>
      <c r="F29" s="13">
        <f t="shared" si="0"/>
        <v>0</v>
      </c>
      <c r="G29" s="4"/>
      <c r="H29" s="4">
        <f>--23915.4</f>
        <v>23915.4</v>
      </c>
      <c r="I29" s="4"/>
      <c r="J29" s="13">
        <f t="shared" si="1"/>
        <v>0</v>
      </c>
      <c r="K29" s="4"/>
      <c r="L29" s="4">
        <f t="shared" si="2"/>
        <v>-12447.010000000002</v>
      </c>
      <c r="M29" s="4"/>
      <c r="N29" s="13">
        <f t="shared" si="3"/>
        <v>-0.52046003830168019</v>
      </c>
      <c r="O29" s="11"/>
      <c r="P29" s="4">
        <f>--104227.92</f>
        <v>104227.92</v>
      </c>
      <c r="Q29" s="4"/>
      <c r="R29" s="13">
        <f t="shared" si="4"/>
        <v>0</v>
      </c>
      <c r="S29" s="4"/>
      <c r="T29" s="4">
        <f>--267586.13</f>
        <v>267586.13</v>
      </c>
      <c r="U29" s="4"/>
      <c r="V29" s="13">
        <f t="shared" si="5"/>
        <v>0</v>
      </c>
      <c r="W29" s="4"/>
      <c r="X29" s="4">
        <f t="shared" si="6"/>
        <v>-163358.21000000002</v>
      </c>
      <c r="Y29" s="4"/>
      <c r="Z29" s="13">
        <f t="shared" si="7"/>
        <v>-0.61048833136455916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293</v>
      </c>
      <c r="C31" s="28"/>
      <c r="D31" s="30">
        <f>SUM(D26:D30)</f>
        <v>82939.63</v>
      </c>
      <c r="E31" s="14"/>
      <c r="F31" s="31">
        <f>IF(D$12=0,0,D31/D$12)</f>
        <v>0</v>
      </c>
      <c r="G31" s="14"/>
      <c r="H31" s="30">
        <f>SUM(H26:H30)</f>
        <v>526031.15</v>
      </c>
      <c r="I31" s="14"/>
      <c r="J31" s="31">
        <f>IF(H$12=0,0,H31/H$12)</f>
        <v>0</v>
      </c>
      <c r="K31" s="15"/>
      <c r="L31" s="30">
        <f>+D31-H31</f>
        <v>-443091.52</v>
      </c>
      <c r="M31" s="15"/>
      <c r="N31" s="31">
        <f>IF(H31=0,0,L31/H31)</f>
        <v>-0.8423294323919791</v>
      </c>
      <c r="O31" s="29"/>
      <c r="P31" s="30">
        <f>SUM(P26:P30)</f>
        <v>2807196.06</v>
      </c>
      <c r="Q31" s="14"/>
      <c r="R31" s="31">
        <f>IF(P$12=0,0,P31/P$12)</f>
        <v>0</v>
      </c>
      <c r="S31" s="14"/>
      <c r="T31" s="30">
        <f>SUM(T26:T30)</f>
        <v>-91685.390000000014</v>
      </c>
      <c r="U31" s="14"/>
      <c r="V31" s="31">
        <f>IF(T$12=0,0,T31/T$12)</f>
        <v>0</v>
      </c>
      <c r="W31" s="15"/>
      <c r="X31" s="30">
        <f>+P31-T31</f>
        <v>2898881.45</v>
      </c>
      <c r="Y31" s="15"/>
      <c r="Z31" s="31">
        <f>IF(T31=0,0,X31/T31)</f>
        <v>-31.617703213129154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44356.893317245369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2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","100", " - ", "Corporate")</f>
        <v>Department 100 - Corporate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1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7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276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8" t="s">
        <v>125</v>
      </c>
      <c r="C26" s="28"/>
      <c r="D26" s="35">
        <f>+D22-D24</f>
        <v>0</v>
      </c>
      <c r="E26" s="14"/>
      <c r="F26" s="36">
        <f>IF(D$12=0,0,D26/D$12)</f>
        <v>0</v>
      </c>
      <c r="G26" s="14"/>
      <c r="H26" s="35">
        <f>+H22-H24</f>
        <v>0</v>
      </c>
      <c r="I26" s="14"/>
      <c r="J26" s="36">
        <f>IF(H$12=0,0,H26/H$12)</f>
        <v>0</v>
      </c>
      <c r="K26" s="15"/>
      <c r="L26" s="35">
        <f>D26-H26</f>
        <v>0</v>
      </c>
      <c r="M26" s="15"/>
      <c r="N26" s="36">
        <f>IF(H26=0,0,L26/H26)</f>
        <v>0</v>
      </c>
      <c r="O26" s="29"/>
      <c r="P26" s="35">
        <f>+P22-P24</f>
        <v>0</v>
      </c>
      <c r="Q26" s="14"/>
      <c r="R26" s="36">
        <f>IF(P$12=0,0,P26/P$12)</f>
        <v>0</v>
      </c>
      <c r="S26" s="14"/>
      <c r="T26" s="35">
        <f>+T22-T24</f>
        <v>0</v>
      </c>
      <c r="U26" s="14"/>
      <c r="V26" s="36">
        <f>IF(T$12=0,0,T26/T$12)</f>
        <v>0</v>
      </c>
      <c r="W26" s="15"/>
      <c r="X26" s="35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--71471.24</f>
        <v>71471.240000000005</v>
      </c>
      <c r="E28" s="4"/>
      <c r="F28" s="13">
        <f t="shared" ref="F28:F29" si="0">IF(D$12=0,0,D28/D$12)</f>
        <v>0</v>
      </c>
      <c r="G28" s="4"/>
      <c r="H28" s="4">
        <f>--502115.75</f>
        <v>502115.75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-430644.51</v>
      </c>
      <c r="M28" s="4"/>
      <c r="N28" s="13">
        <f t="shared" ref="N28:N29" si="3">IF(H28=0,0,L28/H28)</f>
        <v>-0.85765983241911847</v>
      </c>
      <c r="O28" s="11"/>
      <c r="P28" s="4">
        <f>--2702968.14</f>
        <v>2702968.14</v>
      </c>
      <c r="Q28" s="4"/>
      <c r="R28" s="13">
        <f t="shared" ref="R28:R29" si="4">IF(P$12=0,0,P28/P$12)</f>
        <v>0</v>
      </c>
      <c r="S28" s="4"/>
      <c r="T28" s="4">
        <f>-359271.52</f>
        <v>-359271.52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3062239.66</v>
      </c>
      <c r="Y28" s="4"/>
      <c r="Z28" s="13">
        <f t="shared" ref="Z28:Z29" si="7">IF(T28=0,0,X28/T28)</f>
        <v>-8.5234689908067303</v>
      </c>
    </row>
    <row r="29" spans="1:26" s="24" customFormat="1" x14ac:dyDescent="0.25">
      <c r="A29" s="51"/>
      <c r="B29" s="11" t="s">
        <v>81</v>
      </c>
      <c r="C29" s="11"/>
      <c r="D29" s="4">
        <f>--11468.39</f>
        <v>11468.39</v>
      </c>
      <c r="E29" s="4"/>
      <c r="F29" s="13">
        <f t="shared" si="0"/>
        <v>0</v>
      </c>
      <c r="G29" s="4"/>
      <c r="H29" s="4">
        <f>--23915.4</f>
        <v>23915.4</v>
      </c>
      <c r="I29" s="4"/>
      <c r="J29" s="13">
        <f t="shared" si="1"/>
        <v>0</v>
      </c>
      <c r="K29" s="4"/>
      <c r="L29" s="4">
        <f t="shared" si="2"/>
        <v>-12447.010000000002</v>
      </c>
      <c r="M29" s="4"/>
      <c r="N29" s="13">
        <f t="shared" si="3"/>
        <v>-0.52046003830168019</v>
      </c>
      <c r="O29" s="11"/>
      <c r="P29" s="4">
        <f>--104227.92</f>
        <v>104227.92</v>
      </c>
      <c r="Q29" s="4"/>
      <c r="R29" s="13">
        <f t="shared" si="4"/>
        <v>0</v>
      </c>
      <c r="S29" s="4"/>
      <c r="T29" s="4">
        <f>--267586.13</f>
        <v>267586.13</v>
      </c>
      <c r="U29" s="4"/>
      <c r="V29" s="13">
        <f t="shared" si="5"/>
        <v>0</v>
      </c>
      <c r="W29" s="4"/>
      <c r="X29" s="4">
        <f t="shared" si="6"/>
        <v>-163358.21000000002</v>
      </c>
      <c r="Y29" s="4"/>
      <c r="Z29" s="13">
        <f t="shared" si="7"/>
        <v>-0.61048833136455916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293</v>
      </c>
      <c r="C31" s="28"/>
      <c r="D31" s="30">
        <f>SUM(D26:D30)</f>
        <v>82939.63</v>
      </c>
      <c r="E31" s="14"/>
      <c r="F31" s="31">
        <f>IF(D$12=0,0,D31/D$12)</f>
        <v>0</v>
      </c>
      <c r="G31" s="14"/>
      <c r="H31" s="30">
        <f>SUM(H26:H30)</f>
        <v>526031.15</v>
      </c>
      <c r="I31" s="14"/>
      <c r="J31" s="31">
        <f>IF(H$12=0,0,H31/H$12)</f>
        <v>0</v>
      </c>
      <c r="K31" s="15"/>
      <c r="L31" s="30">
        <f>+D31-H31</f>
        <v>-443091.52</v>
      </c>
      <c r="M31" s="15"/>
      <c r="N31" s="31">
        <f>IF(H31=0,0,L31/H31)</f>
        <v>-0.8423294323919791</v>
      </c>
      <c r="O31" s="29"/>
      <c r="P31" s="30">
        <f>SUM(P26:P30)</f>
        <v>2807196.06</v>
      </c>
      <c r="Q31" s="14"/>
      <c r="R31" s="31">
        <f>IF(P$12=0,0,P31/P$12)</f>
        <v>0</v>
      </c>
      <c r="S31" s="14"/>
      <c r="T31" s="30">
        <f>SUM(T26:T30)</f>
        <v>-91685.390000000014</v>
      </c>
      <c r="U31" s="14"/>
      <c r="V31" s="31">
        <f>IF(T$12=0,0,T31/T$12)</f>
        <v>0</v>
      </c>
      <c r="W31" s="15"/>
      <c r="X31" s="30">
        <f>+P31-T31</f>
        <v>2898881.45</v>
      </c>
      <c r="Y31" s="15"/>
      <c r="Z31" s="31">
        <f>IF(T31=0,0,X31/T31)</f>
        <v>-31.617703213129154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44356.893348032405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2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213156.25999999998</v>
      </c>
      <c r="E18" s="22"/>
      <c r="F18" s="32">
        <f t="shared" ref="F18:F30" si="0">IF(D$12=0,0,D18/D$12)</f>
        <v>0</v>
      </c>
      <c r="G18" s="22"/>
      <c r="H18" s="22">
        <f>SUM(OSRRefH22x_0)</f>
        <v>194155.12000000008</v>
      </c>
      <c r="I18" s="22"/>
      <c r="J18" s="32">
        <f t="shared" ref="J18:J30" si="1">IF(H$12=0,0,H18/H$12)</f>
        <v>0</v>
      </c>
      <c r="K18" s="4"/>
      <c r="L18" s="22">
        <f t="shared" ref="L18:L30" si="2">+D18-H18</f>
        <v>19001.139999999898</v>
      </c>
      <c r="M18" s="4"/>
      <c r="N18" s="32">
        <f t="shared" ref="N18:N30" si="3">IF(H18=0,0,L18/H18)</f>
        <v>9.78657683608853E-2</v>
      </c>
      <c r="O18" s="11"/>
      <c r="P18" s="22">
        <f>SUM(OSRRefP22x_0)</f>
        <v>2096793.0899999996</v>
      </c>
      <c r="Q18" s="22"/>
      <c r="R18" s="32">
        <f t="shared" ref="R18:R30" si="4">IF(P$12=0,0,P18/P$12)</f>
        <v>0</v>
      </c>
      <c r="S18" s="22"/>
      <c r="T18" s="22">
        <f>SUM(OSRRefT22x_0)</f>
        <v>3321539.6799999992</v>
      </c>
      <c r="U18" s="22"/>
      <c r="V18" s="32">
        <f t="shared" ref="V18:V30" si="5">IF(T$12=0,0,T18/T$12)</f>
        <v>0</v>
      </c>
      <c r="W18" s="4"/>
      <c r="X18" s="22">
        <f t="shared" ref="X18:X30" si="6">+P18-T18</f>
        <v>-1224746.5899999996</v>
      </c>
      <c r="Y18" s="4"/>
      <c r="Z18" s="32">
        <f t="shared" ref="Z18:Z30" si="7">IF(T18=0,0,X18/T18)</f>
        <v>-0.3687285740930844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83399.63</v>
      </c>
      <c r="E19" s="1"/>
      <c r="F19" s="5">
        <f t="shared" si="0"/>
        <v>0</v>
      </c>
      <c r="G19" s="1"/>
      <c r="H19" s="1">
        <f>SUM(OSRRefH22_0x_0)</f>
        <v>78735.78</v>
      </c>
      <c r="I19" s="1"/>
      <c r="J19" s="5">
        <f t="shared" si="1"/>
        <v>0</v>
      </c>
      <c r="K19" s="1"/>
      <c r="L19" s="1">
        <f t="shared" si="2"/>
        <v>4663.8500000000058</v>
      </c>
      <c r="M19" s="1"/>
      <c r="N19" s="5">
        <f t="shared" si="3"/>
        <v>5.9234188065451387E-2</v>
      </c>
      <c r="O19" s="12"/>
      <c r="P19" s="1">
        <f>SUM(OSRRefP22_0x_0)</f>
        <v>510171.93999999994</v>
      </c>
      <c r="Q19" s="1"/>
      <c r="R19" s="5">
        <f t="shared" si="4"/>
        <v>0</v>
      </c>
      <c r="S19" s="1"/>
      <c r="T19" s="1">
        <f>SUM(OSRRefT22_0x_0)</f>
        <v>949504.83</v>
      </c>
      <c r="U19" s="1"/>
      <c r="V19" s="5">
        <f t="shared" si="5"/>
        <v>0</v>
      </c>
      <c r="W19" s="1"/>
      <c r="X19" s="1">
        <f t="shared" si="6"/>
        <v>-439332.89</v>
      </c>
      <c r="Y19" s="1"/>
      <c r="Z19" s="5">
        <f t="shared" si="7"/>
        <v>-0.46269684589176868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7063.83</v>
      </c>
      <c r="E20" s="2"/>
      <c r="F20" s="7">
        <f t="shared" si="0"/>
        <v>0</v>
      </c>
      <c r="G20" s="2"/>
      <c r="H20" s="6">
        <v>7354.45</v>
      </c>
      <c r="I20" s="2"/>
      <c r="J20" s="7">
        <f t="shared" si="1"/>
        <v>0</v>
      </c>
      <c r="K20" s="2"/>
      <c r="L20" s="6">
        <f t="shared" si="2"/>
        <v>-290.61999999999989</v>
      </c>
      <c r="M20" s="2"/>
      <c r="N20" s="7">
        <f t="shared" si="3"/>
        <v>-3.9516211273446677E-2</v>
      </c>
      <c r="O20" s="10"/>
      <c r="P20" s="6">
        <v>86438.52</v>
      </c>
      <c r="Q20" s="2"/>
      <c r="R20" s="7">
        <f t="shared" si="4"/>
        <v>0</v>
      </c>
      <c r="S20" s="2"/>
      <c r="T20" s="6">
        <v>105786.9</v>
      </c>
      <c r="U20" s="2"/>
      <c r="V20" s="7">
        <f t="shared" si="5"/>
        <v>0</v>
      </c>
      <c r="W20" s="2"/>
      <c r="X20" s="6">
        <f t="shared" si="6"/>
        <v>-19348.37999999999</v>
      </c>
      <c r="Y20" s="2"/>
      <c r="Z20" s="7">
        <f t="shared" si="7"/>
        <v>-0.18289958397495334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884.42</v>
      </c>
      <c r="E21" s="2"/>
      <c r="F21" s="7">
        <f t="shared" si="0"/>
        <v>0</v>
      </c>
      <c r="G21" s="2"/>
      <c r="H21" s="6">
        <v>894.97</v>
      </c>
      <c r="I21" s="2"/>
      <c r="J21" s="7">
        <f t="shared" si="1"/>
        <v>0</v>
      </c>
      <c r="K21" s="2"/>
      <c r="L21" s="6">
        <f t="shared" si="2"/>
        <v>-10.550000000000068</v>
      </c>
      <c r="M21" s="2"/>
      <c r="N21" s="7">
        <f t="shared" si="3"/>
        <v>-1.1788104629205523E-2</v>
      </c>
      <c r="O21" s="10"/>
      <c r="P21" s="6">
        <v>7351.55</v>
      </c>
      <c r="Q21" s="2"/>
      <c r="R21" s="7">
        <f t="shared" si="4"/>
        <v>0</v>
      </c>
      <c r="S21" s="2"/>
      <c r="T21" s="6">
        <v>7659.82</v>
      </c>
      <c r="U21" s="2"/>
      <c r="V21" s="7">
        <f t="shared" si="5"/>
        <v>0</v>
      </c>
      <c r="W21" s="2"/>
      <c r="X21" s="6">
        <f t="shared" si="6"/>
        <v>-308.26999999999953</v>
      </c>
      <c r="Y21" s="2"/>
      <c r="Z21" s="7">
        <f t="shared" si="7"/>
        <v>-4.0245071033000714E-2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22431.15</v>
      </c>
      <c r="E22" s="2"/>
      <c r="F22" s="7">
        <f t="shared" si="0"/>
        <v>0</v>
      </c>
      <c r="G22" s="2"/>
      <c r="H22" s="6">
        <v>22589.05</v>
      </c>
      <c r="I22" s="2"/>
      <c r="J22" s="7">
        <f t="shared" si="1"/>
        <v>0</v>
      </c>
      <c r="K22" s="2"/>
      <c r="L22" s="6">
        <f t="shared" si="2"/>
        <v>-157.89999999999782</v>
      </c>
      <c r="M22" s="2"/>
      <c r="N22" s="7">
        <f t="shared" si="3"/>
        <v>-6.990112465995596E-3</v>
      </c>
      <c r="O22" s="10"/>
      <c r="P22" s="6">
        <v>250123.53</v>
      </c>
      <c r="Q22" s="2"/>
      <c r="R22" s="7">
        <f t="shared" si="4"/>
        <v>0</v>
      </c>
      <c r="S22" s="2"/>
      <c r="T22" s="6">
        <v>253160.8</v>
      </c>
      <c r="U22" s="2"/>
      <c r="V22" s="7">
        <f t="shared" si="5"/>
        <v>0</v>
      </c>
      <c r="W22" s="2"/>
      <c r="X22" s="6">
        <f t="shared" si="6"/>
        <v>-3037.2699999999895</v>
      </c>
      <c r="Y22" s="2"/>
      <c r="Z22" s="7">
        <f t="shared" si="7"/>
        <v>-1.1997394541334952E-2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364.88</v>
      </c>
      <c r="E23" s="2"/>
      <c r="F23" s="7">
        <f t="shared" si="0"/>
        <v>0</v>
      </c>
      <c r="G23" s="2"/>
      <c r="H23" s="6">
        <v>379.85</v>
      </c>
      <c r="I23" s="2"/>
      <c r="J23" s="7">
        <f t="shared" si="1"/>
        <v>0</v>
      </c>
      <c r="K23" s="2"/>
      <c r="L23" s="6">
        <f t="shared" si="2"/>
        <v>-14.970000000000027</v>
      </c>
      <c r="M23" s="2"/>
      <c r="N23" s="7">
        <f t="shared" si="3"/>
        <v>-3.941029353692254E-2</v>
      </c>
      <c r="O23" s="10"/>
      <c r="P23" s="6">
        <v>3144.75</v>
      </c>
      <c r="Q23" s="2"/>
      <c r="R23" s="7">
        <f t="shared" si="4"/>
        <v>0</v>
      </c>
      <c r="S23" s="2"/>
      <c r="T23" s="6">
        <v>4238.08</v>
      </c>
      <c r="U23" s="2"/>
      <c r="V23" s="7">
        <f t="shared" si="5"/>
        <v>0</v>
      </c>
      <c r="W23" s="2"/>
      <c r="X23" s="6">
        <f t="shared" si="6"/>
        <v>-1093.33</v>
      </c>
      <c r="Y23" s="2"/>
      <c r="Z23" s="7">
        <f t="shared" si="7"/>
        <v>-0.25797766913319237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7812.41</v>
      </c>
      <c r="E24" s="2"/>
      <c r="F24" s="7">
        <f t="shared" si="0"/>
        <v>0</v>
      </c>
      <c r="G24" s="2"/>
      <c r="H24" s="6">
        <v>6869.17</v>
      </c>
      <c r="I24" s="2"/>
      <c r="J24" s="7">
        <f t="shared" si="1"/>
        <v>0</v>
      </c>
      <c r="K24" s="2"/>
      <c r="L24" s="6">
        <f t="shared" si="2"/>
        <v>943.23999999999978</v>
      </c>
      <c r="M24" s="2"/>
      <c r="N24" s="7">
        <f t="shared" si="3"/>
        <v>0.13731498856484842</v>
      </c>
      <c r="O24" s="10"/>
      <c r="P24" s="6">
        <v>98000.38</v>
      </c>
      <c r="Q24" s="2"/>
      <c r="R24" s="7">
        <f t="shared" si="4"/>
        <v>0</v>
      </c>
      <c r="S24" s="2"/>
      <c r="T24" s="6">
        <v>94454.88</v>
      </c>
      <c r="U24" s="2"/>
      <c r="V24" s="7">
        <f t="shared" si="5"/>
        <v>0</v>
      </c>
      <c r="W24" s="2"/>
      <c r="X24" s="6">
        <f t="shared" si="6"/>
        <v>3545.5</v>
      </c>
      <c r="Y24" s="2"/>
      <c r="Z24" s="7">
        <f t="shared" si="7"/>
        <v>3.7536440679401636E-2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>
        <v>4846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4846</v>
      </c>
      <c r="M25" s="2"/>
      <c r="N25" s="7">
        <f t="shared" si="3"/>
        <v>0</v>
      </c>
      <c r="O25" s="10"/>
      <c r="P25" s="6">
        <v>4846</v>
      </c>
      <c r="Q25" s="2"/>
      <c r="R25" s="7">
        <f t="shared" si="4"/>
        <v>0</v>
      </c>
      <c r="S25" s="2"/>
      <c r="T25" s="6">
        <v>5070.88</v>
      </c>
      <c r="U25" s="2"/>
      <c r="V25" s="7">
        <f t="shared" si="5"/>
        <v>0</v>
      </c>
      <c r="W25" s="2"/>
      <c r="X25" s="6">
        <f t="shared" si="6"/>
        <v>-224.88000000000011</v>
      </c>
      <c r="Y25" s="2"/>
      <c r="Z25" s="7">
        <f t="shared" si="7"/>
        <v>-4.4347332218470974E-2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534.51</v>
      </c>
      <c r="E26" s="2"/>
      <c r="F26" s="7">
        <f t="shared" si="0"/>
        <v>0</v>
      </c>
      <c r="G26" s="2"/>
      <c r="H26" s="6">
        <v>627.4</v>
      </c>
      <c r="I26" s="2"/>
      <c r="J26" s="7">
        <f t="shared" si="1"/>
        <v>0</v>
      </c>
      <c r="K26" s="2"/>
      <c r="L26" s="6">
        <f t="shared" si="2"/>
        <v>-92.889999999999986</v>
      </c>
      <c r="M26" s="2"/>
      <c r="N26" s="7">
        <f t="shared" si="3"/>
        <v>-0.14805546700669428</v>
      </c>
      <c r="O26" s="10"/>
      <c r="P26" s="6">
        <v>7578.29</v>
      </c>
      <c r="Q26" s="2"/>
      <c r="R26" s="7">
        <f t="shared" si="4"/>
        <v>0</v>
      </c>
      <c r="S26" s="2"/>
      <c r="T26" s="6">
        <v>9484.66</v>
      </c>
      <c r="U26" s="2"/>
      <c r="V26" s="7">
        <f t="shared" si="5"/>
        <v>0</v>
      </c>
      <c r="W26" s="2"/>
      <c r="X26" s="6">
        <f t="shared" si="6"/>
        <v>-1906.37</v>
      </c>
      <c r="Y26" s="2"/>
      <c r="Z26" s="7">
        <f t="shared" si="7"/>
        <v>-0.20099508047731809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6667.62</v>
      </c>
      <c r="E27" s="2"/>
      <c r="F27" s="7">
        <f t="shared" si="0"/>
        <v>0</v>
      </c>
      <c r="G27" s="2"/>
      <c r="H27" s="6">
        <v>5289.6</v>
      </c>
      <c r="I27" s="2"/>
      <c r="J27" s="7">
        <f t="shared" si="1"/>
        <v>0</v>
      </c>
      <c r="K27" s="2"/>
      <c r="L27" s="6">
        <f t="shared" si="2"/>
        <v>1378.0199999999995</v>
      </c>
      <c r="M27" s="2"/>
      <c r="N27" s="7">
        <f t="shared" si="3"/>
        <v>0.26051497277676938</v>
      </c>
      <c r="O27" s="10"/>
      <c r="P27" s="6">
        <v>73631.58</v>
      </c>
      <c r="Q27" s="2"/>
      <c r="R27" s="7">
        <f t="shared" si="4"/>
        <v>0</v>
      </c>
      <c r="S27" s="2"/>
      <c r="T27" s="6">
        <v>93063.02</v>
      </c>
      <c r="U27" s="2"/>
      <c r="V27" s="7">
        <f t="shared" si="5"/>
        <v>0</v>
      </c>
      <c r="W27" s="2"/>
      <c r="X27" s="6">
        <f t="shared" si="6"/>
        <v>-19431.440000000002</v>
      </c>
      <c r="Y27" s="2"/>
      <c r="Z27" s="7">
        <f t="shared" si="7"/>
        <v>-0.20879872585265341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4003.52</v>
      </c>
      <c r="E28" s="2"/>
      <c r="F28" s="7">
        <f t="shared" si="0"/>
        <v>0</v>
      </c>
      <c r="G28" s="2"/>
      <c r="H28" s="6">
        <v>4151.12</v>
      </c>
      <c r="I28" s="2"/>
      <c r="J28" s="7">
        <f t="shared" si="1"/>
        <v>0</v>
      </c>
      <c r="K28" s="2"/>
      <c r="L28" s="6">
        <f t="shared" si="2"/>
        <v>-147.59999999999991</v>
      </c>
      <c r="M28" s="2"/>
      <c r="N28" s="7">
        <f t="shared" si="3"/>
        <v>-3.5556669043535216E-2</v>
      </c>
      <c r="O28" s="10"/>
      <c r="P28" s="6">
        <v>48927.839999999997</v>
      </c>
      <c r="Q28" s="2"/>
      <c r="R28" s="7">
        <f t="shared" si="4"/>
        <v>0</v>
      </c>
      <c r="S28" s="2"/>
      <c r="T28" s="6">
        <v>36508.6</v>
      </c>
      <c r="U28" s="2"/>
      <c r="V28" s="7">
        <f t="shared" si="5"/>
        <v>0</v>
      </c>
      <c r="W28" s="2"/>
      <c r="X28" s="6">
        <f t="shared" si="6"/>
        <v>12419.239999999998</v>
      </c>
      <c r="Y28" s="2"/>
      <c r="Z28" s="7">
        <f t="shared" si="7"/>
        <v>0.34017300033416781</v>
      </c>
    </row>
    <row r="29" spans="1:26" s="23" customFormat="1" hidden="1" outlineLevel="2" x14ac:dyDescent="0.25">
      <c r="A29" s="27"/>
      <c r="B29" s="10" t="str">
        <f>CONCATENATE("          ", "6120", " - ", "RETIREES HEALTH INSURANCE")</f>
        <v xml:space="preserve">          6120 - RETIREES HEALTH INSURANCE</v>
      </c>
      <c r="C29" s="10"/>
      <c r="D29" s="6">
        <v>28124.68</v>
      </c>
      <c r="E29" s="2"/>
      <c r="F29" s="7">
        <f t="shared" si="0"/>
        <v>0</v>
      </c>
      <c r="G29" s="2"/>
      <c r="H29" s="6">
        <v>30337.67</v>
      </c>
      <c r="I29" s="2"/>
      <c r="J29" s="7">
        <f t="shared" si="1"/>
        <v>0</v>
      </c>
      <c r="K29" s="2"/>
      <c r="L29" s="6">
        <f t="shared" si="2"/>
        <v>-2212.989999999998</v>
      </c>
      <c r="M29" s="2"/>
      <c r="N29" s="7">
        <f t="shared" si="3"/>
        <v>-7.2945285514675259E-2</v>
      </c>
      <c r="O29" s="10"/>
      <c r="P29" s="6">
        <v>-76693.88</v>
      </c>
      <c r="Q29" s="2"/>
      <c r="R29" s="7">
        <f t="shared" si="4"/>
        <v>0</v>
      </c>
      <c r="S29" s="2"/>
      <c r="T29" s="6">
        <v>317995.81</v>
      </c>
      <c r="U29" s="2"/>
      <c r="V29" s="7">
        <f t="shared" si="5"/>
        <v>0</v>
      </c>
      <c r="W29" s="2"/>
      <c r="X29" s="6">
        <f t="shared" si="6"/>
        <v>-394689.69</v>
      </c>
      <c r="Y29" s="2"/>
      <c r="Z29" s="7">
        <f t="shared" si="7"/>
        <v>-1.2411789010679104</v>
      </c>
    </row>
    <row r="30" spans="1:26" s="23" customFormat="1" hidden="1" outlineLevel="2" x14ac:dyDescent="0.25">
      <c r="A30" s="27"/>
      <c r="B30" s="10" t="str">
        <f>CONCATENATE("          ", "6156", " - ", "EMPLOYEE MEALS")</f>
        <v xml:space="preserve">          6156 - EMPLOYEE MEALS</v>
      </c>
      <c r="C30" s="10"/>
      <c r="D30" s="6">
        <v>666.61</v>
      </c>
      <c r="E30" s="2"/>
      <c r="F30" s="7">
        <f t="shared" si="0"/>
        <v>0</v>
      </c>
      <c r="G30" s="2"/>
      <c r="H30" s="6">
        <v>242.5</v>
      </c>
      <c r="I30" s="2"/>
      <c r="J30" s="7">
        <f t="shared" si="1"/>
        <v>0</v>
      </c>
      <c r="K30" s="2"/>
      <c r="L30" s="6">
        <f t="shared" si="2"/>
        <v>424.11</v>
      </c>
      <c r="M30" s="2"/>
      <c r="N30" s="7">
        <f t="shared" si="3"/>
        <v>1.7489072164948454</v>
      </c>
      <c r="O30" s="10"/>
      <c r="P30" s="6">
        <v>6823.38</v>
      </c>
      <c r="Q30" s="2"/>
      <c r="R30" s="7">
        <f t="shared" si="4"/>
        <v>0</v>
      </c>
      <c r="S30" s="2"/>
      <c r="T30" s="6">
        <v>22081.38</v>
      </c>
      <c r="U30" s="2"/>
      <c r="V30" s="7">
        <f t="shared" si="5"/>
        <v>0</v>
      </c>
      <c r="W30" s="2"/>
      <c r="X30" s="6">
        <f t="shared" si="6"/>
        <v>-15258</v>
      </c>
      <c r="Y30" s="2"/>
      <c r="Z30" s="7">
        <f t="shared" si="7"/>
        <v>-0.69098942185678613</v>
      </c>
    </row>
    <row r="31" spans="1:26" s="26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89430.22</v>
      </c>
      <c r="E31" s="1"/>
      <c r="F31" s="5">
        <f t="shared" ref="F31:F38" si="8">IF(D$12=0,0,D31/D$12)</f>
        <v>0</v>
      </c>
      <c r="G31" s="1"/>
      <c r="H31" s="1">
        <f>SUM(OSRRefH22_1x_0)</f>
        <v>79318.179999999993</v>
      </c>
      <c r="I31" s="1"/>
      <c r="J31" s="5">
        <f t="shared" ref="J31:J38" si="9">IF(H$12=0,0,H31/H$12)</f>
        <v>0</v>
      </c>
      <c r="K31" s="1"/>
      <c r="L31" s="1">
        <f t="shared" ref="L31:L38" si="10">+D31-H31</f>
        <v>10112.040000000008</v>
      </c>
      <c r="M31" s="1"/>
      <c r="N31" s="5">
        <f t="shared" ref="N31:N38" si="11">IF(H31=0,0,L31/H31)</f>
        <v>0.12748704017162282</v>
      </c>
      <c r="O31" s="12"/>
      <c r="P31" s="1">
        <f>SUM(OSRRefP22_1x_0)</f>
        <v>1023459.4400000001</v>
      </c>
      <c r="Q31" s="1"/>
      <c r="R31" s="5">
        <f t="shared" ref="R31:R38" si="12">IF(P$12=0,0,P31/P$12)</f>
        <v>0</v>
      </c>
      <c r="S31" s="1"/>
      <c r="T31" s="1">
        <f>SUM(OSRRefT22_1x_0)</f>
        <v>1227632.08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-204172.64</v>
      </c>
      <c r="Y31" s="1"/>
      <c r="Z31" s="5">
        <f t="shared" ref="Z31:Z38" si="15">IF(T31=0,0,X31/T31)</f>
        <v>-0.16631419407026249</v>
      </c>
    </row>
    <row r="32" spans="1:26" s="23" customFormat="1" hidden="1" outlineLevel="2" x14ac:dyDescent="0.25">
      <c r="A32" s="27"/>
      <c r="B32" s="10" t="str">
        <f>CONCATENATE("          ", "6001", " - ", "ADMINISTRATIVE SALARIES")</f>
        <v xml:space="preserve">          6001 - ADMINISTRATIVE SALARIES</v>
      </c>
      <c r="C32" s="10"/>
      <c r="D32" s="6">
        <v>21866.82</v>
      </c>
      <c r="E32" s="2"/>
      <c r="F32" s="7">
        <f t="shared" si="8"/>
        <v>0</v>
      </c>
      <c r="G32" s="2"/>
      <c r="H32" s="6">
        <v>23351.02</v>
      </c>
      <c r="I32" s="2"/>
      <c r="J32" s="7">
        <f t="shared" si="9"/>
        <v>0</v>
      </c>
      <c r="K32" s="2"/>
      <c r="L32" s="6">
        <f t="shared" si="10"/>
        <v>-1484.2000000000007</v>
      </c>
      <c r="M32" s="2"/>
      <c r="N32" s="7">
        <f t="shared" si="11"/>
        <v>-6.3560392650942044E-2</v>
      </c>
      <c r="O32" s="10"/>
      <c r="P32" s="6">
        <v>272324.67</v>
      </c>
      <c r="Q32" s="2"/>
      <c r="R32" s="7">
        <f t="shared" si="12"/>
        <v>0</v>
      </c>
      <c r="S32" s="2"/>
      <c r="T32" s="6">
        <v>275310.42</v>
      </c>
      <c r="U32" s="2"/>
      <c r="V32" s="7">
        <f t="shared" si="13"/>
        <v>0</v>
      </c>
      <c r="W32" s="2"/>
      <c r="X32" s="6">
        <f t="shared" si="14"/>
        <v>-2985.75</v>
      </c>
      <c r="Y32" s="2"/>
      <c r="Z32" s="7">
        <f t="shared" si="15"/>
        <v>-1.0845030856441977E-2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47127.4</v>
      </c>
      <c r="E33" s="2"/>
      <c r="F33" s="7">
        <f t="shared" si="8"/>
        <v>0</v>
      </c>
      <c r="G33" s="2"/>
      <c r="H33" s="6">
        <v>31095.87</v>
      </c>
      <c r="I33" s="2"/>
      <c r="J33" s="7">
        <f t="shared" si="9"/>
        <v>0</v>
      </c>
      <c r="K33" s="2"/>
      <c r="L33" s="6">
        <f t="shared" si="10"/>
        <v>16031.530000000002</v>
      </c>
      <c r="M33" s="2"/>
      <c r="N33" s="7">
        <f t="shared" si="11"/>
        <v>0.51555174368814904</v>
      </c>
      <c r="O33" s="10"/>
      <c r="P33" s="6">
        <v>535535.34</v>
      </c>
      <c r="Q33" s="2"/>
      <c r="R33" s="7">
        <f t="shared" si="12"/>
        <v>0</v>
      </c>
      <c r="S33" s="2"/>
      <c r="T33" s="6">
        <v>523370.88</v>
      </c>
      <c r="U33" s="2"/>
      <c r="V33" s="7">
        <f t="shared" si="13"/>
        <v>0</v>
      </c>
      <c r="W33" s="2"/>
      <c r="X33" s="6">
        <f t="shared" si="14"/>
        <v>12164.459999999963</v>
      </c>
      <c r="Y33" s="2"/>
      <c r="Z33" s="7">
        <f t="shared" si="15"/>
        <v>2.3242523542769445E-2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14271.81</v>
      </c>
      <c r="E34" s="2"/>
      <c r="F34" s="7">
        <f t="shared" si="8"/>
        <v>0</v>
      </c>
      <c r="G34" s="2"/>
      <c r="H34" s="6">
        <v>17283.11</v>
      </c>
      <c r="I34" s="2"/>
      <c r="J34" s="7">
        <f t="shared" si="9"/>
        <v>0</v>
      </c>
      <c r="K34" s="2"/>
      <c r="L34" s="6">
        <f t="shared" si="10"/>
        <v>-3011.3000000000011</v>
      </c>
      <c r="M34" s="2"/>
      <c r="N34" s="7">
        <f t="shared" si="11"/>
        <v>-0.17423368826559577</v>
      </c>
      <c r="O34" s="10"/>
      <c r="P34" s="6">
        <v>187472.52</v>
      </c>
      <c r="Q34" s="2"/>
      <c r="R34" s="7">
        <f t="shared" si="12"/>
        <v>0</v>
      </c>
      <c r="S34" s="2"/>
      <c r="T34" s="6">
        <v>237156.58</v>
      </c>
      <c r="U34" s="2"/>
      <c r="V34" s="7">
        <f t="shared" si="13"/>
        <v>0</v>
      </c>
      <c r="W34" s="2"/>
      <c r="X34" s="6">
        <f t="shared" si="14"/>
        <v>-49684.06</v>
      </c>
      <c r="Y34" s="2"/>
      <c r="Z34" s="7">
        <f t="shared" si="15"/>
        <v>-0.20949897321002015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4870.13</v>
      </c>
      <c r="E35" s="2"/>
      <c r="F35" s="7">
        <f t="shared" si="8"/>
        <v>0</v>
      </c>
      <c r="G35" s="2"/>
      <c r="H35" s="6">
        <v>6294.12</v>
      </c>
      <c r="I35" s="2"/>
      <c r="J35" s="7">
        <f t="shared" si="9"/>
        <v>0</v>
      </c>
      <c r="K35" s="2"/>
      <c r="L35" s="6">
        <f t="shared" si="10"/>
        <v>-1423.9899999999998</v>
      </c>
      <c r="M35" s="2"/>
      <c r="N35" s="7">
        <f t="shared" si="11"/>
        <v>-0.22624131729296545</v>
      </c>
      <c r="O35" s="10"/>
      <c r="P35" s="6">
        <v>58204.01</v>
      </c>
      <c r="Q35" s="2"/>
      <c r="R35" s="7">
        <f t="shared" si="12"/>
        <v>0</v>
      </c>
      <c r="S35" s="2"/>
      <c r="T35" s="6">
        <v>107584.9</v>
      </c>
      <c r="U35" s="2"/>
      <c r="V35" s="7">
        <f t="shared" si="13"/>
        <v>0</v>
      </c>
      <c r="W35" s="2"/>
      <c r="X35" s="6">
        <f t="shared" si="14"/>
        <v>-49380.889999999992</v>
      </c>
      <c r="Y35" s="2"/>
      <c r="Z35" s="7">
        <f t="shared" si="15"/>
        <v>-0.45899461727435725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0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0"/>
      <c r="P37" s="6">
        <v>-44841.01</v>
      </c>
      <c r="Q37" s="2"/>
      <c r="R37" s="7">
        <f t="shared" si="12"/>
        <v>0</v>
      </c>
      <c r="S37" s="2"/>
      <c r="T37" s="6">
        <v>62823.01</v>
      </c>
      <c r="U37" s="2"/>
      <c r="V37" s="7">
        <f t="shared" si="13"/>
        <v>0</v>
      </c>
      <c r="W37" s="2"/>
      <c r="X37" s="6">
        <f t="shared" si="14"/>
        <v>-107664.02</v>
      </c>
      <c r="Y37" s="2"/>
      <c r="Z37" s="7">
        <f t="shared" si="15"/>
        <v>-1.7137672964093889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>
        <v>1294.06</v>
      </c>
      <c r="E38" s="2"/>
      <c r="F38" s="7">
        <f t="shared" si="8"/>
        <v>0</v>
      </c>
      <c r="G38" s="2"/>
      <c r="H38" s="6">
        <v>1294.06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0"/>
      <c r="P38" s="6">
        <v>14763.91</v>
      </c>
      <c r="Q38" s="2"/>
      <c r="R38" s="7">
        <f t="shared" si="12"/>
        <v>0</v>
      </c>
      <c r="S38" s="2"/>
      <c r="T38" s="6">
        <v>19024.86</v>
      </c>
      <c r="U38" s="2"/>
      <c r="V38" s="7">
        <f t="shared" si="13"/>
        <v>0</v>
      </c>
      <c r="W38" s="2"/>
      <c r="X38" s="6">
        <f t="shared" si="14"/>
        <v>-4260.9500000000007</v>
      </c>
      <c r="Y38" s="2"/>
      <c r="Z38" s="7">
        <f t="shared" si="15"/>
        <v>-0.22396748254652074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245.18</v>
      </c>
      <c r="E39" s="1"/>
      <c r="F39" s="5">
        <f t="shared" ref="F39:F55" si="16">IF(D$12=0,0,D39/D$12)</f>
        <v>0</v>
      </c>
      <c r="G39" s="1"/>
      <c r="H39" s="1">
        <f>SUM(OSRRefH22_2x_0)</f>
        <v>173.21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71.97</v>
      </c>
      <c r="M39" s="1"/>
      <c r="N39" s="5">
        <f t="shared" ref="N39:N55" si="19">IF(H39=0,0,L39/H39)</f>
        <v>0.41550718780670859</v>
      </c>
      <c r="O39" s="12"/>
      <c r="P39" s="1">
        <f>SUM(OSRRefP22_2x_0)</f>
        <v>1977.17</v>
      </c>
      <c r="Q39" s="1"/>
      <c r="R39" s="5">
        <f t="shared" ref="R39:R55" si="20">IF(P$12=0,0,P39/P$12)</f>
        <v>0</v>
      </c>
      <c r="S39" s="1"/>
      <c r="T39" s="1">
        <f>SUM(OSRRefT22_2x_0)</f>
        <v>-31381.13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33358.300000000003</v>
      </c>
      <c r="Y39" s="1"/>
      <c r="Z39" s="5">
        <f t="shared" ref="Z39:Z55" si="23">IF(T39=0,0,X39/T39)</f>
        <v>-1.063005060684558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>
        <v>245.18</v>
      </c>
      <c r="E40" s="2"/>
      <c r="F40" s="7">
        <f t="shared" si="16"/>
        <v>0</v>
      </c>
      <c r="G40" s="2"/>
      <c r="H40" s="6">
        <v>173.21</v>
      </c>
      <c r="I40" s="2"/>
      <c r="J40" s="7">
        <f t="shared" si="17"/>
        <v>0</v>
      </c>
      <c r="K40" s="2"/>
      <c r="L40" s="6">
        <f t="shared" si="18"/>
        <v>71.97</v>
      </c>
      <c r="M40" s="2"/>
      <c r="N40" s="7">
        <f t="shared" si="19"/>
        <v>0.41550718780670859</v>
      </c>
      <c r="O40" s="10"/>
      <c r="P40" s="6">
        <v>1977.17</v>
      </c>
      <c r="Q40" s="2"/>
      <c r="R40" s="7">
        <f t="shared" si="20"/>
        <v>0</v>
      </c>
      <c r="S40" s="2"/>
      <c r="T40" s="6">
        <v>-31381.13</v>
      </c>
      <c r="U40" s="2"/>
      <c r="V40" s="7">
        <f t="shared" si="21"/>
        <v>0</v>
      </c>
      <c r="W40" s="2"/>
      <c r="X40" s="6">
        <f t="shared" si="22"/>
        <v>33358.300000000003</v>
      </c>
      <c r="Y40" s="2"/>
      <c r="Z40" s="7">
        <f t="shared" si="23"/>
        <v>-1.063005060684558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SUM(OSRRefD22_3x_0)</f>
        <v>7</v>
      </c>
      <c r="E41" s="1"/>
      <c r="F41" s="5">
        <f t="shared" si="16"/>
        <v>0</v>
      </c>
      <c r="G41" s="1"/>
      <c r="H41" s="1">
        <f>SUM(OSRRefH22_3x_0)</f>
        <v>-8.33</v>
      </c>
      <c r="I41" s="1"/>
      <c r="J41" s="5">
        <f t="shared" si="17"/>
        <v>0</v>
      </c>
      <c r="K41" s="1"/>
      <c r="L41" s="1">
        <f t="shared" si="18"/>
        <v>15.33</v>
      </c>
      <c r="M41" s="1"/>
      <c r="N41" s="5">
        <f t="shared" si="19"/>
        <v>-1.8403361344537814</v>
      </c>
      <c r="O41" s="12"/>
      <c r="P41" s="1">
        <f>SUM(OSRRefP22_3x_0)</f>
        <v>6996.07</v>
      </c>
      <c r="Q41" s="1"/>
      <c r="R41" s="5">
        <f t="shared" si="20"/>
        <v>0</v>
      </c>
      <c r="S41" s="1"/>
      <c r="T41" s="1">
        <f>SUM(OSRRefT22_3x_0)</f>
        <v>53952</v>
      </c>
      <c r="U41" s="1"/>
      <c r="V41" s="5">
        <f t="shared" si="21"/>
        <v>0</v>
      </c>
      <c r="W41" s="1"/>
      <c r="X41" s="1">
        <f t="shared" si="22"/>
        <v>-46955.93</v>
      </c>
      <c r="Y41" s="1"/>
      <c r="Z41" s="5">
        <f t="shared" si="23"/>
        <v>-0.8703278840450771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>
        <v>7</v>
      </c>
      <c r="E42" s="2"/>
      <c r="F42" s="7">
        <f t="shared" si="16"/>
        <v>0</v>
      </c>
      <c r="G42" s="2"/>
      <c r="H42" s="6">
        <v>-8.33</v>
      </c>
      <c r="I42" s="2"/>
      <c r="J42" s="7">
        <f t="shared" si="17"/>
        <v>0</v>
      </c>
      <c r="K42" s="2"/>
      <c r="L42" s="6">
        <f t="shared" si="18"/>
        <v>15.33</v>
      </c>
      <c r="M42" s="2"/>
      <c r="N42" s="7">
        <f t="shared" si="19"/>
        <v>-1.8403361344537814</v>
      </c>
      <c r="O42" s="10"/>
      <c r="P42" s="6">
        <v>6996.07</v>
      </c>
      <c r="Q42" s="2"/>
      <c r="R42" s="7">
        <f t="shared" si="20"/>
        <v>0</v>
      </c>
      <c r="S42" s="2"/>
      <c r="T42" s="6">
        <v>53952</v>
      </c>
      <c r="U42" s="2"/>
      <c r="V42" s="7">
        <f t="shared" si="21"/>
        <v>0</v>
      </c>
      <c r="W42" s="2"/>
      <c r="X42" s="6">
        <f t="shared" si="22"/>
        <v>-46955.93</v>
      </c>
      <c r="Y42" s="2"/>
      <c r="Z42" s="7">
        <f t="shared" si="23"/>
        <v>-0.8703278840450771</v>
      </c>
    </row>
    <row r="43" spans="1:26" s="26" customFormat="1" outlineLevel="1" collapsed="1" x14ac:dyDescent="0.25">
      <c r="A43" s="25"/>
      <c r="B43" s="12" t="str">
        <f>CONCATENATE("     ","Board                                             ")</f>
        <v xml:space="preserve">     Board                                             </v>
      </c>
      <c r="C43" s="12"/>
      <c r="D43" s="1">
        <f>SUM(OSRRefD22_4x_0)</f>
        <v>1042.1099999999999</v>
      </c>
      <c r="E43" s="1"/>
      <c r="F43" s="5">
        <f t="shared" si="16"/>
        <v>0</v>
      </c>
      <c r="G43" s="1"/>
      <c r="H43" s="1">
        <f>SUM(OSRRefH22_4x_0)</f>
        <v>1240</v>
      </c>
      <c r="I43" s="1"/>
      <c r="J43" s="5">
        <f t="shared" si="17"/>
        <v>0</v>
      </c>
      <c r="K43" s="1"/>
      <c r="L43" s="1">
        <f t="shared" si="18"/>
        <v>-197.8900000000001</v>
      </c>
      <c r="M43" s="1"/>
      <c r="N43" s="5">
        <f t="shared" si="19"/>
        <v>-0.15958870967741945</v>
      </c>
      <c r="O43" s="12"/>
      <c r="P43" s="1">
        <f>SUM(OSRRefP22_4x_0)</f>
        <v>14198.02</v>
      </c>
      <c r="Q43" s="1"/>
      <c r="R43" s="5">
        <f t="shared" si="20"/>
        <v>0</v>
      </c>
      <c r="S43" s="1"/>
      <c r="T43" s="1">
        <f>SUM(OSRRefT22_4x_0)</f>
        <v>40982.71</v>
      </c>
      <c r="U43" s="1"/>
      <c r="V43" s="5">
        <f t="shared" si="21"/>
        <v>0</v>
      </c>
      <c r="W43" s="1"/>
      <c r="X43" s="1">
        <f t="shared" si="22"/>
        <v>-26784.69</v>
      </c>
      <c r="Y43" s="1"/>
      <c r="Z43" s="5">
        <f t="shared" si="23"/>
        <v>-0.65356073329460151</v>
      </c>
    </row>
    <row r="44" spans="1:26" s="23" customFormat="1" hidden="1" outlineLevel="2" x14ac:dyDescent="0.25">
      <c r="A44" s="27"/>
      <c r="B44" s="10" t="str">
        <f>CONCATENATE("          ", "6397", " - ", "BOARD EXPENSES")</f>
        <v xml:space="preserve">          6397 - BOARD EXPENSES</v>
      </c>
      <c r="C44" s="10"/>
      <c r="D44" s="6">
        <v>1042.1099999999999</v>
      </c>
      <c r="E44" s="2"/>
      <c r="F44" s="7">
        <f t="shared" si="16"/>
        <v>0</v>
      </c>
      <c r="G44" s="2"/>
      <c r="H44" s="6">
        <v>1240</v>
      </c>
      <c r="I44" s="2"/>
      <c r="J44" s="7">
        <f t="shared" si="17"/>
        <v>0</v>
      </c>
      <c r="K44" s="2"/>
      <c r="L44" s="6">
        <f t="shared" si="18"/>
        <v>-197.8900000000001</v>
      </c>
      <c r="M44" s="2"/>
      <c r="N44" s="7">
        <f t="shared" si="19"/>
        <v>-0.15958870967741945</v>
      </c>
      <c r="O44" s="10"/>
      <c r="P44" s="6">
        <v>14198.02</v>
      </c>
      <c r="Q44" s="2"/>
      <c r="R44" s="7">
        <f t="shared" si="20"/>
        <v>0</v>
      </c>
      <c r="S44" s="2"/>
      <c r="T44" s="6">
        <v>40982.71</v>
      </c>
      <c r="U44" s="2"/>
      <c r="V44" s="7">
        <f t="shared" si="21"/>
        <v>0</v>
      </c>
      <c r="W44" s="2"/>
      <c r="X44" s="6">
        <f t="shared" si="22"/>
        <v>-26784.69</v>
      </c>
      <c r="Y44" s="2"/>
      <c r="Z44" s="7">
        <f t="shared" si="23"/>
        <v>-0.65356073329460151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6764.56</v>
      </c>
      <c r="E45" s="1"/>
      <c r="F45" s="5">
        <f t="shared" si="16"/>
        <v>0</v>
      </c>
      <c r="G45" s="1"/>
      <c r="H45" s="1">
        <f>SUM(OSRRefH22_5x_0)</f>
        <v>7607.16</v>
      </c>
      <c r="I45" s="1"/>
      <c r="J45" s="5">
        <f t="shared" si="17"/>
        <v>0</v>
      </c>
      <c r="K45" s="1"/>
      <c r="L45" s="1">
        <f t="shared" si="18"/>
        <v>-842.59999999999945</v>
      </c>
      <c r="M45" s="1"/>
      <c r="N45" s="5">
        <f t="shared" si="19"/>
        <v>-0.1107640696396552</v>
      </c>
      <c r="O45" s="12"/>
      <c r="P45" s="1">
        <f>SUM(OSRRefP22_5x_0)</f>
        <v>78911.8</v>
      </c>
      <c r="Q45" s="1"/>
      <c r="R45" s="5">
        <f t="shared" si="20"/>
        <v>0</v>
      </c>
      <c r="S45" s="1"/>
      <c r="T45" s="1">
        <f>SUM(OSRRefT22_5x_0)</f>
        <v>92969.19</v>
      </c>
      <c r="U45" s="1"/>
      <c r="V45" s="5">
        <f t="shared" si="21"/>
        <v>0</v>
      </c>
      <c r="W45" s="1"/>
      <c r="X45" s="1">
        <f t="shared" si="22"/>
        <v>-14057.39</v>
      </c>
      <c r="Y45" s="1"/>
      <c r="Z45" s="5">
        <f t="shared" si="23"/>
        <v>-0.15120482387767387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6764.56</v>
      </c>
      <c r="E46" s="2"/>
      <c r="F46" s="7">
        <f t="shared" si="16"/>
        <v>0</v>
      </c>
      <c r="G46" s="2"/>
      <c r="H46" s="6">
        <v>7607.16</v>
      </c>
      <c r="I46" s="2"/>
      <c r="J46" s="7">
        <f t="shared" si="17"/>
        <v>0</v>
      </c>
      <c r="K46" s="2"/>
      <c r="L46" s="6">
        <f t="shared" si="18"/>
        <v>-842.59999999999945</v>
      </c>
      <c r="M46" s="2"/>
      <c r="N46" s="7">
        <f t="shared" si="19"/>
        <v>-0.1107640696396552</v>
      </c>
      <c r="O46" s="10"/>
      <c r="P46" s="6">
        <v>78911.8</v>
      </c>
      <c r="Q46" s="2"/>
      <c r="R46" s="7">
        <f t="shared" si="20"/>
        <v>0</v>
      </c>
      <c r="S46" s="2"/>
      <c r="T46" s="6">
        <v>92969.19</v>
      </c>
      <c r="U46" s="2"/>
      <c r="V46" s="7">
        <f t="shared" si="21"/>
        <v>0</v>
      </c>
      <c r="W46" s="2"/>
      <c r="X46" s="6">
        <f t="shared" si="22"/>
        <v>-14057.39</v>
      </c>
      <c r="Y46" s="2"/>
      <c r="Z46" s="7">
        <f t="shared" si="23"/>
        <v>-0.15120482387767387</v>
      </c>
    </row>
    <row r="47" spans="1:26" s="26" customFormat="1" outlineLevel="1" collapsed="1" x14ac:dyDescent="0.25">
      <c r="A47" s="25"/>
      <c r="B47" s="12" t="str">
        <f>CONCATENATE("     ","Donations                                         ")</f>
        <v xml:space="preserve">     Donations                                         </v>
      </c>
      <c r="C47" s="12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2"/>
      <c r="P47" s="1">
        <f>SUM(OSRRefP22_6x_0)</f>
        <v>26500</v>
      </c>
      <c r="Q47" s="1"/>
      <c r="R47" s="5">
        <f t="shared" si="20"/>
        <v>0</v>
      </c>
      <c r="S47" s="1"/>
      <c r="T47" s="1">
        <f>SUM(OSRRefT22_6x_0)</f>
        <v>248773.19</v>
      </c>
      <c r="U47" s="1"/>
      <c r="V47" s="5">
        <f t="shared" si="21"/>
        <v>0</v>
      </c>
      <c r="W47" s="1"/>
      <c r="X47" s="1">
        <f t="shared" si="22"/>
        <v>-222273.19</v>
      </c>
      <c r="Y47" s="1"/>
      <c r="Z47" s="5">
        <f t="shared" si="23"/>
        <v>-0.89347726738560529</v>
      </c>
    </row>
    <row r="48" spans="1:26" s="23" customFormat="1" hidden="1" outlineLevel="2" x14ac:dyDescent="0.25">
      <c r="A48" s="27"/>
      <c r="B48" s="10" t="str">
        <f>CONCATENATE("          ", "6399", " - ", "DONATION-ON CAMPUS")</f>
        <v xml:space="preserve">          6399 - DONATION-ON CAMPUS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26500</v>
      </c>
      <c r="Q48" s="2"/>
      <c r="R48" s="7">
        <f t="shared" si="20"/>
        <v>0</v>
      </c>
      <c r="S48" s="2"/>
      <c r="T48" s="6">
        <v>248773.19</v>
      </c>
      <c r="U48" s="2"/>
      <c r="V48" s="7">
        <f t="shared" si="21"/>
        <v>0</v>
      </c>
      <c r="W48" s="2"/>
      <c r="X48" s="6">
        <f t="shared" si="22"/>
        <v>-222273.19</v>
      </c>
      <c r="Y48" s="2"/>
      <c r="Z48" s="7">
        <f t="shared" si="23"/>
        <v>-0.89347726738560529</v>
      </c>
    </row>
    <row r="49" spans="1:26" s="26" customFormat="1" outlineLevel="1" collapsed="1" x14ac:dyDescent="0.25">
      <c r="A49" s="25"/>
      <c r="B49" s="12" t="str">
        <f>CONCATENATE("     ","Employees' Appreciation                           ")</f>
        <v xml:space="preserve">     Employees' Appreciation                           </v>
      </c>
      <c r="C49" s="12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2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29556.05</v>
      </c>
      <c r="U49" s="1"/>
      <c r="V49" s="5">
        <f t="shared" si="21"/>
        <v>0</v>
      </c>
      <c r="W49" s="1"/>
      <c r="X49" s="1">
        <f t="shared" si="22"/>
        <v>-29474.489999999998</v>
      </c>
      <c r="Y49" s="1"/>
      <c r="Z49" s="5">
        <f t="shared" si="23"/>
        <v>-0.99724049729243247</v>
      </c>
    </row>
    <row r="50" spans="1:26" s="23" customFormat="1" hidden="1" outlineLevel="2" x14ac:dyDescent="0.25">
      <c r="A50" s="27"/>
      <c r="B50" s="10" t="str">
        <f>CONCATENATE("          ", "6277", " - ", "EMPLOYEE APPRECIATION")</f>
        <v xml:space="preserve">          6277 - EMPLOYEE APPRECIATION</v>
      </c>
      <c r="C50" s="10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0"/>
      <c r="P50" s="6">
        <v>81.56</v>
      </c>
      <c r="Q50" s="2"/>
      <c r="R50" s="7">
        <f t="shared" si="20"/>
        <v>0</v>
      </c>
      <c r="S50" s="2"/>
      <c r="T50" s="6">
        <v>29556.05</v>
      </c>
      <c r="U50" s="2"/>
      <c r="V50" s="7">
        <f t="shared" si="21"/>
        <v>0</v>
      </c>
      <c r="W50" s="2"/>
      <c r="X50" s="6">
        <f t="shared" si="22"/>
        <v>-29474.489999999998</v>
      </c>
      <c r="Y50" s="2"/>
      <c r="Z50" s="7">
        <f t="shared" si="23"/>
        <v>-0.99724049729243247</v>
      </c>
    </row>
    <row r="51" spans="1:26" s="26" customFormat="1" outlineLevel="1" collapsed="1" x14ac:dyDescent="0.25">
      <c r="A51" s="25"/>
      <c r="B51" s="12" t="str">
        <f>CONCATENATE("     ","Equipment Rental                                  ")</f>
        <v xml:space="preserve">     Equipment Rental                                  </v>
      </c>
      <c r="C51" s="12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2"/>
      <c r="P51" s="1">
        <f>SUM(OSRRefP22_8x_0)</f>
        <v>2389.9299999999998</v>
      </c>
      <c r="Q51" s="1"/>
      <c r="R51" s="5">
        <f t="shared" si="20"/>
        <v>0</v>
      </c>
      <c r="S51" s="1"/>
      <c r="T51" s="1">
        <f>SUM(OSRRefT22_8x_0)</f>
        <v>2572.56</v>
      </c>
      <c r="U51" s="1"/>
      <c r="V51" s="5">
        <f t="shared" si="21"/>
        <v>0</v>
      </c>
      <c r="W51" s="1"/>
      <c r="X51" s="1">
        <f t="shared" si="22"/>
        <v>-182.63000000000011</v>
      </c>
      <c r="Y51" s="1"/>
      <c r="Z51" s="5">
        <f t="shared" si="23"/>
        <v>-7.0991541499518029E-2</v>
      </c>
    </row>
    <row r="52" spans="1:26" s="23" customFormat="1" hidden="1" outlineLevel="2" x14ac:dyDescent="0.25">
      <c r="A52" s="27"/>
      <c r="B52" s="10" t="str">
        <f>CONCATENATE("          ", "6351", " - ", "EQUIPMENT RENTAL")</f>
        <v xml:space="preserve">          6351 - EQUIPMENT RENTAL</v>
      </c>
      <c r="C52" s="10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0"/>
      <c r="P52" s="6">
        <v>2389.9299999999998</v>
      </c>
      <c r="Q52" s="2"/>
      <c r="R52" s="7">
        <f t="shared" si="20"/>
        <v>0</v>
      </c>
      <c r="S52" s="2"/>
      <c r="T52" s="6">
        <v>2572.56</v>
      </c>
      <c r="U52" s="2"/>
      <c r="V52" s="7">
        <f t="shared" si="21"/>
        <v>0</v>
      </c>
      <c r="W52" s="2"/>
      <c r="X52" s="6">
        <f t="shared" si="22"/>
        <v>-182.63000000000011</v>
      </c>
      <c r="Y52" s="2"/>
      <c r="Z52" s="7">
        <f t="shared" si="23"/>
        <v>-7.0991541499518029E-2</v>
      </c>
    </row>
    <row r="53" spans="1:26" s="26" customFormat="1" outlineLevel="1" collapsed="1" x14ac:dyDescent="0.25">
      <c r="A53" s="25"/>
      <c r="B53" s="12" t="str">
        <f>CONCATENATE("     ","Freight out/Postage                               ")</f>
        <v xml:space="preserve">     Freight out/Postage                               </v>
      </c>
      <c r="C53" s="12"/>
      <c r="D53" s="1">
        <f>SUM(OSRRefD22_9x_0)</f>
        <v>90.85</v>
      </c>
      <c r="E53" s="1"/>
      <c r="F53" s="5">
        <f t="shared" si="16"/>
        <v>0</v>
      </c>
      <c r="G53" s="1"/>
      <c r="H53" s="1">
        <f>SUM(OSRRefH22_9x_0)</f>
        <v>112</v>
      </c>
      <c r="I53" s="1"/>
      <c r="J53" s="5">
        <f t="shared" si="17"/>
        <v>0</v>
      </c>
      <c r="K53" s="1"/>
      <c r="L53" s="1">
        <f t="shared" si="18"/>
        <v>-21.150000000000006</v>
      </c>
      <c r="M53" s="1"/>
      <c r="N53" s="5">
        <f t="shared" si="19"/>
        <v>-0.18883928571428577</v>
      </c>
      <c r="O53" s="12"/>
      <c r="P53" s="1">
        <f>SUM(OSRRefP22_9x_0)</f>
        <v>1179.7</v>
      </c>
      <c r="Q53" s="1"/>
      <c r="R53" s="5">
        <f t="shared" si="20"/>
        <v>0</v>
      </c>
      <c r="S53" s="1"/>
      <c r="T53" s="1">
        <f>SUM(OSRRefT22_9x_0)</f>
        <v>2612.66</v>
      </c>
      <c r="U53" s="1"/>
      <c r="V53" s="5">
        <f t="shared" si="21"/>
        <v>0</v>
      </c>
      <c r="W53" s="1"/>
      <c r="X53" s="1">
        <f t="shared" si="22"/>
        <v>-1432.9599999999998</v>
      </c>
      <c r="Y53" s="1"/>
      <c r="Z53" s="5">
        <f t="shared" si="23"/>
        <v>-0.54846784503150037</v>
      </c>
    </row>
    <row r="54" spans="1:26" s="23" customFormat="1" hidden="1" outlineLevel="2" x14ac:dyDescent="0.25">
      <c r="A54" s="27"/>
      <c r="B54" s="10" t="str">
        <f>CONCATENATE("          ", "6305", " - ", "FREIGHT OUT")</f>
        <v xml:space="preserve">          6305 - FREIGHT OUT</v>
      </c>
      <c r="C54" s="10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0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3" customFormat="1" hidden="1" outlineLevel="2" x14ac:dyDescent="0.25">
      <c r="A55" s="27"/>
      <c r="B55" s="10" t="str">
        <f>CONCATENATE("          ", "6307", " - ", "POSTAGE")</f>
        <v xml:space="preserve">          6307 - POSTAGE</v>
      </c>
      <c r="C55" s="10"/>
      <c r="D55" s="6">
        <v>90.85</v>
      </c>
      <c r="E55" s="2"/>
      <c r="F55" s="7">
        <f t="shared" si="16"/>
        <v>0</v>
      </c>
      <c r="G55" s="2"/>
      <c r="H55" s="6">
        <v>112</v>
      </c>
      <c r="I55" s="2"/>
      <c r="J55" s="7">
        <f t="shared" si="17"/>
        <v>0</v>
      </c>
      <c r="K55" s="2"/>
      <c r="L55" s="6">
        <f t="shared" si="18"/>
        <v>-21.150000000000006</v>
      </c>
      <c r="M55" s="2"/>
      <c r="N55" s="7">
        <f t="shared" si="19"/>
        <v>-0.18883928571428577</v>
      </c>
      <c r="O55" s="10"/>
      <c r="P55" s="6">
        <v>1174.29</v>
      </c>
      <c r="Q55" s="2"/>
      <c r="R55" s="7">
        <f t="shared" si="20"/>
        <v>0</v>
      </c>
      <c r="S55" s="2"/>
      <c r="T55" s="6">
        <v>2612.66</v>
      </c>
      <c r="U55" s="2"/>
      <c r="V55" s="7">
        <f t="shared" si="21"/>
        <v>0</v>
      </c>
      <c r="W55" s="2"/>
      <c r="X55" s="6">
        <f t="shared" si="22"/>
        <v>-1438.37</v>
      </c>
      <c r="Y55" s="2"/>
      <c r="Z55" s="7">
        <f t="shared" si="23"/>
        <v>-0.55053853161146116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337</v>
      </c>
      <c r="E56" s="1"/>
      <c r="F56" s="5">
        <f t="shared" ref="F56:F64" si="24">IF(D$12=0,0,D56/D$12)</f>
        <v>0</v>
      </c>
      <c r="G56" s="1"/>
      <c r="H56" s="1">
        <f>SUM(OSRRefH22_10x_0)</f>
        <v>0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337</v>
      </c>
      <c r="M56" s="1"/>
      <c r="N56" s="5">
        <f t="shared" ref="N56:N64" si="27">IF(H56=0,0,L56/H56)</f>
        <v>0</v>
      </c>
      <c r="O56" s="12"/>
      <c r="P56" s="1">
        <f>SUM(OSRRefP22_10x_0)</f>
        <v>379.34</v>
      </c>
      <c r="Q56" s="1"/>
      <c r="R56" s="5">
        <f t="shared" ref="R56:R64" si="28">IF(P$12=0,0,P56/P$12)</f>
        <v>0</v>
      </c>
      <c r="S56" s="1"/>
      <c r="T56" s="1">
        <f>SUM(OSRRefT22_10x_0)</f>
        <v>14594.69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-14215.35</v>
      </c>
      <c r="Y56" s="1"/>
      <c r="Z56" s="5">
        <f t="shared" ref="Z56:Z64" si="31">IF(T56=0,0,X56/T56)</f>
        <v>-0.97400835509353056</v>
      </c>
    </row>
    <row r="57" spans="1:26" s="23" customFormat="1" hidden="1" outlineLevel="2" x14ac:dyDescent="0.25">
      <c r="A57" s="27"/>
      <c r="B57" s="10" t="str">
        <f>CONCATENATE("          ", "6279", " - ", "GENERAL EXPENSE")</f>
        <v xml:space="preserve">          6279 - GENERAL EXPENSE</v>
      </c>
      <c r="C57" s="10"/>
      <c r="D57" s="6">
        <v>337</v>
      </c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337</v>
      </c>
      <c r="M57" s="2"/>
      <c r="N57" s="7">
        <f t="shared" si="27"/>
        <v>0</v>
      </c>
      <c r="O57" s="10"/>
      <c r="P57" s="6">
        <v>379.34</v>
      </c>
      <c r="Q57" s="2"/>
      <c r="R57" s="7">
        <f t="shared" si="28"/>
        <v>0</v>
      </c>
      <c r="S57" s="2"/>
      <c r="T57" s="6">
        <v>14594.69</v>
      </c>
      <c r="U57" s="2"/>
      <c r="V57" s="7">
        <f t="shared" si="29"/>
        <v>0</v>
      </c>
      <c r="W57" s="2"/>
      <c r="X57" s="6">
        <f t="shared" si="30"/>
        <v>-14215.35</v>
      </c>
      <c r="Y57" s="2"/>
      <c r="Z57" s="7">
        <f t="shared" si="31"/>
        <v>-0.97400835509353056</v>
      </c>
    </row>
    <row r="58" spans="1:26" s="26" customFormat="1" outlineLevel="1" collapsed="1" x14ac:dyDescent="0.25">
      <c r="A58" s="25"/>
      <c r="B58" s="12" t="str">
        <f>CONCATENATE("     ","Insurance                                         ")</f>
        <v xml:space="preserve">     Insurance                                         </v>
      </c>
      <c r="C58" s="12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747.67</v>
      </c>
      <c r="I58" s="1"/>
      <c r="J58" s="5">
        <f t="shared" si="25"/>
        <v>0</v>
      </c>
      <c r="K58" s="1"/>
      <c r="L58" s="1">
        <f t="shared" si="26"/>
        <v>-353.99999999999994</v>
      </c>
      <c r="M58" s="1"/>
      <c r="N58" s="5">
        <f t="shared" si="27"/>
        <v>-0.47347091631334676</v>
      </c>
      <c r="O58" s="12"/>
      <c r="P58" s="1">
        <f>SUM(OSRRefP22_11x_0)</f>
        <v>4330.37</v>
      </c>
      <c r="Q58" s="1"/>
      <c r="R58" s="5">
        <f t="shared" si="28"/>
        <v>0</v>
      </c>
      <c r="S58" s="1"/>
      <c r="T58" s="1">
        <f>SUM(OSRRefT22_11x_0)</f>
        <v>4684.37</v>
      </c>
      <c r="U58" s="1"/>
      <c r="V58" s="5">
        <f t="shared" si="29"/>
        <v>0</v>
      </c>
      <c r="W58" s="1"/>
      <c r="X58" s="1">
        <f t="shared" si="30"/>
        <v>-354</v>
      </c>
      <c r="Y58" s="1"/>
      <c r="Z58" s="5">
        <f t="shared" si="31"/>
        <v>-7.5570460915768828E-2</v>
      </c>
    </row>
    <row r="59" spans="1:26" s="23" customFormat="1" hidden="1" outlineLevel="2" x14ac:dyDescent="0.25">
      <c r="A59" s="27"/>
      <c r="B59" s="10" t="str">
        <f>CONCATENATE("          ", "6314", " - ", "LIABILITY INSURANCE")</f>
        <v xml:space="preserve">          6314 - LIABILITY INSURANCE</v>
      </c>
      <c r="C59" s="10"/>
      <c r="D59" s="6">
        <v>393.67</v>
      </c>
      <c r="E59" s="2"/>
      <c r="F59" s="7">
        <f t="shared" si="24"/>
        <v>0</v>
      </c>
      <c r="G59" s="2"/>
      <c r="H59" s="6">
        <v>747.67</v>
      </c>
      <c r="I59" s="2"/>
      <c r="J59" s="7">
        <f t="shared" si="25"/>
        <v>0</v>
      </c>
      <c r="K59" s="2"/>
      <c r="L59" s="6">
        <f t="shared" si="26"/>
        <v>-353.99999999999994</v>
      </c>
      <c r="M59" s="2"/>
      <c r="N59" s="7">
        <f t="shared" si="27"/>
        <v>-0.47347091631334676</v>
      </c>
      <c r="O59" s="10"/>
      <c r="P59" s="6">
        <v>4330.37</v>
      </c>
      <c r="Q59" s="2"/>
      <c r="R59" s="7">
        <f t="shared" si="28"/>
        <v>0</v>
      </c>
      <c r="S59" s="2"/>
      <c r="T59" s="6">
        <v>4684.37</v>
      </c>
      <c r="U59" s="2"/>
      <c r="V59" s="7">
        <f t="shared" si="29"/>
        <v>0</v>
      </c>
      <c r="W59" s="2"/>
      <c r="X59" s="6">
        <f t="shared" si="30"/>
        <v>-354</v>
      </c>
      <c r="Y59" s="2"/>
      <c r="Z59" s="7">
        <f t="shared" si="31"/>
        <v>-7.5570460915768828E-2</v>
      </c>
    </row>
    <row r="60" spans="1:26" s="26" customFormat="1" outlineLevel="1" collapsed="1" x14ac:dyDescent="0.25">
      <c r="A60" s="25"/>
      <c r="B60" s="12" t="str">
        <f>CONCATENATE("     ","Professional Services                             ")</f>
        <v xml:space="preserve">     Professional Services                             </v>
      </c>
      <c r="C60" s="12"/>
      <c r="D60" s="1">
        <f>SUM(OSRRefD22_12x_0)</f>
        <v>0</v>
      </c>
      <c r="E60" s="1"/>
      <c r="F60" s="5">
        <f t="shared" si="24"/>
        <v>0</v>
      </c>
      <c r="G60" s="1"/>
      <c r="H60" s="1">
        <f>SUM(OSRRefH22_12x_0)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2"/>
      <c r="P60" s="1">
        <f>SUM(OSRRefP22_12x_0)</f>
        <v>107422.12000000001</v>
      </c>
      <c r="Q60" s="1"/>
      <c r="R60" s="5">
        <f t="shared" si="28"/>
        <v>0</v>
      </c>
      <c r="S60" s="1"/>
      <c r="T60" s="1">
        <f>SUM(OSRRefT22_12x_0)</f>
        <v>201991.25999999998</v>
      </c>
      <c r="U60" s="1"/>
      <c r="V60" s="5">
        <f t="shared" si="29"/>
        <v>0</v>
      </c>
      <c r="W60" s="1"/>
      <c r="X60" s="1">
        <f t="shared" si="30"/>
        <v>-94569.13999999997</v>
      </c>
      <c r="Y60" s="1"/>
      <c r="Z60" s="5">
        <f t="shared" si="31"/>
        <v>-0.46818431648973319</v>
      </c>
    </row>
    <row r="61" spans="1:26" s="23" customFormat="1" hidden="1" outlineLevel="2" x14ac:dyDescent="0.25">
      <c r="A61" s="27"/>
      <c r="B61" s="10" t="str">
        <f>CONCATENATE("          ", "6331", " - ", "INDIRECT COSTS-AUXILIARY ORGAN")</f>
        <v xml:space="preserve">          6331 - INDIRECT COSTS-AUXILIARY ORGAN</v>
      </c>
      <c r="C61" s="10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0"/>
      <c r="P61" s="6">
        <v>92418</v>
      </c>
      <c r="Q61" s="2"/>
      <c r="R61" s="7">
        <f t="shared" si="28"/>
        <v>0</v>
      </c>
      <c r="S61" s="2"/>
      <c r="T61" s="6">
        <v>91723</v>
      </c>
      <c r="U61" s="2"/>
      <c r="V61" s="7">
        <f t="shared" si="29"/>
        <v>0</v>
      </c>
      <c r="W61" s="2"/>
      <c r="X61" s="6">
        <f t="shared" si="30"/>
        <v>695</v>
      </c>
      <c r="Y61" s="2"/>
      <c r="Z61" s="7">
        <f t="shared" si="31"/>
        <v>7.5771616715545722E-3</v>
      </c>
    </row>
    <row r="62" spans="1:26" s="23" customFormat="1" hidden="1" outlineLevel="2" x14ac:dyDescent="0.25">
      <c r="A62" s="27"/>
      <c r="B62" s="10" t="str">
        <f>CONCATENATE("          ", "6332", " - ", "CONSULTANT FEES")</f>
        <v xml:space="preserve">          6332 - CONSULTANT FEES</v>
      </c>
      <c r="C62" s="10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0"/>
      <c r="P62" s="6"/>
      <c r="Q62" s="2"/>
      <c r="R62" s="7">
        <f t="shared" si="28"/>
        <v>0</v>
      </c>
      <c r="S62" s="2"/>
      <c r="T62" s="6">
        <v>36894.74</v>
      </c>
      <c r="U62" s="2"/>
      <c r="V62" s="7">
        <f t="shared" si="29"/>
        <v>0</v>
      </c>
      <c r="W62" s="2"/>
      <c r="X62" s="6">
        <f t="shared" si="30"/>
        <v>-36894.74</v>
      </c>
      <c r="Y62" s="2"/>
      <c r="Z62" s="7">
        <f t="shared" si="31"/>
        <v>-1</v>
      </c>
    </row>
    <row r="63" spans="1:26" s="23" customFormat="1" hidden="1" outlineLevel="2" x14ac:dyDescent="0.25">
      <c r="A63" s="27"/>
      <c r="B63" s="10" t="str">
        <f>CONCATENATE("          ", "6334", " - ", "LEGAL COUNCIL EXPENSE")</f>
        <v xml:space="preserve">          6334 - LEGAL COUNCIL EXPENSE</v>
      </c>
      <c r="C63" s="10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0"/>
      <c r="P63" s="6">
        <v>6979.24</v>
      </c>
      <c r="Q63" s="2"/>
      <c r="R63" s="7">
        <f t="shared" si="28"/>
        <v>0</v>
      </c>
      <c r="S63" s="2"/>
      <c r="T63" s="6">
        <v>39175</v>
      </c>
      <c r="U63" s="2"/>
      <c r="V63" s="7">
        <f t="shared" si="29"/>
        <v>0</v>
      </c>
      <c r="W63" s="2"/>
      <c r="X63" s="6">
        <f t="shared" si="30"/>
        <v>-32195.760000000002</v>
      </c>
      <c r="Y63" s="2"/>
      <c r="Z63" s="7">
        <f t="shared" si="31"/>
        <v>-0.82184454371410343</v>
      </c>
    </row>
    <row r="64" spans="1:26" s="23" customFormat="1" hidden="1" outlineLevel="2" x14ac:dyDescent="0.25">
      <c r="A64" s="27"/>
      <c r="B64" s="10" t="str">
        <f>CONCATENATE("          ", "6336", " - ", "PROFESSIONAL SERVICES")</f>
        <v xml:space="preserve">          6336 - PROFESSIONAL SERVICES</v>
      </c>
      <c r="C64" s="10"/>
      <c r="D64" s="6"/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0</v>
      </c>
      <c r="M64" s="2"/>
      <c r="N64" s="7">
        <f t="shared" si="27"/>
        <v>0</v>
      </c>
      <c r="O64" s="10"/>
      <c r="P64" s="6">
        <v>8024.88</v>
      </c>
      <c r="Q64" s="2"/>
      <c r="R64" s="7">
        <f t="shared" si="28"/>
        <v>0</v>
      </c>
      <c r="S64" s="2"/>
      <c r="T64" s="6">
        <v>34198.519999999997</v>
      </c>
      <c r="U64" s="2"/>
      <c r="V64" s="7">
        <f t="shared" si="29"/>
        <v>0</v>
      </c>
      <c r="W64" s="2"/>
      <c r="X64" s="6">
        <f t="shared" si="30"/>
        <v>-26173.639999999996</v>
      </c>
      <c r="Y64" s="2"/>
      <c r="Z64" s="7">
        <f t="shared" si="31"/>
        <v>-0.76534423127082685</v>
      </c>
    </row>
    <row r="65" spans="1:26" s="26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SUM(OSRRefD22_13x_0)</f>
        <v>20988.28</v>
      </c>
      <c r="E65" s="1"/>
      <c r="F65" s="5">
        <f t="shared" ref="F65:F68" si="32">IF(D$12=0,0,D65/D$12)</f>
        <v>0</v>
      </c>
      <c r="G65" s="1"/>
      <c r="H65" s="1">
        <f>SUM(OSRRefH22_13x_0)</f>
        <v>24602.65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-3614.3700000000026</v>
      </c>
      <c r="M65" s="1"/>
      <c r="N65" s="5">
        <f t="shared" ref="N65:N68" si="35">IF(H65=0,0,L65/H65)</f>
        <v>-0.14690978410862254</v>
      </c>
      <c r="O65" s="12"/>
      <c r="P65" s="1">
        <f>SUM(OSRRefP22_13x_0)</f>
        <v>265313.91999999998</v>
      </c>
      <c r="Q65" s="1"/>
      <c r="R65" s="5">
        <f t="shared" ref="R65:R68" si="36">IF(P$12=0,0,P65/P$12)</f>
        <v>0</v>
      </c>
      <c r="S65" s="1"/>
      <c r="T65" s="1">
        <f>SUM(OSRRefT22_13x_0)</f>
        <v>338729.95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-73416.030000000028</v>
      </c>
      <c r="Y65" s="1"/>
      <c r="Z65" s="5">
        <f t="shared" ref="Z65:Z68" si="39">IF(T65=0,0,X65/T65)</f>
        <v>-0.21673911621927741</v>
      </c>
    </row>
    <row r="66" spans="1:26" s="23" customFormat="1" hidden="1" outlineLevel="2" x14ac:dyDescent="0.25">
      <c r="A66" s="27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5652.02</v>
      </c>
      <c r="E66" s="2"/>
      <c r="F66" s="7">
        <f t="shared" si="32"/>
        <v>0</v>
      </c>
      <c r="G66" s="2"/>
      <c r="H66" s="6">
        <v>11602.17</v>
      </c>
      <c r="I66" s="2"/>
      <c r="J66" s="7">
        <f t="shared" si="33"/>
        <v>0</v>
      </c>
      <c r="K66" s="2"/>
      <c r="L66" s="6">
        <f t="shared" si="34"/>
        <v>-5950.15</v>
      </c>
      <c r="M66" s="2"/>
      <c r="N66" s="7">
        <f t="shared" si="35"/>
        <v>-0.51284802756725678</v>
      </c>
      <c r="O66" s="10"/>
      <c r="P66" s="6">
        <v>92818.74</v>
      </c>
      <c r="Q66" s="2"/>
      <c r="R66" s="7">
        <f t="shared" si="36"/>
        <v>0</v>
      </c>
      <c r="S66" s="2"/>
      <c r="T66" s="6">
        <v>178555.35</v>
      </c>
      <c r="U66" s="2"/>
      <c r="V66" s="7">
        <f t="shared" si="37"/>
        <v>0</v>
      </c>
      <c r="W66" s="2"/>
      <c r="X66" s="6">
        <f t="shared" si="38"/>
        <v>-85736.61</v>
      </c>
      <c r="Y66" s="2"/>
      <c r="Z66" s="7">
        <f t="shared" si="39"/>
        <v>-0.48016825034926142</v>
      </c>
    </row>
    <row r="67" spans="1:26" s="23" customFormat="1" hidden="1" outlineLevel="2" x14ac:dyDescent="0.25">
      <c r="A67" s="27"/>
      <c r="B67" s="10" t="str">
        <f>CONCATENATE("          ", "6373", " - ", "MAINTENANCE CONTRACTS")</f>
        <v xml:space="preserve">          6373 - MAINTENANCE CONTRACTS</v>
      </c>
      <c r="C67" s="10"/>
      <c r="D67" s="6">
        <v>15336.26</v>
      </c>
      <c r="E67" s="2"/>
      <c r="F67" s="7">
        <f t="shared" si="32"/>
        <v>0</v>
      </c>
      <c r="G67" s="2"/>
      <c r="H67" s="6">
        <v>13000.48</v>
      </c>
      <c r="I67" s="2"/>
      <c r="J67" s="7">
        <f t="shared" si="33"/>
        <v>0</v>
      </c>
      <c r="K67" s="2"/>
      <c r="L67" s="6">
        <f t="shared" si="34"/>
        <v>2335.7800000000007</v>
      </c>
      <c r="M67" s="2"/>
      <c r="N67" s="7">
        <f t="shared" si="35"/>
        <v>0.17966875069228219</v>
      </c>
      <c r="O67" s="10"/>
      <c r="P67" s="6">
        <v>170147.75</v>
      </c>
      <c r="Q67" s="2"/>
      <c r="R67" s="7">
        <f t="shared" si="36"/>
        <v>0</v>
      </c>
      <c r="S67" s="2"/>
      <c r="T67" s="6">
        <v>156547.34</v>
      </c>
      <c r="U67" s="2"/>
      <c r="V67" s="7">
        <f t="shared" si="37"/>
        <v>0</v>
      </c>
      <c r="W67" s="2"/>
      <c r="X67" s="6">
        <f t="shared" si="38"/>
        <v>13600.410000000003</v>
      </c>
      <c r="Y67" s="2"/>
      <c r="Z67" s="7">
        <f t="shared" si="39"/>
        <v>8.6877298585846321E-2</v>
      </c>
    </row>
    <row r="68" spans="1:26" s="23" customFormat="1" hidden="1" outlineLevel="2" x14ac:dyDescent="0.25">
      <c r="A68" s="27"/>
      <c r="B68" s="10" t="str">
        <f>CONCATENATE("          ", "6375", " - ", "OUTSIDE REPAIRS &amp; MAINTENANCE")</f>
        <v xml:space="preserve">          6375 - OUTSIDE REPAIRS &amp; MAINTENANCE</v>
      </c>
      <c r="C68" s="10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0"/>
      <c r="P68" s="6">
        <v>2347.4299999999998</v>
      </c>
      <c r="Q68" s="2"/>
      <c r="R68" s="7">
        <f t="shared" si="36"/>
        <v>0</v>
      </c>
      <c r="S68" s="2"/>
      <c r="T68" s="6">
        <v>3627.26</v>
      </c>
      <c r="U68" s="2"/>
      <c r="V68" s="7">
        <f t="shared" si="37"/>
        <v>0</v>
      </c>
      <c r="W68" s="2"/>
      <c r="X68" s="6">
        <f t="shared" si="38"/>
        <v>-1279.8300000000004</v>
      </c>
      <c r="Y68" s="2"/>
      <c r="Z68" s="7">
        <f t="shared" si="39"/>
        <v>-0.35283657636893972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SUM(OSRRefD22_14x_0)</f>
        <v>621.34</v>
      </c>
      <c r="E69" s="1"/>
      <c r="F69" s="5">
        <f t="shared" ref="F69:F71" si="40">IF(D$12=0,0,D69/D$12)</f>
        <v>0</v>
      </c>
      <c r="G69" s="1"/>
      <c r="H69" s="1">
        <f>SUM(OSRRefH22_14x_0)</f>
        <v>512.48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108.86000000000001</v>
      </c>
      <c r="M69" s="1"/>
      <c r="N69" s="5">
        <f t="shared" ref="N69:N71" si="43">IF(H69=0,0,L69/H69)</f>
        <v>0.21241804558226665</v>
      </c>
      <c r="O69" s="12"/>
      <c r="P69" s="1">
        <f>SUM(OSRRefP22_14x_0)</f>
        <v>6201.68</v>
      </c>
      <c r="Q69" s="1"/>
      <c r="R69" s="5">
        <f t="shared" ref="R69:R71" si="44">IF(P$12=0,0,P69/P$12)</f>
        <v>0</v>
      </c>
      <c r="S69" s="1"/>
      <c r="T69" s="1">
        <f>SUM(OSRRefT22_14x_0)</f>
        <v>11051.39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-4849.7099999999991</v>
      </c>
      <c r="Y69" s="1"/>
      <c r="Z69" s="5">
        <f t="shared" ref="Z69:Z71" si="47">IF(T69=0,0,X69/T69)</f>
        <v>-0.43883258124091173</v>
      </c>
    </row>
    <row r="70" spans="1:26" s="23" customFormat="1" hidden="1" outlineLevel="2" x14ac:dyDescent="0.25">
      <c r="A70" s="27"/>
      <c r="B70" s="10" t="str">
        <f>CONCATENATE("          ", "6281", " - ", "STORAGE FEE")</f>
        <v xml:space="preserve">          6281 - STORAGE FEE</v>
      </c>
      <c r="C70" s="10"/>
      <c r="D70" s="6">
        <v>621.34</v>
      </c>
      <c r="E70" s="2"/>
      <c r="F70" s="7">
        <f t="shared" si="40"/>
        <v>0</v>
      </c>
      <c r="G70" s="2"/>
      <c r="H70" s="6">
        <v>512.48</v>
      </c>
      <c r="I70" s="2"/>
      <c r="J70" s="7">
        <f t="shared" si="41"/>
        <v>0</v>
      </c>
      <c r="K70" s="2"/>
      <c r="L70" s="6">
        <f t="shared" si="42"/>
        <v>108.86000000000001</v>
      </c>
      <c r="M70" s="2"/>
      <c r="N70" s="7">
        <f t="shared" si="43"/>
        <v>0.21241804558226665</v>
      </c>
      <c r="O70" s="10"/>
      <c r="P70" s="6">
        <v>6201.68</v>
      </c>
      <c r="Q70" s="2"/>
      <c r="R70" s="7">
        <f t="shared" si="44"/>
        <v>0</v>
      </c>
      <c r="S70" s="2"/>
      <c r="T70" s="6">
        <v>10967.41</v>
      </c>
      <c r="U70" s="2"/>
      <c r="V70" s="7">
        <f t="shared" si="45"/>
        <v>0</v>
      </c>
      <c r="W70" s="2"/>
      <c r="X70" s="6">
        <f t="shared" si="46"/>
        <v>-4765.7299999999996</v>
      </c>
      <c r="Y70" s="2"/>
      <c r="Z70" s="7">
        <f t="shared" si="47"/>
        <v>-0.43453559226836597</v>
      </c>
    </row>
    <row r="71" spans="1:26" s="23" customFormat="1" hidden="1" outlineLevel="2" x14ac:dyDescent="0.25">
      <c r="A71" s="27"/>
      <c r="B71" s="10" t="str">
        <f>CONCATENATE("          ", "6286", " - ", "LAUNDRY EXPENSE")</f>
        <v xml:space="preserve">          6286 - LAUNDRY EXPENSE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/>
      <c r="Q71" s="2"/>
      <c r="R71" s="7">
        <f t="shared" si="44"/>
        <v>0</v>
      </c>
      <c r="S71" s="2"/>
      <c r="T71" s="6">
        <v>83.98</v>
      </c>
      <c r="U71" s="2"/>
      <c r="V71" s="7">
        <f t="shared" si="45"/>
        <v>0</v>
      </c>
      <c r="W71" s="2"/>
      <c r="X71" s="6">
        <f t="shared" si="46"/>
        <v>-83.98</v>
      </c>
      <c r="Y71" s="2"/>
      <c r="Z71" s="7">
        <f t="shared" si="47"/>
        <v>-1</v>
      </c>
    </row>
    <row r="72" spans="1:26" s="26" customFormat="1" outlineLevel="1" collapsed="1" x14ac:dyDescent="0.25">
      <c r="A72" s="25"/>
      <c r="B72" s="12" t="str">
        <f>CONCATENATE("     ","Subscriptions &amp; Dues                              ")</f>
        <v xml:space="preserve">     Subscriptions &amp; Dues                              </v>
      </c>
      <c r="C72" s="12"/>
      <c r="D72" s="1">
        <f>SUM(OSRRefD22_15x_0)</f>
        <v>2400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2400</v>
      </c>
      <c r="M72" s="1"/>
      <c r="N72" s="5">
        <f t="shared" ref="N72:N79" si="51">IF(H72=0,0,L72/H72)</f>
        <v>0</v>
      </c>
      <c r="O72" s="12"/>
      <c r="P72" s="1">
        <f>SUM(OSRRefP22_15x_0)</f>
        <v>10122.99</v>
      </c>
      <c r="Q72" s="1"/>
      <c r="R72" s="5">
        <f t="shared" ref="R72:R79" si="52">IF(P$12=0,0,P72/P$12)</f>
        <v>0</v>
      </c>
      <c r="S72" s="1"/>
      <c r="T72" s="1">
        <f>SUM(OSRRefT22_15x_0)</f>
        <v>8639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1483.9899999999998</v>
      </c>
      <c r="Y72" s="1"/>
      <c r="Z72" s="5">
        <f t="shared" ref="Z72:Z79" si="55">IF(T72=0,0,X72/T72)</f>
        <v>0.17177798356291235</v>
      </c>
    </row>
    <row r="73" spans="1:26" s="23" customFormat="1" hidden="1" outlineLevel="2" x14ac:dyDescent="0.25">
      <c r="A73" s="27"/>
      <c r="B73" s="10" t="str">
        <f>CONCATENATE("          ", "6258", " - ", "MEMBERSHIP DUES")</f>
        <v xml:space="preserve">          6258 - MEMBERSHIP DUES</v>
      </c>
      <c r="C73" s="10"/>
      <c r="D73" s="6">
        <v>2400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2400</v>
      </c>
      <c r="M73" s="2"/>
      <c r="N73" s="7">
        <f t="shared" si="51"/>
        <v>0</v>
      </c>
      <c r="O73" s="10"/>
      <c r="P73" s="6">
        <v>10122.99</v>
      </c>
      <c r="Q73" s="2"/>
      <c r="R73" s="7">
        <f t="shared" si="52"/>
        <v>0</v>
      </c>
      <c r="S73" s="2"/>
      <c r="T73" s="6">
        <v>8639</v>
      </c>
      <c r="U73" s="2"/>
      <c r="V73" s="7">
        <f t="shared" si="53"/>
        <v>0</v>
      </c>
      <c r="W73" s="2"/>
      <c r="X73" s="6">
        <f t="shared" si="54"/>
        <v>1483.9899999999998</v>
      </c>
      <c r="Y73" s="2"/>
      <c r="Z73" s="7">
        <f t="shared" si="55"/>
        <v>0.17177798356291235</v>
      </c>
    </row>
    <row r="74" spans="1:26" s="26" customFormat="1" outlineLevel="1" collapsed="1" x14ac:dyDescent="0.25">
      <c r="A74" s="25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SUM(OSRRefD22_16x_0)</f>
        <v>5333.96</v>
      </c>
      <c r="E74" s="1"/>
      <c r="F74" s="5">
        <f t="shared" si="48"/>
        <v>0</v>
      </c>
      <c r="G74" s="1"/>
      <c r="H74" s="1">
        <f>SUM(OSRRefH22_16x_0)</f>
        <v>-672.93000000000006</v>
      </c>
      <c r="I74" s="1"/>
      <c r="J74" s="5">
        <f t="shared" si="49"/>
        <v>0</v>
      </c>
      <c r="K74" s="1"/>
      <c r="L74" s="1">
        <f t="shared" si="50"/>
        <v>6006.89</v>
      </c>
      <c r="M74" s="1"/>
      <c r="N74" s="5">
        <f t="shared" si="51"/>
        <v>-8.9264708067703911</v>
      </c>
      <c r="O74" s="12"/>
      <c r="P74" s="1">
        <f>SUM(OSRRefP22_16x_0)</f>
        <v>8940.2599999999984</v>
      </c>
      <c r="Q74" s="1"/>
      <c r="R74" s="5">
        <f t="shared" si="52"/>
        <v>0</v>
      </c>
      <c r="S74" s="1"/>
      <c r="T74" s="1">
        <f>SUM(OSRRefT22_16x_0)</f>
        <v>62835.090000000004</v>
      </c>
      <c r="U74" s="1"/>
      <c r="V74" s="5">
        <f t="shared" si="53"/>
        <v>0</v>
      </c>
      <c r="W74" s="1"/>
      <c r="X74" s="1">
        <f t="shared" si="54"/>
        <v>-53894.83</v>
      </c>
      <c r="Y74" s="1"/>
      <c r="Z74" s="5">
        <f t="shared" si="55"/>
        <v>-0.85771867279890901</v>
      </c>
    </row>
    <row r="75" spans="1:26" s="23" customFormat="1" hidden="1" outlineLevel="2" x14ac:dyDescent="0.25">
      <c r="A75" s="27"/>
      <c r="B75" s="10" t="str">
        <f>CONCATENATE("          ", "6234", " - ", "EXPENDABLE SUPPLIES &amp; EQUIPMEN")</f>
        <v xml:space="preserve">          6234 - EXPENDABLE SUPPLIES &amp; EQUIPMEN</v>
      </c>
      <c r="C75" s="10"/>
      <c r="D75" s="6"/>
      <c r="E75" s="2"/>
      <c r="F75" s="7">
        <f t="shared" si="48"/>
        <v>0</v>
      </c>
      <c r="G75" s="2"/>
      <c r="H75" s="6">
        <v>-1550</v>
      </c>
      <c r="I75" s="2"/>
      <c r="J75" s="7">
        <f t="shared" si="49"/>
        <v>0</v>
      </c>
      <c r="K75" s="2"/>
      <c r="L75" s="6">
        <f t="shared" si="50"/>
        <v>1550</v>
      </c>
      <c r="M75" s="2"/>
      <c r="N75" s="7">
        <f t="shared" si="51"/>
        <v>-1</v>
      </c>
      <c r="O75" s="10"/>
      <c r="P75" s="6"/>
      <c r="Q75" s="2"/>
      <c r="R75" s="7">
        <f t="shared" si="52"/>
        <v>0</v>
      </c>
      <c r="S75" s="2"/>
      <c r="T75" s="6">
        <v>1223.6099999999999</v>
      </c>
      <c r="U75" s="2"/>
      <c r="V75" s="7">
        <f t="shared" si="53"/>
        <v>0</v>
      </c>
      <c r="W75" s="2"/>
      <c r="X75" s="6">
        <f t="shared" si="54"/>
        <v>-1223.6099999999999</v>
      </c>
      <c r="Y75" s="2"/>
      <c r="Z75" s="7">
        <f t="shared" si="55"/>
        <v>-1</v>
      </c>
    </row>
    <row r="76" spans="1:26" s="23" customFormat="1" hidden="1" outlineLevel="2" x14ac:dyDescent="0.25">
      <c r="A76" s="27"/>
      <c r="B76" s="10" t="str">
        <f>CONCATENATE("          ", "6235", " - ", "COVID-19 EXPENSES")</f>
        <v xml:space="preserve">          6235 - COVID-19 EXPENSES</v>
      </c>
      <c r="C76" s="10"/>
      <c r="D76" s="6"/>
      <c r="E76" s="2"/>
      <c r="F76" s="7">
        <f t="shared" si="48"/>
        <v>0</v>
      </c>
      <c r="G76" s="2"/>
      <c r="H76" s="6">
        <v>480</v>
      </c>
      <c r="I76" s="2"/>
      <c r="J76" s="7">
        <f t="shared" si="49"/>
        <v>0</v>
      </c>
      <c r="K76" s="2"/>
      <c r="L76" s="6">
        <f t="shared" si="50"/>
        <v>-480</v>
      </c>
      <c r="M76" s="2"/>
      <c r="N76" s="7">
        <f t="shared" si="51"/>
        <v>-1</v>
      </c>
      <c r="O76" s="10"/>
      <c r="P76" s="6">
        <v>810.3</v>
      </c>
      <c r="Q76" s="2"/>
      <c r="R76" s="7">
        <f t="shared" si="52"/>
        <v>0</v>
      </c>
      <c r="S76" s="2"/>
      <c r="T76" s="6">
        <v>5440</v>
      </c>
      <c r="U76" s="2"/>
      <c r="V76" s="7">
        <f t="shared" si="53"/>
        <v>0</v>
      </c>
      <c r="W76" s="2"/>
      <c r="X76" s="6">
        <f t="shared" si="54"/>
        <v>-4629.7</v>
      </c>
      <c r="Y76" s="2"/>
      <c r="Z76" s="7">
        <f t="shared" si="55"/>
        <v>-0.85104779411764697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>
        <v>5333.96</v>
      </c>
      <c r="E77" s="2"/>
      <c r="F77" s="7">
        <f t="shared" si="48"/>
        <v>0</v>
      </c>
      <c r="G77" s="2"/>
      <c r="H77" s="6">
        <v>397.07</v>
      </c>
      <c r="I77" s="2"/>
      <c r="J77" s="7">
        <f t="shared" si="49"/>
        <v>0</v>
      </c>
      <c r="K77" s="2"/>
      <c r="L77" s="6">
        <f t="shared" si="50"/>
        <v>4936.8900000000003</v>
      </c>
      <c r="M77" s="2"/>
      <c r="N77" s="7">
        <f t="shared" si="51"/>
        <v>12.433298914549074</v>
      </c>
      <c r="O77" s="10"/>
      <c r="P77" s="6">
        <v>7907.25</v>
      </c>
      <c r="Q77" s="2"/>
      <c r="R77" s="7">
        <f t="shared" si="52"/>
        <v>0</v>
      </c>
      <c r="S77" s="2"/>
      <c r="T77" s="6">
        <v>50891.94</v>
      </c>
      <c r="U77" s="2"/>
      <c r="V77" s="7">
        <f t="shared" si="53"/>
        <v>0</v>
      </c>
      <c r="W77" s="2"/>
      <c r="X77" s="6">
        <f t="shared" si="54"/>
        <v>-42984.69</v>
      </c>
      <c r="Y77" s="2"/>
      <c r="Z77" s="7">
        <f t="shared" si="55"/>
        <v>-0.84462667369331956</v>
      </c>
    </row>
    <row r="78" spans="1:26" s="23" customFormat="1" hidden="1" outlineLevel="2" x14ac:dyDescent="0.25">
      <c r="A78" s="27"/>
      <c r="B78" s="10" t="str">
        <f>CONCATENATE("          ", "6244", " - ", "SAFETY SUPPLY EXPENSE")</f>
        <v xml:space="preserve">          6244 - SAFETY SUPPLY EXPENSE</v>
      </c>
      <c r="C78" s="10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0"/>
      <c r="P78" s="6">
        <v>222.71</v>
      </c>
      <c r="Q78" s="2"/>
      <c r="R78" s="7">
        <f t="shared" si="52"/>
        <v>0</v>
      </c>
      <c r="S78" s="2"/>
      <c r="T78" s="6">
        <v>2034.69</v>
      </c>
      <c r="U78" s="2"/>
      <c r="V78" s="7">
        <f t="shared" si="53"/>
        <v>0</v>
      </c>
      <c r="W78" s="2"/>
      <c r="X78" s="6">
        <f t="shared" si="54"/>
        <v>-1811.98</v>
      </c>
      <c r="Y78" s="2"/>
      <c r="Z78" s="7">
        <f t="shared" si="55"/>
        <v>-0.89054352260049441</v>
      </c>
    </row>
    <row r="79" spans="1:26" s="23" customFormat="1" hidden="1" outlineLevel="2" x14ac:dyDescent="0.25">
      <c r="A79" s="27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3244.85</v>
      </c>
      <c r="U79" s="2"/>
      <c r="V79" s="7">
        <f t="shared" si="53"/>
        <v>0</v>
      </c>
      <c r="W79" s="2"/>
      <c r="X79" s="6">
        <f t="shared" si="54"/>
        <v>-3244.85</v>
      </c>
      <c r="Y79" s="2"/>
      <c r="Z79" s="7">
        <f t="shared" si="55"/>
        <v>-1</v>
      </c>
    </row>
    <row r="80" spans="1:26" s="26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SUM(OSRRefD22_17x_0)</f>
        <v>1893.49</v>
      </c>
      <c r="E80" s="1"/>
      <c r="F80" s="5">
        <f t="shared" ref="F80:F82" si="56">IF(D$12=0,0,D80/D$12)</f>
        <v>0</v>
      </c>
      <c r="G80" s="1"/>
      <c r="H80" s="1">
        <f>SUM(OSRRefH22_17x_0)</f>
        <v>1675.27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218.22000000000003</v>
      </c>
      <c r="M80" s="1"/>
      <c r="N80" s="5">
        <f t="shared" ref="N80:N82" si="59">IF(H80=0,0,L80/H80)</f>
        <v>0.13025959994508349</v>
      </c>
      <c r="O80" s="12"/>
      <c r="P80" s="1">
        <f>SUM(OSRRefP22_17x_0)</f>
        <v>22182.560000000001</v>
      </c>
      <c r="Q80" s="1"/>
      <c r="R80" s="5">
        <f t="shared" ref="R80:R82" si="60">IF(P$12=0,0,P80/P$12)</f>
        <v>0</v>
      </c>
      <c r="S80" s="1"/>
      <c r="T80" s="1">
        <f>SUM(OSRRefT22_17x_0)</f>
        <v>26985.8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-4803.239999999998</v>
      </c>
      <c r="Y80" s="1"/>
      <c r="Z80" s="5">
        <f t="shared" ref="Z80:Z82" si="63">IF(T80=0,0,X80/T80)</f>
        <v>-0.17799138806335177</v>
      </c>
    </row>
    <row r="81" spans="1:26" s="23" customFormat="1" hidden="1" outlineLevel="2" x14ac:dyDescent="0.25">
      <c r="A81" s="27"/>
      <c r="B81" s="10" t="str">
        <f>CONCATENATE("          ", "6303", " - ", "DATA PHONE LINES")</f>
        <v xml:space="preserve">          6303 - DATA PHONE LINES</v>
      </c>
      <c r="C81" s="10"/>
      <c r="D81" s="6">
        <v>81.99</v>
      </c>
      <c r="E81" s="2"/>
      <c r="F81" s="7">
        <f t="shared" si="56"/>
        <v>0</v>
      </c>
      <c r="G81" s="2"/>
      <c r="H81" s="6">
        <v>78.989999999999995</v>
      </c>
      <c r="I81" s="2"/>
      <c r="J81" s="7">
        <f t="shared" si="57"/>
        <v>0</v>
      </c>
      <c r="K81" s="2"/>
      <c r="L81" s="6">
        <f t="shared" si="58"/>
        <v>3</v>
      </c>
      <c r="M81" s="2"/>
      <c r="N81" s="7">
        <f t="shared" si="59"/>
        <v>3.7979491074819599E-2</v>
      </c>
      <c r="O81" s="10"/>
      <c r="P81" s="6">
        <v>1485.81</v>
      </c>
      <c r="Q81" s="2"/>
      <c r="R81" s="7">
        <f t="shared" si="60"/>
        <v>0</v>
      </c>
      <c r="S81" s="2"/>
      <c r="T81" s="6">
        <v>1680.98</v>
      </c>
      <c r="U81" s="2"/>
      <c r="V81" s="7">
        <f t="shared" si="61"/>
        <v>0</v>
      </c>
      <c r="W81" s="2"/>
      <c r="X81" s="6">
        <f t="shared" si="62"/>
        <v>-195.17000000000007</v>
      </c>
      <c r="Y81" s="2"/>
      <c r="Z81" s="7">
        <f t="shared" si="63"/>
        <v>-0.11610489119442234</v>
      </c>
    </row>
    <row r="82" spans="1:26" s="23" customFormat="1" hidden="1" outlineLevel="2" x14ac:dyDescent="0.25">
      <c r="A82" s="27"/>
      <c r="B82" s="10" t="str">
        <f>CONCATENATE("          ", "6309", " - ", "TELEPHONE")</f>
        <v xml:space="preserve">          6309 - TELEPHONE</v>
      </c>
      <c r="C82" s="10"/>
      <c r="D82" s="6">
        <v>1811.5</v>
      </c>
      <c r="E82" s="2"/>
      <c r="F82" s="7">
        <f t="shared" si="56"/>
        <v>0</v>
      </c>
      <c r="G82" s="2"/>
      <c r="H82" s="6">
        <v>1596.28</v>
      </c>
      <c r="I82" s="2"/>
      <c r="J82" s="7">
        <f t="shared" si="57"/>
        <v>0</v>
      </c>
      <c r="K82" s="2"/>
      <c r="L82" s="6">
        <f t="shared" si="58"/>
        <v>215.22000000000003</v>
      </c>
      <c r="M82" s="2"/>
      <c r="N82" s="7">
        <f t="shared" si="59"/>
        <v>0.13482597038113617</v>
      </c>
      <c r="O82" s="10"/>
      <c r="P82" s="6">
        <v>20696.75</v>
      </c>
      <c r="Q82" s="2"/>
      <c r="R82" s="7">
        <f t="shared" si="60"/>
        <v>0</v>
      </c>
      <c r="S82" s="2"/>
      <c r="T82" s="6">
        <v>25304.82</v>
      </c>
      <c r="U82" s="2"/>
      <c r="V82" s="7">
        <f t="shared" si="61"/>
        <v>0</v>
      </c>
      <c r="W82" s="2"/>
      <c r="X82" s="6">
        <f t="shared" si="62"/>
        <v>-4608.07</v>
      </c>
      <c r="Y82" s="2"/>
      <c r="Z82" s="7">
        <f t="shared" si="63"/>
        <v>-0.18210246111215175</v>
      </c>
    </row>
    <row r="83" spans="1:26" s="26" customFormat="1" outlineLevel="1" collapsed="1" x14ac:dyDescent="0.25">
      <c r="A83" s="25"/>
      <c r="B83" s="12" t="str">
        <f>CONCATENATE("     ","Training                                          ")</f>
        <v xml:space="preserve">     Training                                          </v>
      </c>
      <c r="C83" s="12"/>
      <c r="D83" s="1">
        <f>SUM(OSRRefD22_18x_0)</f>
        <v>0</v>
      </c>
      <c r="E83" s="1"/>
      <c r="F83" s="5">
        <f t="shared" ref="F83:F87" si="64">IF(D$12=0,0,D83/D$12)</f>
        <v>0</v>
      </c>
      <c r="G83" s="1"/>
      <c r="H83" s="1">
        <f>SUM(OSRRefH22_18x_0)</f>
        <v>-97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97</v>
      </c>
      <c r="M83" s="1"/>
      <c r="N83" s="5">
        <f t="shared" ref="N83:N87" si="67">IF(H83=0,0,L83/H83)</f>
        <v>-1</v>
      </c>
      <c r="O83" s="12"/>
      <c r="P83" s="1">
        <f>SUM(OSRRefP22_18x_0)</f>
        <v>5225.5</v>
      </c>
      <c r="Q83" s="1"/>
      <c r="R83" s="5">
        <f t="shared" ref="R83:R87" si="68">IF(P$12=0,0,P83/P$12)</f>
        <v>0</v>
      </c>
      <c r="S83" s="1"/>
      <c r="T83" s="1">
        <f>SUM(OSRRefT22_18x_0)</f>
        <v>21993.54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-16768.04</v>
      </c>
      <c r="Y83" s="1"/>
      <c r="Z83" s="5">
        <f t="shared" ref="Z83:Z87" si="71">IF(T83=0,0,X83/T83)</f>
        <v>-0.76240750693158088</v>
      </c>
    </row>
    <row r="84" spans="1:26" s="23" customFormat="1" hidden="1" outlineLevel="2" x14ac:dyDescent="0.25">
      <c r="A84" s="27"/>
      <c r="B84" s="10" t="str">
        <f>CONCATENATE("          ", "6376", " - ", "TRAINING")</f>
        <v xml:space="preserve">          6376 - TRAINING</v>
      </c>
      <c r="C84" s="10"/>
      <c r="D84" s="6"/>
      <c r="E84" s="2"/>
      <c r="F84" s="7">
        <f t="shared" si="64"/>
        <v>0</v>
      </c>
      <c r="G84" s="2"/>
      <c r="H84" s="6">
        <v>-97</v>
      </c>
      <c r="I84" s="2"/>
      <c r="J84" s="7">
        <f t="shared" si="65"/>
        <v>0</v>
      </c>
      <c r="K84" s="2"/>
      <c r="L84" s="6">
        <f t="shared" si="66"/>
        <v>97</v>
      </c>
      <c r="M84" s="2"/>
      <c r="N84" s="7">
        <f t="shared" si="67"/>
        <v>-1</v>
      </c>
      <c r="O84" s="10"/>
      <c r="P84" s="6">
        <v>5225.5</v>
      </c>
      <c r="Q84" s="2"/>
      <c r="R84" s="7">
        <f t="shared" si="68"/>
        <v>0</v>
      </c>
      <c r="S84" s="2"/>
      <c r="T84" s="6">
        <v>21993.54</v>
      </c>
      <c r="U84" s="2"/>
      <c r="V84" s="7">
        <f t="shared" si="69"/>
        <v>0</v>
      </c>
      <c r="W84" s="2"/>
      <c r="X84" s="6">
        <f t="shared" si="70"/>
        <v>-16768.04</v>
      </c>
      <c r="Y84" s="2"/>
      <c r="Z84" s="7">
        <f t="shared" si="71"/>
        <v>-0.76240750693158088</v>
      </c>
    </row>
    <row r="85" spans="1:26" s="26" customFormat="1" outlineLevel="1" collapsed="1" x14ac:dyDescent="0.25">
      <c r="A85" s="25"/>
      <c r="B85" s="12" t="str">
        <f>CONCATENATE("     ","Travel                                            ")</f>
        <v xml:space="preserve">     Travel                                            </v>
      </c>
      <c r="C85" s="12"/>
      <c r="D85" s="1">
        <f>SUM(OSRRefD22_19x_0)</f>
        <v>0</v>
      </c>
      <c r="E85" s="1"/>
      <c r="F85" s="5">
        <f t="shared" si="64"/>
        <v>0</v>
      </c>
      <c r="G85" s="1"/>
      <c r="H85" s="1">
        <f>SUM(OSRRefH22_19x_0)</f>
        <v>0</v>
      </c>
      <c r="I85" s="1"/>
      <c r="J85" s="5">
        <f t="shared" si="65"/>
        <v>0</v>
      </c>
      <c r="K85" s="1"/>
      <c r="L85" s="1">
        <f t="shared" si="66"/>
        <v>0</v>
      </c>
      <c r="M85" s="1"/>
      <c r="N85" s="5">
        <f t="shared" si="67"/>
        <v>0</v>
      </c>
      <c r="O85" s="12"/>
      <c r="P85" s="1">
        <f>SUM(OSRRefP22_19x_0)</f>
        <v>808.72</v>
      </c>
      <c r="Q85" s="1"/>
      <c r="R85" s="5">
        <f t="shared" si="68"/>
        <v>0</v>
      </c>
      <c r="S85" s="1"/>
      <c r="T85" s="1">
        <f>SUM(OSRRefT22_19x_0)</f>
        <v>12860.449999999999</v>
      </c>
      <c r="U85" s="1"/>
      <c r="V85" s="5">
        <f t="shared" si="69"/>
        <v>0</v>
      </c>
      <c r="W85" s="1"/>
      <c r="X85" s="1">
        <f t="shared" si="70"/>
        <v>-12051.73</v>
      </c>
      <c r="Y85" s="1"/>
      <c r="Z85" s="5">
        <f t="shared" si="71"/>
        <v>-0.93711573078702537</v>
      </c>
    </row>
    <row r="86" spans="1:26" s="23" customFormat="1" hidden="1" outlineLevel="2" x14ac:dyDescent="0.25">
      <c r="A86" s="27"/>
      <c r="B86" s="10" t="str">
        <f>CONCATENATE("          ", "6292", " - ", "TRAVEL/CONFERENCE")</f>
        <v xml:space="preserve">          6292 - TRAVEL/CONFERENCE</v>
      </c>
      <c r="C86" s="10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0"/>
      <c r="P86" s="6">
        <v>720</v>
      </c>
      <c r="Q86" s="2"/>
      <c r="R86" s="7">
        <f t="shared" si="68"/>
        <v>0</v>
      </c>
      <c r="S86" s="2"/>
      <c r="T86" s="6">
        <v>12836.55</v>
      </c>
      <c r="U86" s="2"/>
      <c r="V86" s="7">
        <f t="shared" si="69"/>
        <v>0</v>
      </c>
      <c r="W86" s="2"/>
      <c r="X86" s="6">
        <f t="shared" si="70"/>
        <v>-12116.55</v>
      </c>
      <c r="Y86" s="2"/>
      <c r="Z86" s="7">
        <f t="shared" si="71"/>
        <v>-0.94391016277738182</v>
      </c>
    </row>
    <row r="87" spans="1:26" s="23" customFormat="1" hidden="1" outlineLevel="2" x14ac:dyDescent="0.25">
      <c r="A87" s="27"/>
      <c r="B87" s="10" t="str">
        <f>CONCATENATE("          ", "6294", " - ", "TRAVEL OPERATIONAL")</f>
        <v xml:space="preserve">          6294 - TRAVEL OPERATIONAL</v>
      </c>
      <c r="C87" s="10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0"/>
      <c r="P87" s="6">
        <v>88.72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64.819999999999993</v>
      </c>
      <c r="Y87" s="2"/>
      <c r="Z87" s="7">
        <f t="shared" si="71"/>
        <v>2.712133891213389</v>
      </c>
    </row>
    <row r="88" spans="1:26" s="57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x14ac:dyDescent="0.25">
      <c r="A89" s="11"/>
      <c r="B89" s="29" t="s">
        <v>292</v>
      </c>
      <c r="C89" s="11"/>
      <c r="D89" s="4">
        <f>SUM(0)</f>
        <v>0</v>
      </c>
      <c r="E89" s="4"/>
      <c r="F89" s="13">
        <f>IF(D$12=0,0,D89/D$12)</f>
        <v>0</v>
      </c>
      <c r="G89" s="4"/>
      <c r="H89" s="4">
        <f>SUM(0)</f>
        <v>0</v>
      </c>
      <c r="I89" s="4"/>
      <c r="J89" s="13">
        <f>IF(H$12=0,0,H89/H$12)</f>
        <v>0</v>
      </c>
      <c r="K89" s="4"/>
      <c r="L89" s="4">
        <f>+D89-H89</f>
        <v>0</v>
      </c>
      <c r="M89" s="4"/>
      <c r="N89" s="13">
        <f>IF(H89=0,0,L89/H89)</f>
        <v>0</v>
      </c>
      <c r="O89" s="11"/>
      <c r="P89" s="4">
        <f>SUM(0)</f>
        <v>0</v>
      </c>
      <c r="Q89" s="4"/>
      <c r="R89" s="13">
        <f>IF(P$12=0,0,P89/P$12)</f>
        <v>0</v>
      </c>
      <c r="S89" s="4"/>
      <c r="T89" s="4">
        <f>SUM(0)</f>
        <v>0</v>
      </c>
      <c r="U89" s="4"/>
      <c r="V89" s="13">
        <f>IF(T$12=0,0,T89/T$12)</f>
        <v>0</v>
      </c>
      <c r="W89" s="4"/>
      <c r="X89" s="4">
        <f>+P89-T89</f>
        <v>0</v>
      </c>
      <c r="Y89" s="4"/>
      <c r="Z89" s="13">
        <f>IF(T89=0,0,X89/T89)</f>
        <v>0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x14ac:dyDescent="0.25">
      <c r="A91" s="11"/>
      <c r="B91" s="28" t="s">
        <v>276</v>
      </c>
      <c r="C91" s="28"/>
      <c r="D91" s="20">
        <f>+D16-D18+D89</f>
        <v>-213156.25999999998</v>
      </c>
      <c r="E91" s="14"/>
      <c r="F91" s="21">
        <f>IF(D$12=0,0,D91/D$12)</f>
        <v>0</v>
      </c>
      <c r="G91" s="14"/>
      <c r="H91" s="20">
        <f>+H16-H18+H89</f>
        <v>-194155.12000000008</v>
      </c>
      <c r="I91" s="14"/>
      <c r="J91" s="21">
        <f>IF(H$12=0,0,H91/H$12)</f>
        <v>0</v>
      </c>
      <c r="K91" s="15"/>
      <c r="L91" s="20">
        <f>+D91-H91</f>
        <v>-19001.139999999898</v>
      </c>
      <c r="M91" s="15"/>
      <c r="N91" s="21">
        <f>IF(H91=0,0,L91/H91)</f>
        <v>9.78657683608853E-2</v>
      </c>
      <c r="O91" s="29"/>
      <c r="P91" s="20">
        <f>+P16-P18+P89</f>
        <v>-2096793.0899999996</v>
      </c>
      <c r="Q91" s="14"/>
      <c r="R91" s="21">
        <f>IF(P$12=0,0,P91/P$12)</f>
        <v>0</v>
      </c>
      <c r="S91" s="14"/>
      <c r="T91" s="20">
        <f>+T16-T18+T89</f>
        <v>-3321539.6799999992</v>
      </c>
      <c r="U91" s="14"/>
      <c r="V91" s="21">
        <f>IF(T$12=0,0,T91/T$12)</f>
        <v>0</v>
      </c>
      <c r="W91" s="15"/>
      <c r="X91" s="20">
        <f>+P91-T91</f>
        <v>1224746.5899999996</v>
      </c>
      <c r="Y91" s="15"/>
      <c r="Z91" s="21">
        <f>IF(T91=0,0,X91/T91)</f>
        <v>-0.3687285740930844</v>
      </c>
    </row>
    <row r="92" spans="1:26" x14ac:dyDescent="0.25">
      <c r="A92" s="9"/>
      <c r="B92" s="11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x14ac:dyDescent="0.25">
      <c r="A93" s="51"/>
      <c r="B93" s="11" t="s">
        <v>127</v>
      </c>
      <c r="C93" s="11"/>
      <c r="D93" s="4"/>
      <c r="E93" s="4"/>
      <c r="F93" s="13">
        <f>IF(D$12=0,0,D93/D$12)</f>
        <v>0</v>
      </c>
      <c r="G93" s="4"/>
      <c r="H93" s="4"/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1"/>
      <c r="P93" s="4"/>
      <c r="Q93" s="4"/>
      <c r="R93" s="13">
        <f>IF(P$12=0,0,P93/P$12)</f>
        <v>0</v>
      </c>
      <c r="S93" s="4"/>
      <c r="T93" s="4"/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1"/>
      <c r="C94" s="11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1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8" t="s">
        <v>125</v>
      </c>
      <c r="C95" s="28"/>
      <c r="D95" s="35">
        <f>+D91-D93</f>
        <v>-213156.25999999998</v>
      </c>
      <c r="E95" s="14"/>
      <c r="F95" s="36">
        <f>IF(D$12=0,0,D95/D$12)</f>
        <v>0</v>
      </c>
      <c r="G95" s="14"/>
      <c r="H95" s="35">
        <f>+H91-H93</f>
        <v>-194155.12000000008</v>
      </c>
      <c r="I95" s="14"/>
      <c r="J95" s="36">
        <f>IF(H$12=0,0,H95/H$12)</f>
        <v>0</v>
      </c>
      <c r="K95" s="15"/>
      <c r="L95" s="35">
        <f>D95-H95</f>
        <v>-19001.139999999898</v>
      </c>
      <c r="M95" s="15"/>
      <c r="N95" s="36">
        <f>IF(H95=0,0,L95/H95)</f>
        <v>9.78657683608853E-2</v>
      </c>
      <c r="O95" s="29"/>
      <c r="P95" s="35">
        <f>+P91-P93</f>
        <v>-2096793.0899999996</v>
      </c>
      <c r="Q95" s="14"/>
      <c r="R95" s="36">
        <f>IF(P$12=0,0,P95/P$12)</f>
        <v>0</v>
      </c>
      <c r="S95" s="14"/>
      <c r="T95" s="35">
        <f>+T91-T93</f>
        <v>-3321539.6799999992</v>
      </c>
      <c r="U95" s="14"/>
      <c r="V95" s="36">
        <f>IF(T$12=0,0,T95/T$12)</f>
        <v>0</v>
      </c>
      <c r="W95" s="15"/>
      <c r="X95" s="35">
        <f>P95-T95</f>
        <v>1224746.5899999996</v>
      </c>
      <c r="Y95" s="15"/>
      <c r="Z95" s="36">
        <f>IF(T95=0,0,X95/T95)</f>
        <v>-0.3687285740930844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ht="15.75" thickBot="1" x14ac:dyDescent="0.3">
      <c r="A98" s="11"/>
      <c r="B98" s="28" t="s">
        <v>293</v>
      </c>
      <c r="C98" s="28"/>
      <c r="D98" s="30">
        <f>SUM(D95:D97)</f>
        <v>-213156.25999999998</v>
      </c>
      <c r="E98" s="14"/>
      <c r="F98" s="31">
        <f>IF(D$12=0,0,D98/D$12)</f>
        <v>0</v>
      </c>
      <c r="G98" s="14"/>
      <c r="H98" s="30">
        <f>SUM(H95:H97)</f>
        <v>-194155.12000000008</v>
      </c>
      <c r="I98" s="14"/>
      <c r="J98" s="31">
        <f>IF(H$12=0,0,H98/H$12)</f>
        <v>0</v>
      </c>
      <c r="K98" s="15"/>
      <c r="L98" s="30">
        <f>+D98-H98</f>
        <v>-19001.139999999898</v>
      </c>
      <c r="M98" s="15"/>
      <c r="N98" s="31">
        <f>IF(H98=0,0,L98/H98)</f>
        <v>9.78657683608853E-2</v>
      </c>
      <c r="O98" s="29"/>
      <c r="P98" s="30">
        <f>SUM(P95:P97)</f>
        <v>-2096793.0899999996</v>
      </c>
      <c r="Q98" s="14"/>
      <c r="R98" s="31">
        <f>IF(P$12=0,0,P98/P$12)</f>
        <v>0</v>
      </c>
      <c r="S98" s="14"/>
      <c r="T98" s="30">
        <f>SUM(T95:T97)</f>
        <v>-3321539.6799999992</v>
      </c>
      <c r="U98" s="14"/>
      <c r="V98" s="31">
        <f>IF(T$12=0,0,T98/T$12)</f>
        <v>0</v>
      </c>
      <c r="W98" s="15"/>
      <c r="X98" s="30">
        <f>+P98-T98</f>
        <v>1224746.5899999996</v>
      </c>
      <c r="Y98" s="15"/>
      <c r="Z98" s="31">
        <f>IF(T98=0,0,X98/T98)</f>
        <v>-0.3687285740930844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9">
        <v>44356.893283796293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2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4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29173.79</v>
      </c>
      <c r="E18" s="22"/>
      <c r="F18" s="32">
        <f t="shared" ref="F18:F29" si="0">IF(D$12=0,0,D18/D$12)</f>
        <v>0</v>
      </c>
      <c r="G18" s="22"/>
      <c r="H18" s="22">
        <f>SUM(OSRRefH22x_0)</f>
        <v>31569.339999999997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-2395.5499999999956</v>
      </c>
      <c r="M18" s="4"/>
      <c r="N18" s="32">
        <f t="shared" ref="N18:N29" si="3">IF(H18=0,0,L18/H18)</f>
        <v>-7.5882169218615153E-2</v>
      </c>
      <c r="O18" s="11"/>
      <c r="P18" s="22">
        <f>SUM(OSRRefP22x_0)</f>
        <v>-8931.7899999999936</v>
      </c>
      <c r="Q18" s="22"/>
      <c r="R18" s="32">
        <f t="shared" ref="R18:R29" si="4">IF(P$12=0,0,P18/P$12)</f>
        <v>0</v>
      </c>
      <c r="S18" s="22"/>
      <c r="T18" s="22">
        <f>SUM(OSRRefT22x_0)</f>
        <v>577293.94999999995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-586225.74</v>
      </c>
      <c r="Y18" s="4"/>
      <c r="Z18" s="32">
        <f t="shared" ref="Z18:Z29" si="7">IF(T18=0,0,X18/T18)</f>
        <v>-1.0154718233232827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28124.68</v>
      </c>
      <c r="E19" s="1"/>
      <c r="F19" s="5">
        <f t="shared" si="0"/>
        <v>0</v>
      </c>
      <c r="G19" s="1"/>
      <c r="H19" s="1">
        <f>SUM(OSRRefH22_0x_0)</f>
        <v>30337.67</v>
      </c>
      <c r="I19" s="1"/>
      <c r="J19" s="5">
        <f t="shared" si="1"/>
        <v>0</v>
      </c>
      <c r="K19" s="1"/>
      <c r="L19" s="1">
        <f t="shared" si="2"/>
        <v>-2212.989999999998</v>
      </c>
      <c r="M19" s="1"/>
      <c r="N19" s="5">
        <f t="shared" si="3"/>
        <v>-7.2945285514675259E-2</v>
      </c>
      <c r="O19" s="12"/>
      <c r="P19" s="1">
        <f>SUM(OSRRefP22_0x_0)</f>
        <v>-76693.88</v>
      </c>
      <c r="Q19" s="1"/>
      <c r="R19" s="5">
        <f t="shared" si="4"/>
        <v>0</v>
      </c>
      <c r="S19" s="1"/>
      <c r="T19" s="1">
        <f>SUM(OSRRefT22_0x_0)</f>
        <v>317995.81</v>
      </c>
      <c r="U19" s="1"/>
      <c r="V19" s="5">
        <f t="shared" si="5"/>
        <v>0</v>
      </c>
      <c r="W19" s="1"/>
      <c r="X19" s="1">
        <f t="shared" si="6"/>
        <v>-394689.69</v>
      </c>
      <c r="Y19" s="1"/>
      <c r="Z19" s="5">
        <f t="shared" si="7"/>
        <v>-1.2411789010679104</v>
      </c>
    </row>
    <row r="20" spans="1:26" s="23" customFormat="1" hidden="1" outlineLevel="2" x14ac:dyDescent="0.25">
      <c r="A20" s="27"/>
      <c r="B20" s="10" t="str">
        <f>CONCATENATE("          ", "6120", " - ", "RETIREES HEALTH INSURANCE")</f>
        <v xml:space="preserve">          6120 - RETIREES HEALTH INSURANCE</v>
      </c>
      <c r="C20" s="10"/>
      <c r="D20" s="6">
        <v>28124.68</v>
      </c>
      <c r="E20" s="2"/>
      <c r="F20" s="7">
        <f t="shared" si="0"/>
        <v>0</v>
      </c>
      <c r="G20" s="2"/>
      <c r="H20" s="6">
        <v>30337.67</v>
      </c>
      <c r="I20" s="2"/>
      <c r="J20" s="7">
        <f t="shared" si="1"/>
        <v>0</v>
      </c>
      <c r="K20" s="2"/>
      <c r="L20" s="6">
        <f t="shared" si="2"/>
        <v>-2212.989999999998</v>
      </c>
      <c r="M20" s="2"/>
      <c r="N20" s="7">
        <f t="shared" si="3"/>
        <v>-7.2945285514675259E-2</v>
      </c>
      <c r="O20" s="10"/>
      <c r="P20" s="6">
        <v>-76693.88</v>
      </c>
      <c r="Q20" s="2"/>
      <c r="R20" s="7">
        <f t="shared" si="4"/>
        <v>0</v>
      </c>
      <c r="S20" s="2"/>
      <c r="T20" s="6">
        <v>317995.81</v>
      </c>
      <c r="U20" s="2"/>
      <c r="V20" s="7">
        <f t="shared" si="5"/>
        <v>0</v>
      </c>
      <c r="W20" s="2"/>
      <c r="X20" s="6">
        <f t="shared" si="6"/>
        <v>-394689.69</v>
      </c>
      <c r="Y20" s="2"/>
      <c r="Z20" s="7">
        <f t="shared" si="7"/>
        <v>-1.2411789010679104</v>
      </c>
    </row>
    <row r="21" spans="1:26" s="26" customFormat="1" outlineLevel="1" collapsed="1" x14ac:dyDescent="0.25">
      <c r="A21" s="25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-8.33</v>
      </c>
      <c r="I21" s="1"/>
      <c r="J21" s="5">
        <f t="shared" si="1"/>
        <v>0</v>
      </c>
      <c r="K21" s="1"/>
      <c r="L21" s="1">
        <f t="shared" si="2"/>
        <v>15.33</v>
      </c>
      <c r="M21" s="1"/>
      <c r="N21" s="5">
        <f t="shared" si="3"/>
        <v>-1.8403361344537814</v>
      </c>
      <c r="O21" s="12"/>
      <c r="P21" s="1">
        <f>SUM(OSRRefP22_1x_0)</f>
        <v>6996.07</v>
      </c>
      <c r="Q21" s="1"/>
      <c r="R21" s="5">
        <f t="shared" si="4"/>
        <v>0</v>
      </c>
      <c r="S21" s="1"/>
      <c r="T21" s="1">
        <f>SUM(OSRRefT22_1x_0)</f>
        <v>53952</v>
      </c>
      <c r="U21" s="1"/>
      <c r="V21" s="5">
        <f t="shared" si="5"/>
        <v>0</v>
      </c>
      <c r="W21" s="1"/>
      <c r="X21" s="1">
        <f t="shared" si="6"/>
        <v>-46955.93</v>
      </c>
      <c r="Y21" s="1"/>
      <c r="Z21" s="5">
        <f t="shared" si="7"/>
        <v>-0.8703278840450771</v>
      </c>
    </row>
    <row r="22" spans="1:26" s="23" customFormat="1" hidden="1" outlineLevel="2" x14ac:dyDescent="0.25">
      <c r="A22" s="27"/>
      <c r="B22" s="10" t="str">
        <f>CONCATENATE("          ", "6381", " - ", "BANK/CREDIT CARD FEES")</f>
        <v xml:space="preserve">          6381 - BANK/CREDIT CARD FEES</v>
      </c>
      <c r="C22" s="10"/>
      <c r="D22" s="6">
        <v>7</v>
      </c>
      <c r="E22" s="2"/>
      <c r="F22" s="7">
        <f t="shared" si="0"/>
        <v>0</v>
      </c>
      <c r="G22" s="2"/>
      <c r="H22" s="6">
        <v>-8.33</v>
      </c>
      <c r="I22" s="2"/>
      <c r="J22" s="7">
        <f t="shared" si="1"/>
        <v>0</v>
      </c>
      <c r="K22" s="2"/>
      <c r="L22" s="6">
        <f t="shared" si="2"/>
        <v>15.33</v>
      </c>
      <c r="M22" s="2"/>
      <c r="N22" s="7">
        <f t="shared" si="3"/>
        <v>-1.8403361344537814</v>
      </c>
      <c r="O22" s="10"/>
      <c r="P22" s="6">
        <v>6996.07</v>
      </c>
      <c r="Q22" s="2"/>
      <c r="R22" s="7">
        <f t="shared" si="4"/>
        <v>0</v>
      </c>
      <c r="S22" s="2"/>
      <c r="T22" s="6">
        <v>53952</v>
      </c>
      <c r="U22" s="2"/>
      <c r="V22" s="7">
        <f t="shared" si="5"/>
        <v>0</v>
      </c>
      <c r="W22" s="2"/>
      <c r="X22" s="6">
        <f t="shared" si="6"/>
        <v>-46955.93</v>
      </c>
      <c r="Y22" s="2"/>
      <c r="Z22" s="7">
        <f t="shared" si="7"/>
        <v>-0.8703278840450771</v>
      </c>
    </row>
    <row r="23" spans="1:26" s="26" customFormat="1" outlineLevel="1" collapsed="1" x14ac:dyDescent="0.25">
      <c r="A23" s="25"/>
      <c r="B23" s="12" t="str">
        <f>CONCATENATE("     ","Board                                             ")</f>
        <v xml:space="preserve">     Board                                             </v>
      </c>
      <c r="C23" s="12"/>
      <c r="D23" s="1">
        <f>SUM(OSRRefD22_2x_0)</f>
        <v>1042.1099999999999</v>
      </c>
      <c r="E23" s="1"/>
      <c r="F23" s="5">
        <f t="shared" si="0"/>
        <v>0</v>
      </c>
      <c r="G23" s="1"/>
      <c r="H23" s="1">
        <f>SUM(OSRRefH22_2x_0)</f>
        <v>1240</v>
      </c>
      <c r="I23" s="1"/>
      <c r="J23" s="5">
        <f t="shared" si="1"/>
        <v>0</v>
      </c>
      <c r="K23" s="1"/>
      <c r="L23" s="1">
        <f t="shared" si="2"/>
        <v>-197.8900000000001</v>
      </c>
      <c r="M23" s="1"/>
      <c r="N23" s="5">
        <f t="shared" si="3"/>
        <v>-0.15958870967741945</v>
      </c>
      <c r="O23" s="12"/>
      <c r="P23" s="1">
        <f>SUM(OSRRefP22_2x_0)</f>
        <v>14198.02</v>
      </c>
      <c r="Q23" s="1"/>
      <c r="R23" s="5">
        <f t="shared" si="4"/>
        <v>0</v>
      </c>
      <c r="S23" s="1"/>
      <c r="T23" s="1">
        <f>SUM(OSRRefT22_2x_0)</f>
        <v>40982.71</v>
      </c>
      <c r="U23" s="1"/>
      <c r="V23" s="5">
        <f t="shared" si="5"/>
        <v>0</v>
      </c>
      <c r="W23" s="1"/>
      <c r="X23" s="1">
        <f t="shared" si="6"/>
        <v>-26784.69</v>
      </c>
      <c r="Y23" s="1"/>
      <c r="Z23" s="5">
        <f t="shared" si="7"/>
        <v>-0.65356073329460151</v>
      </c>
    </row>
    <row r="24" spans="1:26" s="23" customFormat="1" hidden="1" outlineLevel="2" x14ac:dyDescent="0.25">
      <c r="A24" s="27"/>
      <c r="B24" s="10" t="str">
        <f>CONCATENATE("          ", "6397", " - ", "BOARD EXPENSES")</f>
        <v xml:space="preserve">          6397 - BOARD EXPENSES</v>
      </c>
      <c r="C24" s="10"/>
      <c r="D24" s="6">
        <v>1042.1099999999999</v>
      </c>
      <c r="E24" s="2"/>
      <c r="F24" s="7">
        <f t="shared" si="0"/>
        <v>0</v>
      </c>
      <c r="G24" s="2"/>
      <c r="H24" s="6">
        <v>1240</v>
      </c>
      <c r="I24" s="2"/>
      <c r="J24" s="7">
        <f t="shared" si="1"/>
        <v>0</v>
      </c>
      <c r="K24" s="2"/>
      <c r="L24" s="6">
        <f t="shared" si="2"/>
        <v>-197.8900000000001</v>
      </c>
      <c r="M24" s="2"/>
      <c r="N24" s="7">
        <f t="shared" si="3"/>
        <v>-0.15958870967741945</v>
      </c>
      <c r="O24" s="10"/>
      <c r="P24" s="6">
        <v>14198.02</v>
      </c>
      <c r="Q24" s="2"/>
      <c r="R24" s="7">
        <f t="shared" si="4"/>
        <v>0</v>
      </c>
      <c r="S24" s="2"/>
      <c r="T24" s="6">
        <v>40982.71</v>
      </c>
      <c r="U24" s="2"/>
      <c r="V24" s="7">
        <f t="shared" si="5"/>
        <v>0</v>
      </c>
      <c r="W24" s="2"/>
      <c r="X24" s="6">
        <f t="shared" si="6"/>
        <v>-26784.69</v>
      </c>
      <c r="Y24" s="2"/>
      <c r="Z24" s="7">
        <f t="shared" si="7"/>
        <v>-0.65356073329460151</v>
      </c>
    </row>
    <row r="25" spans="1:26" s="26" customFormat="1" outlineLevel="1" collapsed="1" x14ac:dyDescent="0.25">
      <c r="A25" s="25"/>
      <c r="B25" s="12" t="str">
        <f>CONCATENATE("     ","Donations                                         ")</f>
        <v xml:space="preserve">     Donations                                         </v>
      </c>
      <c r="C25" s="12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2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103128.19</v>
      </c>
      <c r="U25" s="1"/>
      <c r="V25" s="5">
        <f t="shared" si="5"/>
        <v>0</v>
      </c>
      <c r="W25" s="1"/>
      <c r="X25" s="1">
        <f t="shared" si="6"/>
        <v>-103128.19</v>
      </c>
      <c r="Y25" s="1"/>
      <c r="Z25" s="5">
        <f t="shared" si="7"/>
        <v>-1</v>
      </c>
    </row>
    <row r="26" spans="1:26" s="23" customFormat="1" hidden="1" outlineLevel="2" x14ac:dyDescent="0.25">
      <c r="A26" s="27"/>
      <c r="B26" s="10" t="str">
        <f>CONCATENATE("          ", "6399", " - ", "DONATION-ON CAMPUS")</f>
        <v xml:space="preserve">          6399 - DONATION-ON CAMPUS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103128.19</v>
      </c>
      <c r="U26" s="2"/>
      <c r="V26" s="7">
        <f t="shared" si="5"/>
        <v>0</v>
      </c>
      <c r="W26" s="2"/>
      <c r="X26" s="6">
        <f t="shared" si="6"/>
        <v>-103128.19</v>
      </c>
      <c r="Y26" s="2"/>
      <c r="Z26" s="7">
        <f t="shared" si="7"/>
        <v>-1</v>
      </c>
    </row>
    <row r="27" spans="1:26" s="26" customFormat="1" outlineLevel="1" collapsed="1" x14ac:dyDescent="0.25">
      <c r="A27" s="25"/>
      <c r="B27" s="12" t="str">
        <f>CONCATENATE("     ","Professional Services                             ")</f>
        <v xml:space="preserve">     Professional Services                             </v>
      </c>
      <c r="C27" s="12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2"/>
      <c r="P27" s="1">
        <f>SUM(OSRRefP22_4x_0)</f>
        <v>46568</v>
      </c>
      <c r="Q27" s="1"/>
      <c r="R27" s="5">
        <f t="shared" si="4"/>
        <v>0</v>
      </c>
      <c r="S27" s="1"/>
      <c r="T27" s="1">
        <f>SUM(OSRRefT22_4x_0)</f>
        <v>61235.24</v>
      </c>
      <c r="U27" s="1"/>
      <c r="V27" s="5">
        <f t="shared" si="5"/>
        <v>0</v>
      </c>
      <c r="W27" s="1"/>
      <c r="X27" s="1">
        <f t="shared" si="6"/>
        <v>-14667.239999999998</v>
      </c>
      <c r="Y27" s="1"/>
      <c r="Z27" s="5">
        <f t="shared" si="7"/>
        <v>-0.23952286297889905</v>
      </c>
    </row>
    <row r="28" spans="1:26" s="23" customFormat="1" hidden="1" outlineLevel="2" x14ac:dyDescent="0.25">
      <c r="A28" s="27"/>
      <c r="B28" s="10" t="str">
        <f>CONCATENATE("          ", "6331", " - ", "INDIRECT COSTS-AUXILIARY ORGAN")</f>
        <v xml:space="preserve">          6331 - INDIRECT COSTS-AUXILIARY ORGAN</v>
      </c>
      <c r="C28" s="10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0"/>
      <c r="P28" s="6">
        <v>46568</v>
      </c>
      <c r="Q28" s="2"/>
      <c r="R28" s="7">
        <f t="shared" si="4"/>
        <v>0</v>
      </c>
      <c r="S28" s="2"/>
      <c r="T28" s="6">
        <v>46173</v>
      </c>
      <c r="U28" s="2"/>
      <c r="V28" s="7">
        <f t="shared" si="5"/>
        <v>0</v>
      </c>
      <c r="W28" s="2"/>
      <c r="X28" s="6">
        <f t="shared" si="6"/>
        <v>395</v>
      </c>
      <c r="Y28" s="2"/>
      <c r="Z28" s="7">
        <f t="shared" si="7"/>
        <v>8.5547830983475192E-3</v>
      </c>
    </row>
    <row r="29" spans="1:26" s="23" customFormat="1" hidden="1" outlineLevel="2" x14ac:dyDescent="0.25">
      <c r="A29" s="27"/>
      <c r="B29" s="10" t="str">
        <f>CONCATENATE("          ", "6332", " - ", "CONSULTANT FEES")</f>
        <v xml:space="preserve">          6332 - CONSULTANT FEES</v>
      </c>
      <c r="C29" s="10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0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57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x14ac:dyDescent="0.25">
      <c r="A31" s="11"/>
      <c r="B31" s="29" t="s">
        <v>292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8" t="s">
        <v>276</v>
      </c>
      <c r="C33" s="28"/>
      <c r="D33" s="20">
        <f>+D16-D18+D31</f>
        <v>-29173.79</v>
      </c>
      <c r="E33" s="14"/>
      <c r="F33" s="21">
        <f>IF(D$12=0,0,D33/D$12)</f>
        <v>0</v>
      </c>
      <c r="G33" s="14"/>
      <c r="H33" s="20">
        <f>+H16-H18+H31</f>
        <v>-31569.339999999997</v>
      </c>
      <c r="I33" s="14"/>
      <c r="J33" s="21">
        <f>IF(H$12=0,0,H33/H$12)</f>
        <v>0</v>
      </c>
      <c r="K33" s="15"/>
      <c r="L33" s="20">
        <f>+D33-H33</f>
        <v>2395.5499999999956</v>
      </c>
      <c r="M33" s="15"/>
      <c r="N33" s="21">
        <f>IF(H33=0,0,L33/H33)</f>
        <v>-7.5882169218615153E-2</v>
      </c>
      <c r="O33" s="29"/>
      <c r="P33" s="20">
        <f>+P16-P18+P31</f>
        <v>8931.7899999999936</v>
      </c>
      <c r="Q33" s="14"/>
      <c r="R33" s="21">
        <f>IF(P$12=0,0,P33/P$12)</f>
        <v>0</v>
      </c>
      <c r="S33" s="14"/>
      <c r="T33" s="20">
        <f>+T16-T18+T31</f>
        <v>-577293.94999999995</v>
      </c>
      <c r="U33" s="14"/>
      <c r="V33" s="21">
        <f>IF(T$12=0,0,T33/T$12)</f>
        <v>0</v>
      </c>
      <c r="W33" s="15"/>
      <c r="X33" s="20">
        <f>+P33-T33</f>
        <v>586225.74</v>
      </c>
      <c r="Y33" s="15"/>
      <c r="Z33" s="21">
        <f>IF(T33=0,0,X33/T33)</f>
        <v>-1.0154718233232827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x14ac:dyDescent="0.25">
      <c r="A35" s="51"/>
      <c r="B35" s="11" t="s">
        <v>127</v>
      </c>
      <c r="C35" s="11"/>
      <c r="D35" s="4"/>
      <c r="E35" s="4"/>
      <c r="F35" s="13">
        <f>IF(D$12=0,0,D35/D$12)</f>
        <v>0</v>
      </c>
      <c r="G35" s="4"/>
      <c r="H35" s="4"/>
      <c r="I35" s="4"/>
      <c r="J35" s="13">
        <f>IF(H$12=0,0,H35/H$12)</f>
        <v>0</v>
      </c>
      <c r="K35" s="4"/>
      <c r="L35" s="4">
        <f>+D35-H35</f>
        <v>0</v>
      </c>
      <c r="M35" s="4"/>
      <c r="N35" s="13">
        <f>IF(H35=0,0,L35/H35)</f>
        <v>0</v>
      </c>
      <c r="O35" s="11"/>
      <c r="P35" s="4"/>
      <c r="Q35" s="4"/>
      <c r="R35" s="13">
        <f>IF(P$12=0,0,P35/P$12)</f>
        <v>0</v>
      </c>
      <c r="S35" s="4"/>
      <c r="T35" s="4"/>
      <c r="U35" s="4"/>
      <c r="V35" s="13">
        <f>IF(T$12=0,0,T35/T$12)</f>
        <v>0</v>
      </c>
      <c r="W35" s="4"/>
      <c r="X35" s="4">
        <f>+P35-T35</f>
        <v>0</v>
      </c>
      <c r="Y35" s="4"/>
      <c r="Z35" s="13">
        <f>IF(T35=0,0,X35/T35)</f>
        <v>0</v>
      </c>
    </row>
    <row r="36" spans="1:26" x14ac:dyDescent="0.25">
      <c r="A36" s="9"/>
      <c r="B36" s="11"/>
      <c r="C36" s="11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1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4" customFormat="1" ht="15.75" thickBot="1" x14ac:dyDescent="0.3">
      <c r="A37" s="11"/>
      <c r="B37" s="28" t="s">
        <v>125</v>
      </c>
      <c r="C37" s="28"/>
      <c r="D37" s="35">
        <f>+D33-D35</f>
        <v>-29173.79</v>
      </c>
      <c r="E37" s="14"/>
      <c r="F37" s="36">
        <f>IF(D$12=0,0,D37/D$12)</f>
        <v>0</v>
      </c>
      <c r="G37" s="14"/>
      <c r="H37" s="35">
        <f>+H33-H35</f>
        <v>-31569.339999999997</v>
      </c>
      <c r="I37" s="14"/>
      <c r="J37" s="36">
        <f>IF(H$12=0,0,H37/H$12)</f>
        <v>0</v>
      </c>
      <c r="K37" s="15"/>
      <c r="L37" s="35">
        <f>D37-H37</f>
        <v>2395.5499999999956</v>
      </c>
      <c r="M37" s="15"/>
      <c r="N37" s="36">
        <f>IF(H37=0,0,L37/H37)</f>
        <v>-7.5882169218615153E-2</v>
      </c>
      <c r="O37" s="29"/>
      <c r="P37" s="35">
        <f>+P33-P35</f>
        <v>8931.7899999999936</v>
      </c>
      <c r="Q37" s="14"/>
      <c r="R37" s="36">
        <f>IF(P$12=0,0,P37/P$12)</f>
        <v>0</v>
      </c>
      <c r="S37" s="14"/>
      <c r="T37" s="35">
        <f>+T33-T35</f>
        <v>-577293.94999999995</v>
      </c>
      <c r="U37" s="14"/>
      <c r="V37" s="36">
        <f>IF(T$12=0,0,T37/T$12)</f>
        <v>0</v>
      </c>
      <c r="W37" s="15"/>
      <c r="X37" s="35">
        <f>P37-T37</f>
        <v>586225.74</v>
      </c>
      <c r="Y37" s="15"/>
      <c r="Z37" s="36">
        <f>IF(T37=0,0,X37/T37)</f>
        <v>-1.0154718233232827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8" t="s">
        <v>293</v>
      </c>
      <c r="C40" s="28"/>
      <c r="D40" s="30">
        <f>SUM(D37:D39)</f>
        <v>-29173.79</v>
      </c>
      <c r="E40" s="14"/>
      <c r="F40" s="31">
        <f>IF(D$12=0,0,D40/D$12)</f>
        <v>0</v>
      </c>
      <c r="G40" s="14"/>
      <c r="H40" s="30">
        <f>SUM(H37:H39)</f>
        <v>-31569.339999999997</v>
      </c>
      <c r="I40" s="14"/>
      <c r="J40" s="31">
        <f>IF(H$12=0,0,H40/H$12)</f>
        <v>0</v>
      </c>
      <c r="K40" s="15"/>
      <c r="L40" s="30">
        <f>+D40-H40</f>
        <v>2395.5499999999956</v>
      </c>
      <c r="M40" s="15"/>
      <c r="N40" s="31">
        <f>IF(H40=0,0,L40/H40)</f>
        <v>-7.5882169218615153E-2</v>
      </c>
      <c r="O40" s="29"/>
      <c r="P40" s="30">
        <f>SUM(P37:P39)</f>
        <v>8931.7899999999936</v>
      </c>
      <c r="Q40" s="14"/>
      <c r="R40" s="31">
        <f>IF(P$12=0,0,P40/P$12)</f>
        <v>0</v>
      </c>
      <c r="S40" s="14"/>
      <c r="T40" s="30">
        <f>SUM(T37:T39)</f>
        <v>-577293.94999999995</v>
      </c>
      <c r="U40" s="14"/>
      <c r="V40" s="31">
        <f>IF(T$12=0,0,T40/T$12)</f>
        <v>0</v>
      </c>
      <c r="W40" s="15"/>
      <c r="X40" s="30">
        <f>+P40-T40</f>
        <v>586225.74</v>
      </c>
      <c r="Y40" s="15"/>
      <c r="Z40" s="31">
        <f>IF(T40=0,0,X40/T40)</f>
        <v>-1.0154718233232827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9">
        <v>44356.893348032405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2" t="s">
        <v>56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4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34019.14</v>
      </c>
      <c r="E18" s="22"/>
      <c r="F18" s="32">
        <f t="shared" ref="F18:F27" si="0">IF(D$12=0,0,D18/D$12)</f>
        <v>0</v>
      </c>
      <c r="G18" s="22"/>
      <c r="H18" s="22">
        <f>SUM(OSRRefH22x_0)</f>
        <v>28280.820000000003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5738.3199999999961</v>
      </c>
      <c r="M18" s="4"/>
      <c r="N18" s="32">
        <f t="shared" ref="N18:N27" si="3">IF(H18=0,0,L18/H18)</f>
        <v>0.20290500770486836</v>
      </c>
      <c r="O18" s="11"/>
      <c r="P18" s="22">
        <f>SUM(OSRRefP22x_0)</f>
        <v>413506.18</v>
      </c>
      <c r="Q18" s="22"/>
      <c r="R18" s="32">
        <f t="shared" ref="R18:R27" si="4">IF(P$12=0,0,P18/P$12)</f>
        <v>0</v>
      </c>
      <c r="S18" s="22"/>
      <c r="T18" s="22">
        <f>SUM(OSRRefT22x_0)</f>
        <v>629962.5299999998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-216456.3499999998</v>
      </c>
      <c r="Y18" s="4"/>
      <c r="Z18" s="32">
        <f t="shared" ref="Z18:Z27" si="7">IF(T18=0,0,X18/T18)</f>
        <v>-0.34360194407118128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10168.459999999999</v>
      </c>
      <c r="E19" s="1"/>
      <c r="F19" s="5">
        <f t="shared" si="0"/>
        <v>0</v>
      </c>
      <c r="G19" s="1"/>
      <c r="H19" s="1">
        <f>SUM(OSRRefH22_0x_0)</f>
        <v>9959.89</v>
      </c>
      <c r="I19" s="1"/>
      <c r="J19" s="5">
        <f t="shared" si="1"/>
        <v>0</v>
      </c>
      <c r="K19" s="1"/>
      <c r="L19" s="1">
        <f t="shared" si="2"/>
        <v>208.56999999999971</v>
      </c>
      <c r="M19" s="1"/>
      <c r="N19" s="5">
        <f t="shared" si="3"/>
        <v>2.0940994328250584E-2</v>
      </c>
      <c r="O19" s="12"/>
      <c r="P19" s="1">
        <f>SUM(OSRRefP22_0x_0)</f>
        <v>118587.72</v>
      </c>
      <c r="Q19" s="1"/>
      <c r="R19" s="5">
        <f t="shared" si="4"/>
        <v>0</v>
      </c>
      <c r="S19" s="1"/>
      <c r="T19" s="1">
        <f>SUM(OSRRefT22_0x_0)</f>
        <v>151469.58000000002</v>
      </c>
      <c r="U19" s="1"/>
      <c r="V19" s="5">
        <f t="shared" si="5"/>
        <v>0</v>
      </c>
      <c r="W19" s="1"/>
      <c r="X19" s="1">
        <f t="shared" si="6"/>
        <v>-32881.860000000015</v>
      </c>
      <c r="Y19" s="1"/>
      <c r="Z19" s="5">
        <f t="shared" si="7"/>
        <v>-0.2170855692608378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1454.4</v>
      </c>
      <c r="E20" s="2"/>
      <c r="F20" s="7">
        <f t="shared" si="0"/>
        <v>0</v>
      </c>
      <c r="G20" s="2"/>
      <c r="H20" s="6">
        <v>1447.18</v>
      </c>
      <c r="I20" s="2"/>
      <c r="J20" s="7">
        <f t="shared" si="1"/>
        <v>0</v>
      </c>
      <c r="K20" s="2"/>
      <c r="L20" s="6">
        <f t="shared" si="2"/>
        <v>7.2200000000000273</v>
      </c>
      <c r="M20" s="2"/>
      <c r="N20" s="7">
        <f t="shared" si="3"/>
        <v>4.9890131151619195E-3</v>
      </c>
      <c r="O20" s="10"/>
      <c r="P20" s="6">
        <v>14835.78</v>
      </c>
      <c r="Q20" s="2"/>
      <c r="R20" s="7">
        <f t="shared" si="4"/>
        <v>0</v>
      </c>
      <c r="S20" s="2"/>
      <c r="T20" s="6">
        <v>20898.060000000001</v>
      </c>
      <c r="U20" s="2"/>
      <c r="V20" s="7">
        <f t="shared" si="5"/>
        <v>0</v>
      </c>
      <c r="W20" s="2"/>
      <c r="X20" s="6">
        <f t="shared" si="6"/>
        <v>-6062.2800000000007</v>
      </c>
      <c r="Y20" s="2"/>
      <c r="Z20" s="7">
        <f t="shared" si="7"/>
        <v>-0.29008817086370697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94.23</v>
      </c>
      <c r="E21" s="2"/>
      <c r="F21" s="7">
        <f t="shared" si="0"/>
        <v>0</v>
      </c>
      <c r="G21" s="2"/>
      <c r="H21" s="6">
        <v>96.48</v>
      </c>
      <c r="I21" s="2"/>
      <c r="J21" s="7">
        <f t="shared" si="1"/>
        <v>0</v>
      </c>
      <c r="K21" s="2"/>
      <c r="L21" s="6">
        <f t="shared" si="2"/>
        <v>-2.25</v>
      </c>
      <c r="M21" s="2"/>
      <c r="N21" s="7">
        <f t="shared" si="3"/>
        <v>-2.3320895522388058E-2</v>
      </c>
      <c r="O21" s="10"/>
      <c r="P21" s="6">
        <v>851.04</v>
      </c>
      <c r="Q21" s="2"/>
      <c r="R21" s="7">
        <f t="shared" si="4"/>
        <v>0</v>
      </c>
      <c r="S21" s="2"/>
      <c r="T21" s="6">
        <v>1219.03</v>
      </c>
      <c r="U21" s="2"/>
      <c r="V21" s="7">
        <f t="shared" si="5"/>
        <v>0</v>
      </c>
      <c r="W21" s="2"/>
      <c r="X21" s="6">
        <f t="shared" si="6"/>
        <v>-367.99</v>
      </c>
      <c r="Y21" s="2"/>
      <c r="Z21" s="7">
        <f t="shared" si="7"/>
        <v>-0.30187115985660734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0"/>
      <c r="P22" s="6">
        <v>43799.67</v>
      </c>
      <c r="Q22" s="2"/>
      <c r="R22" s="7">
        <f t="shared" si="4"/>
        <v>0</v>
      </c>
      <c r="S22" s="2"/>
      <c r="T22" s="6">
        <v>44967.06</v>
      </c>
      <c r="U22" s="2"/>
      <c r="V22" s="7">
        <f t="shared" si="5"/>
        <v>0</v>
      </c>
      <c r="W22" s="2"/>
      <c r="X22" s="6">
        <f t="shared" si="6"/>
        <v>-1167.3899999999994</v>
      </c>
      <c r="Y22" s="2"/>
      <c r="Z22" s="7">
        <f t="shared" si="7"/>
        <v>-2.5961003454528703E-2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74.239999999999995</v>
      </c>
      <c r="E23" s="2"/>
      <c r="F23" s="7">
        <f t="shared" si="0"/>
        <v>0</v>
      </c>
      <c r="G23" s="2"/>
      <c r="H23" s="6">
        <v>73.78</v>
      </c>
      <c r="I23" s="2"/>
      <c r="J23" s="7">
        <f t="shared" si="1"/>
        <v>0</v>
      </c>
      <c r="K23" s="2"/>
      <c r="L23" s="6">
        <f t="shared" si="2"/>
        <v>0.45999999999999375</v>
      </c>
      <c r="M23" s="2"/>
      <c r="N23" s="7">
        <f t="shared" si="3"/>
        <v>6.2347519653021648E-3</v>
      </c>
      <c r="O23" s="10"/>
      <c r="P23" s="6">
        <v>670.52</v>
      </c>
      <c r="Q23" s="2"/>
      <c r="R23" s="7">
        <f t="shared" si="4"/>
        <v>0</v>
      </c>
      <c r="S23" s="2"/>
      <c r="T23" s="6">
        <v>1088.8900000000001</v>
      </c>
      <c r="U23" s="2"/>
      <c r="V23" s="7">
        <f t="shared" si="5"/>
        <v>0</v>
      </c>
      <c r="W23" s="2"/>
      <c r="X23" s="6">
        <f t="shared" si="6"/>
        <v>-418.37000000000012</v>
      </c>
      <c r="Y23" s="2"/>
      <c r="Z23" s="7">
        <f t="shared" si="7"/>
        <v>-0.38421695488065838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2049.0300000000002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150.46000000000026</v>
      </c>
      <c r="M24" s="2"/>
      <c r="N24" s="7">
        <f t="shared" si="3"/>
        <v>7.9249119073829394E-2</v>
      </c>
      <c r="O24" s="10"/>
      <c r="P24" s="6">
        <v>27763.68</v>
      </c>
      <c r="Q24" s="2"/>
      <c r="R24" s="7">
        <f t="shared" si="4"/>
        <v>0</v>
      </c>
      <c r="S24" s="2"/>
      <c r="T24" s="6">
        <v>30150.71</v>
      </c>
      <c r="U24" s="2"/>
      <c r="V24" s="7">
        <f t="shared" si="5"/>
        <v>0</v>
      </c>
      <c r="W24" s="2"/>
      <c r="X24" s="6">
        <f t="shared" si="6"/>
        <v>-2387.0299999999988</v>
      </c>
      <c r="Y24" s="2"/>
      <c r="Z24" s="7">
        <f t="shared" si="7"/>
        <v>-7.9169943261700931E-2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1658.98</v>
      </c>
      <c r="E25" s="2"/>
      <c r="F25" s="7">
        <f t="shared" si="0"/>
        <v>0</v>
      </c>
      <c r="G25" s="2"/>
      <c r="H25" s="6">
        <v>1621.64</v>
      </c>
      <c r="I25" s="2"/>
      <c r="J25" s="7">
        <f t="shared" si="1"/>
        <v>0</v>
      </c>
      <c r="K25" s="2"/>
      <c r="L25" s="6">
        <f t="shared" si="2"/>
        <v>37.339999999999918</v>
      </c>
      <c r="M25" s="2"/>
      <c r="N25" s="7">
        <f t="shared" si="3"/>
        <v>2.3026072371179741E-2</v>
      </c>
      <c r="O25" s="10"/>
      <c r="P25" s="6">
        <v>19907.759999999998</v>
      </c>
      <c r="Q25" s="2"/>
      <c r="R25" s="7">
        <f t="shared" si="4"/>
        <v>0</v>
      </c>
      <c r="S25" s="2"/>
      <c r="T25" s="6">
        <v>25428.2</v>
      </c>
      <c r="U25" s="2"/>
      <c r="V25" s="7">
        <f t="shared" si="5"/>
        <v>0</v>
      </c>
      <c r="W25" s="2"/>
      <c r="X25" s="6">
        <f t="shared" si="6"/>
        <v>-5520.4400000000023</v>
      </c>
      <c r="Y25" s="2"/>
      <c r="Z25" s="7">
        <f t="shared" si="7"/>
        <v>-0.21709912616701152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10281.6</v>
      </c>
      <c r="Q26" s="2"/>
      <c r="R26" s="7">
        <f t="shared" si="4"/>
        <v>0</v>
      </c>
      <c r="S26" s="2"/>
      <c r="T26" s="6">
        <v>25112</v>
      </c>
      <c r="U26" s="2"/>
      <c r="V26" s="7">
        <f t="shared" si="5"/>
        <v>0</v>
      </c>
      <c r="W26" s="2"/>
      <c r="X26" s="6">
        <f t="shared" si="6"/>
        <v>-14830.4</v>
      </c>
      <c r="Y26" s="2"/>
      <c r="Z26" s="7">
        <f t="shared" si="7"/>
        <v>-0.59057024530105129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63.63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63.63</v>
      </c>
      <c r="M27" s="2"/>
      <c r="N27" s="7">
        <f t="shared" si="3"/>
        <v>0</v>
      </c>
      <c r="O27" s="10"/>
      <c r="P27" s="6">
        <v>477.67</v>
      </c>
      <c r="Q27" s="2"/>
      <c r="R27" s="7">
        <f t="shared" si="4"/>
        <v>0</v>
      </c>
      <c r="S27" s="2"/>
      <c r="T27" s="6">
        <v>2605.63</v>
      </c>
      <c r="U27" s="2"/>
      <c r="V27" s="7">
        <f t="shared" si="5"/>
        <v>0</v>
      </c>
      <c r="W27" s="2"/>
      <c r="X27" s="6">
        <f t="shared" si="6"/>
        <v>-2127.96</v>
      </c>
      <c r="Y27" s="2"/>
      <c r="Z27" s="7">
        <f t="shared" si="7"/>
        <v>-0.81667773244858244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18352.82</v>
      </c>
      <c r="E28" s="1"/>
      <c r="F28" s="5">
        <f t="shared" ref="F28:F31" si="8">IF(D$12=0,0,D28/D$12)</f>
        <v>0</v>
      </c>
      <c r="G28" s="1"/>
      <c r="H28" s="1">
        <f>SUM(OSRRefH22_1x_0)</f>
        <v>15659.76</v>
      </c>
      <c r="I28" s="1"/>
      <c r="J28" s="5">
        <f t="shared" ref="J28:J31" si="9">IF(H$12=0,0,H28/H$12)</f>
        <v>0</v>
      </c>
      <c r="K28" s="1"/>
      <c r="L28" s="1">
        <f t="shared" ref="L28:L31" si="10">+D28-H28</f>
        <v>2693.0599999999995</v>
      </c>
      <c r="M28" s="1"/>
      <c r="N28" s="5">
        <f t="shared" ref="N28:N31" si="11">IF(H28=0,0,L28/H28)</f>
        <v>0.17197326140375072</v>
      </c>
      <c r="O28" s="12"/>
      <c r="P28" s="1">
        <f>SUM(OSRRefP22_1x_0)</f>
        <v>169321.31</v>
      </c>
      <c r="Q28" s="1"/>
      <c r="R28" s="5">
        <f t="shared" ref="R28:R31" si="12">IF(P$12=0,0,P28/P$12)</f>
        <v>0</v>
      </c>
      <c r="S28" s="1"/>
      <c r="T28" s="1">
        <f>SUM(OSRRefT22_1x_0)</f>
        <v>182366.62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-13045.309999999998</v>
      </c>
      <c r="Y28" s="1"/>
      <c r="Z28" s="5">
        <f t="shared" ref="Z28:Z31" si="15">IF(T28=0,0,X28/T28)</f>
        <v>-7.1533430843868234E-2</v>
      </c>
    </row>
    <row r="29" spans="1:26" s="23" customFormat="1" hidden="1" outlineLevel="2" x14ac:dyDescent="0.25">
      <c r="A29" s="27"/>
      <c r="B29" s="10" t="str">
        <f>CONCATENATE("          ", "6001", " - ", "ADMINISTRATIVE SALARIES")</f>
        <v xml:space="preserve">          6001 - ADMINISTRATIVE SALARIES</v>
      </c>
      <c r="C29" s="10"/>
      <c r="D29" s="6">
        <v>13456.34</v>
      </c>
      <c r="E29" s="2"/>
      <c r="F29" s="7">
        <f t="shared" si="8"/>
        <v>0</v>
      </c>
      <c r="G29" s="2"/>
      <c r="H29" s="6">
        <v>13456.34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>
        <v>163752.91</v>
      </c>
      <c r="Q29" s="2"/>
      <c r="R29" s="7">
        <f t="shared" si="12"/>
        <v>0</v>
      </c>
      <c r="S29" s="2"/>
      <c r="T29" s="6">
        <v>172360.8</v>
      </c>
      <c r="U29" s="2"/>
      <c r="V29" s="7">
        <f t="shared" si="13"/>
        <v>0</v>
      </c>
      <c r="W29" s="2"/>
      <c r="X29" s="6">
        <f t="shared" si="14"/>
        <v>-8607.8899999999849</v>
      </c>
      <c r="Y29" s="2"/>
      <c r="Z29" s="7">
        <f t="shared" si="15"/>
        <v>-4.9941111900153545E-2</v>
      </c>
    </row>
    <row r="30" spans="1:26" s="23" customFormat="1" hidden="1" outlineLevel="2" x14ac:dyDescent="0.25">
      <c r="A30" s="27"/>
      <c r="B30" s="10" t="str">
        <f>CONCATENATE("          ", "6002", " - ", "STAFF SALARIES")</f>
        <v xml:space="preserve">          6002 - STAFF SALARIES</v>
      </c>
      <c r="C30" s="10"/>
      <c r="D30" s="6">
        <v>4896.4799999999996</v>
      </c>
      <c r="E30" s="2"/>
      <c r="F30" s="7">
        <f t="shared" si="8"/>
        <v>0</v>
      </c>
      <c r="G30" s="2"/>
      <c r="H30" s="6">
        <v>2203.42</v>
      </c>
      <c r="I30" s="2"/>
      <c r="J30" s="7">
        <f t="shared" si="9"/>
        <v>0</v>
      </c>
      <c r="K30" s="2"/>
      <c r="L30" s="6">
        <f t="shared" si="10"/>
        <v>2693.0599999999995</v>
      </c>
      <c r="M30" s="2"/>
      <c r="N30" s="7">
        <f t="shared" si="11"/>
        <v>1.2222181880894243</v>
      </c>
      <c r="O30" s="10"/>
      <c r="P30" s="6">
        <v>50525.69</v>
      </c>
      <c r="Q30" s="2"/>
      <c r="R30" s="7">
        <f t="shared" si="12"/>
        <v>0</v>
      </c>
      <c r="S30" s="2"/>
      <c r="T30" s="6">
        <v>47985.54</v>
      </c>
      <c r="U30" s="2"/>
      <c r="V30" s="7">
        <f t="shared" si="13"/>
        <v>0</v>
      </c>
      <c r="W30" s="2"/>
      <c r="X30" s="6">
        <f t="shared" si="14"/>
        <v>2540.1500000000015</v>
      </c>
      <c r="Y30" s="2"/>
      <c r="Z30" s="7">
        <f t="shared" si="15"/>
        <v>5.2935738557907265E-2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-44957.29</v>
      </c>
      <c r="Q31" s="2"/>
      <c r="R31" s="7">
        <f t="shared" si="12"/>
        <v>0</v>
      </c>
      <c r="S31" s="2"/>
      <c r="T31" s="6">
        <v>-37979.72</v>
      </c>
      <c r="U31" s="2"/>
      <c r="V31" s="7">
        <f t="shared" si="13"/>
        <v>0</v>
      </c>
      <c r="W31" s="2"/>
      <c r="X31" s="6">
        <f t="shared" si="14"/>
        <v>-6977.57</v>
      </c>
      <c r="Y31" s="2"/>
      <c r="Z31" s="7">
        <f t="shared" si="15"/>
        <v>0.18371831071951028</v>
      </c>
    </row>
    <row r="32" spans="1:26" s="26" customFormat="1" outlineLevel="1" collapsed="1" x14ac:dyDescent="0.25">
      <c r="A32" s="25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71.97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71.97</v>
      </c>
      <c r="M32" s="1"/>
      <c r="N32" s="5">
        <f t="shared" ref="N32:N49" si="19">IF(H32=0,0,L32/H32)</f>
        <v>0</v>
      </c>
      <c r="O32" s="12"/>
      <c r="P32" s="1">
        <f>SUM(OSRRefP22_2x_0)</f>
        <v>245.07</v>
      </c>
      <c r="Q32" s="1"/>
      <c r="R32" s="5">
        <f t="shared" ref="R32:R49" si="20">IF(P$12=0,0,P32/P$12)</f>
        <v>0</v>
      </c>
      <c r="S32" s="1"/>
      <c r="T32" s="1">
        <f>SUM(OSRRefT22_2x_0)</f>
        <v>12880.83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-12635.76</v>
      </c>
      <c r="Y32" s="1"/>
      <c r="Z32" s="5">
        <f t="shared" ref="Z32:Z49" si="23">IF(T32=0,0,X32/T32)</f>
        <v>-0.98097405213794453</v>
      </c>
    </row>
    <row r="33" spans="1:26" s="23" customFormat="1" hidden="1" outlineLevel="2" x14ac:dyDescent="0.25">
      <c r="A33" s="27"/>
      <c r="B33" s="10" t="str">
        <f>CONCATENATE("          ", "6362", " - ", "ADVERTISING EXPENSE")</f>
        <v xml:space="preserve">          6362 - ADVERTISING EXPENSE</v>
      </c>
      <c r="C33" s="10"/>
      <c r="D33" s="6">
        <v>71.97</v>
      </c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71.97</v>
      </c>
      <c r="M33" s="2"/>
      <c r="N33" s="7">
        <f t="shared" si="19"/>
        <v>0</v>
      </c>
      <c r="O33" s="10"/>
      <c r="P33" s="6">
        <v>245.07</v>
      </c>
      <c r="Q33" s="2"/>
      <c r="R33" s="7">
        <f t="shared" si="20"/>
        <v>0</v>
      </c>
      <c r="S33" s="2"/>
      <c r="T33" s="6">
        <v>12880.83</v>
      </c>
      <c r="U33" s="2"/>
      <c r="V33" s="7">
        <f t="shared" si="21"/>
        <v>0</v>
      </c>
      <c r="W33" s="2"/>
      <c r="X33" s="6">
        <f t="shared" si="22"/>
        <v>-12635.76</v>
      </c>
      <c r="Y33" s="2"/>
      <c r="Z33" s="7">
        <f t="shared" si="23"/>
        <v>-0.98097405213794453</v>
      </c>
    </row>
    <row r="34" spans="1:26" s="26" customFormat="1" outlineLevel="1" collapsed="1" x14ac:dyDescent="0.25">
      <c r="A34" s="25"/>
      <c r="B34" s="12" t="str">
        <f>CONCATENATE("     ","Depreciation                                      ")</f>
        <v xml:space="preserve">     Depreciation                                      </v>
      </c>
      <c r="C34" s="12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314.87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2"/>
      <c r="P34" s="1">
        <f>SUM(OSRRefP22_3x_0)</f>
        <v>3463.57</v>
      </c>
      <c r="Q34" s="1"/>
      <c r="R34" s="5">
        <f t="shared" si="20"/>
        <v>0</v>
      </c>
      <c r="S34" s="1"/>
      <c r="T34" s="1">
        <f>SUM(OSRRefT22_3x_0)</f>
        <v>3736.84</v>
      </c>
      <c r="U34" s="1"/>
      <c r="V34" s="5">
        <f t="shared" si="21"/>
        <v>0</v>
      </c>
      <c r="W34" s="1"/>
      <c r="X34" s="1">
        <f t="shared" si="22"/>
        <v>-273.27</v>
      </c>
      <c r="Y34" s="1"/>
      <c r="Z34" s="5">
        <f t="shared" si="23"/>
        <v>-7.3128632748525491E-2</v>
      </c>
    </row>
    <row r="35" spans="1:26" s="23" customFormat="1" hidden="1" outlineLevel="2" x14ac:dyDescent="0.25">
      <c r="A35" s="27"/>
      <c r="B35" s="10" t="str">
        <f>CONCATENATE("          ", "6322", " - ", "EQUIPMENT DEPRECIATION EXPENSE")</f>
        <v xml:space="preserve">          6322 - EQUIPMENT DEPRECIATION EXPENSE</v>
      </c>
      <c r="C35" s="10"/>
      <c r="D35" s="6">
        <v>314.87</v>
      </c>
      <c r="E35" s="2"/>
      <c r="F35" s="7">
        <f t="shared" si="16"/>
        <v>0</v>
      </c>
      <c r="G35" s="2"/>
      <c r="H35" s="6">
        <v>314.87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0"/>
      <c r="P35" s="6">
        <v>3463.57</v>
      </c>
      <c r="Q35" s="2"/>
      <c r="R35" s="7">
        <f t="shared" si="20"/>
        <v>0</v>
      </c>
      <c r="S35" s="2"/>
      <c r="T35" s="6">
        <v>3736.84</v>
      </c>
      <c r="U35" s="2"/>
      <c r="V35" s="7">
        <f t="shared" si="21"/>
        <v>0</v>
      </c>
      <c r="W35" s="2"/>
      <c r="X35" s="6">
        <f t="shared" si="22"/>
        <v>-273.27</v>
      </c>
      <c r="Y35" s="2"/>
      <c r="Z35" s="7">
        <f t="shared" si="23"/>
        <v>-7.3128632748525491E-2</v>
      </c>
    </row>
    <row r="36" spans="1:26" s="26" customFormat="1" outlineLevel="1" collapsed="1" x14ac:dyDescent="0.25">
      <c r="A36" s="25"/>
      <c r="B36" s="12" t="str">
        <f>CONCATENATE("     ","Donations                                         ")</f>
        <v xml:space="preserve">     Donations                                         </v>
      </c>
      <c r="C36" s="12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2"/>
      <c r="P36" s="1">
        <f>SUM(OSRRefP22_4x_0)</f>
        <v>26500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-119145</v>
      </c>
      <c r="Y36" s="1"/>
      <c r="Z36" s="5">
        <f t="shared" si="23"/>
        <v>-0.81805073981255794</v>
      </c>
    </row>
    <row r="37" spans="1:26" s="23" customFormat="1" hidden="1" outlineLevel="2" x14ac:dyDescent="0.25">
      <c r="A37" s="27"/>
      <c r="B37" s="10" t="str">
        <f>CONCATENATE("          ", "6399", " - ", "DONATION-ON CAMPUS")</f>
        <v xml:space="preserve">          6399 - DONATION-ON CAMPUS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26500</v>
      </c>
      <c r="Q37" s="2"/>
      <c r="R37" s="7">
        <f t="shared" si="20"/>
        <v>0</v>
      </c>
      <c r="S37" s="2"/>
      <c r="T37" s="6">
        <v>145645</v>
      </c>
      <c r="U37" s="2"/>
      <c r="V37" s="7">
        <f t="shared" si="21"/>
        <v>0</v>
      </c>
      <c r="W37" s="2"/>
      <c r="X37" s="6">
        <f t="shared" si="22"/>
        <v>-119145</v>
      </c>
      <c r="Y37" s="2"/>
      <c r="Z37" s="7">
        <f t="shared" si="23"/>
        <v>-0.81805073981255794</v>
      </c>
    </row>
    <row r="38" spans="1:26" s="26" customFormat="1" outlineLevel="1" collapsed="1" x14ac:dyDescent="0.25">
      <c r="A38" s="25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2"/>
      <c r="P38" s="1">
        <f>SUM(OSRRefP22_5x_0)</f>
        <v>1386.07</v>
      </c>
      <c r="Q38" s="1"/>
      <c r="R38" s="5">
        <f t="shared" si="20"/>
        <v>0</v>
      </c>
      <c r="S38" s="1"/>
      <c r="T38" s="1">
        <f>SUM(OSRRefT22_5x_0)</f>
        <v>1294.92</v>
      </c>
      <c r="U38" s="1"/>
      <c r="V38" s="5">
        <f t="shared" si="21"/>
        <v>0</v>
      </c>
      <c r="W38" s="1"/>
      <c r="X38" s="1">
        <f t="shared" si="22"/>
        <v>91.149999999999864</v>
      </c>
      <c r="Y38" s="1"/>
      <c r="Z38" s="5">
        <f t="shared" si="23"/>
        <v>7.0390448830815688E-2</v>
      </c>
    </row>
    <row r="39" spans="1:26" s="23" customFormat="1" hidden="1" outlineLevel="2" x14ac:dyDescent="0.25">
      <c r="A39" s="27"/>
      <c r="B39" s="10" t="str">
        <f>CONCATENATE("          ", "6351", " - ", "EQUIPMENT RENTAL")</f>
        <v xml:space="preserve">          6351 - EQUIPMENT RENTAL</v>
      </c>
      <c r="C39" s="10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0"/>
      <c r="P39" s="6">
        <v>1386.07</v>
      </c>
      <c r="Q39" s="2"/>
      <c r="R39" s="7">
        <f t="shared" si="20"/>
        <v>0</v>
      </c>
      <c r="S39" s="2"/>
      <c r="T39" s="6">
        <v>1294.92</v>
      </c>
      <c r="U39" s="2"/>
      <c r="V39" s="7">
        <f t="shared" si="21"/>
        <v>0</v>
      </c>
      <c r="W39" s="2"/>
      <c r="X39" s="6">
        <f t="shared" si="22"/>
        <v>91.149999999999864</v>
      </c>
      <c r="Y39" s="2"/>
      <c r="Z39" s="7">
        <f t="shared" si="23"/>
        <v>7.0390448830815688E-2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SUM(OSRRefD22_6x_0)</f>
        <v>4.09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4.09</v>
      </c>
      <c r="M40" s="1"/>
      <c r="N40" s="5">
        <f t="shared" si="19"/>
        <v>0</v>
      </c>
      <c r="O40" s="12"/>
      <c r="P40" s="1">
        <f>SUM(OSRRefP22_6x_0)</f>
        <v>70.680000000000007</v>
      </c>
      <c r="Q40" s="1"/>
      <c r="R40" s="5">
        <f t="shared" si="20"/>
        <v>0</v>
      </c>
      <c r="S40" s="1"/>
      <c r="T40" s="1">
        <f>SUM(OSRRefT22_6x_0)</f>
        <v>171.76</v>
      </c>
      <c r="U40" s="1"/>
      <c r="V40" s="5">
        <f t="shared" si="21"/>
        <v>0</v>
      </c>
      <c r="W40" s="1"/>
      <c r="X40" s="1">
        <f t="shared" si="22"/>
        <v>-101.07999999999998</v>
      </c>
      <c r="Y40" s="1"/>
      <c r="Z40" s="5">
        <f t="shared" si="23"/>
        <v>-0.58849557522123885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>
        <v>4.09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4.09</v>
      </c>
      <c r="M41" s="2"/>
      <c r="N41" s="7">
        <f t="shared" si="19"/>
        <v>0</v>
      </c>
      <c r="O41" s="10"/>
      <c r="P41" s="6">
        <v>70.680000000000007</v>
      </c>
      <c r="Q41" s="2"/>
      <c r="R41" s="7">
        <f t="shared" si="20"/>
        <v>0</v>
      </c>
      <c r="S41" s="2"/>
      <c r="T41" s="6">
        <v>171.76</v>
      </c>
      <c r="U41" s="2"/>
      <c r="V41" s="7">
        <f t="shared" si="21"/>
        <v>0</v>
      </c>
      <c r="W41" s="2"/>
      <c r="X41" s="6">
        <f t="shared" si="22"/>
        <v>-101.07999999999998</v>
      </c>
      <c r="Y41" s="2"/>
      <c r="Z41" s="7">
        <f t="shared" si="23"/>
        <v>-0.58849557522123885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13430.41</v>
      </c>
      <c r="U42" s="1"/>
      <c r="V42" s="5">
        <f t="shared" si="21"/>
        <v>0</v>
      </c>
      <c r="W42" s="1"/>
      <c r="X42" s="1">
        <f t="shared" si="22"/>
        <v>-13430.41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13430.41</v>
      </c>
      <c r="U43" s="2"/>
      <c r="V43" s="7">
        <f t="shared" si="21"/>
        <v>0</v>
      </c>
      <c r="W43" s="2"/>
      <c r="X43" s="6">
        <f t="shared" si="22"/>
        <v>-13430.41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469.13</v>
      </c>
      <c r="I44" s="1"/>
      <c r="J44" s="5">
        <f t="shared" si="17"/>
        <v>0</v>
      </c>
      <c r="K44" s="1"/>
      <c r="L44" s="1">
        <f t="shared" si="18"/>
        <v>-354</v>
      </c>
      <c r="M44" s="1"/>
      <c r="N44" s="5">
        <f t="shared" si="19"/>
        <v>-0.75458828043399484</v>
      </c>
      <c r="O44" s="12"/>
      <c r="P44" s="1">
        <f>SUM(OSRRefP22_8x_0)</f>
        <v>1266.43</v>
      </c>
      <c r="Q44" s="1"/>
      <c r="R44" s="5">
        <f t="shared" si="20"/>
        <v>0</v>
      </c>
      <c r="S44" s="1"/>
      <c r="T44" s="1">
        <f>SUM(OSRRefT22_8x_0)</f>
        <v>1620.43</v>
      </c>
      <c r="U44" s="1"/>
      <c r="V44" s="5">
        <f t="shared" si="21"/>
        <v>0</v>
      </c>
      <c r="W44" s="1"/>
      <c r="X44" s="1">
        <f t="shared" si="22"/>
        <v>-354</v>
      </c>
      <c r="Y44" s="1"/>
      <c r="Z44" s="5">
        <f t="shared" si="23"/>
        <v>-0.21846053208099084</v>
      </c>
    </row>
    <row r="45" spans="1:26" s="23" customFormat="1" hidden="1" outlineLevel="2" x14ac:dyDescent="0.25">
      <c r="A45" s="27"/>
      <c r="B45" s="10" t="str">
        <f>CONCATENATE("          ", "6314", " - ", "LIABILITY INSURANCE")</f>
        <v xml:space="preserve">          6314 - LIABILITY INSURANCE</v>
      </c>
      <c r="C45" s="10"/>
      <c r="D45" s="6">
        <v>115.13</v>
      </c>
      <c r="E45" s="2"/>
      <c r="F45" s="7">
        <f t="shared" si="16"/>
        <v>0</v>
      </c>
      <c r="G45" s="2"/>
      <c r="H45" s="6">
        <v>469.13</v>
      </c>
      <c r="I45" s="2"/>
      <c r="J45" s="7">
        <f t="shared" si="17"/>
        <v>0</v>
      </c>
      <c r="K45" s="2"/>
      <c r="L45" s="6">
        <f t="shared" si="18"/>
        <v>-354</v>
      </c>
      <c r="M45" s="2"/>
      <c r="N45" s="7">
        <f t="shared" si="19"/>
        <v>-0.75458828043399484</v>
      </c>
      <c r="O45" s="10"/>
      <c r="P45" s="6">
        <v>1266.43</v>
      </c>
      <c r="Q45" s="2"/>
      <c r="R45" s="7">
        <f t="shared" si="20"/>
        <v>0</v>
      </c>
      <c r="S45" s="2"/>
      <c r="T45" s="6">
        <v>1620.43</v>
      </c>
      <c r="U45" s="2"/>
      <c r="V45" s="7">
        <f t="shared" si="21"/>
        <v>0</v>
      </c>
      <c r="W45" s="2"/>
      <c r="X45" s="6">
        <f t="shared" si="22"/>
        <v>-354</v>
      </c>
      <c r="Y45" s="2"/>
      <c r="Z45" s="7">
        <f t="shared" si="23"/>
        <v>-0.21846053208099084</v>
      </c>
    </row>
    <row r="46" spans="1:26" s="26" customFormat="1" outlineLevel="1" collapsed="1" x14ac:dyDescent="0.25">
      <c r="A46" s="25"/>
      <c r="B46" s="12" t="str">
        <f>CONCATENATE("     ","Professional Services                             ")</f>
        <v xml:space="preserve">     Professional Services                             </v>
      </c>
      <c r="C46" s="12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SUM(OSRRefP22_9x_0)</f>
        <v>50379.24</v>
      </c>
      <c r="Q46" s="1"/>
      <c r="R46" s="5">
        <f t="shared" si="20"/>
        <v>0</v>
      </c>
      <c r="S46" s="1"/>
      <c r="T46" s="1">
        <f>SUM(OSRRefT22_9x_0)</f>
        <v>51735</v>
      </c>
      <c r="U46" s="1"/>
      <c r="V46" s="5">
        <f t="shared" si="21"/>
        <v>0</v>
      </c>
      <c r="W46" s="1"/>
      <c r="X46" s="1">
        <f t="shared" si="22"/>
        <v>-1355.760000000002</v>
      </c>
      <c r="Y46" s="1"/>
      <c r="Z46" s="5">
        <f t="shared" si="23"/>
        <v>-2.6205856770078324E-2</v>
      </c>
    </row>
    <row r="47" spans="1:26" s="23" customFormat="1" hidden="1" outlineLevel="2" x14ac:dyDescent="0.25">
      <c r="A47" s="27"/>
      <c r="B47" s="10" t="str">
        <f>CONCATENATE("          ", "6331", " - ", "INDIRECT COSTS-AUXILIARY ORGAN")</f>
        <v xml:space="preserve">          6331 - INDIRECT COSTS-AUXILIARY ORGAN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3" customFormat="1" hidden="1" outlineLevel="2" x14ac:dyDescent="0.25">
      <c r="A48" s="27"/>
      <c r="B48" s="10" t="str">
        <f>CONCATENATE("          ", "6334", " - ", "LEGAL COUNCIL EXPENSE")</f>
        <v xml:space="preserve">          6334 - LEGAL COUNCIL EXPENSE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4529.24</v>
      </c>
      <c r="Q48" s="2"/>
      <c r="R48" s="7">
        <f t="shared" si="20"/>
        <v>0</v>
      </c>
      <c r="S48" s="2"/>
      <c r="T48" s="6">
        <v>1165</v>
      </c>
      <c r="U48" s="2"/>
      <c r="V48" s="7">
        <f t="shared" si="21"/>
        <v>0</v>
      </c>
      <c r="W48" s="2"/>
      <c r="X48" s="6">
        <f t="shared" si="22"/>
        <v>3364.24</v>
      </c>
      <c r="Y48" s="2"/>
      <c r="Z48" s="7">
        <f t="shared" si="23"/>
        <v>2.8877596566523605</v>
      </c>
    </row>
    <row r="49" spans="1:26" s="23" customFormat="1" hidden="1" outlineLevel="2" x14ac:dyDescent="0.25">
      <c r="A49" s="27"/>
      <c r="B49" s="10" t="str">
        <f>CONCATENATE("          ", "6336", " - ", "PROFESSIONAL SERVICES")</f>
        <v xml:space="preserve">          6336 - PROFESSIONAL SERVICES</v>
      </c>
      <c r="C49" s="10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SUM(OSRRefD22_10x_0)</f>
        <v>2210.09</v>
      </c>
      <c r="E50" s="1"/>
      <c r="F50" s="5">
        <f t="shared" ref="F50:F53" si="24">IF(D$12=0,0,D50/D$12)</f>
        <v>0</v>
      </c>
      <c r="G50" s="1"/>
      <c r="H50" s="1">
        <f>SUM(OSRRefH22_10x_0)</f>
        <v>2583.62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-373.52999999999975</v>
      </c>
      <c r="M50" s="1"/>
      <c r="N50" s="5">
        <f t="shared" ref="N50:N53" si="27">IF(H50=0,0,L50/H50)</f>
        <v>-0.14457621476842561</v>
      </c>
      <c r="O50" s="12"/>
      <c r="P50" s="1">
        <f>SUM(OSRRefP22_10x_0)</f>
        <v>24339.279999999999</v>
      </c>
      <c r="Q50" s="1"/>
      <c r="R50" s="5">
        <f t="shared" ref="R50:R53" si="28">IF(P$12=0,0,P50/P$12)</f>
        <v>0</v>
      </c>
      <c r="S50" s="1"/>
      <c r="T50" s="1">
        <f>SUM(OSRRefT22_10x_0)</f>
        <v>33437.58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-9098.3000000000029</v>
      </c>
      <c r="Y50" s="1"/>
      <c r="Z50" s="5">
        <f t="shared" ref="Z50:Z53" si="31">IF(T50=0,0,X50/T50)</f>
        <v>-0.27209804058786558</v>
      </c>
    </row>
    <row r="51" spans="1:26" s="23" customFormat="1" hidden="1" outlineLevel="2" x14ac:dyDescent="0.25">
      <c r="A51" s="27"/>
      <c r="B51" s="10" t="str">
        <f>CONCATENATE("          ", "6371", " - ", "COMPUTER SOFTWARE MAINTENANCE")</f>
        <v xml:space="preserve">          6371 - COMPUTER SOFTWARE MAINTENANCE</v>
      </c>
      <c r="C51" s="10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0"/>
      <c r="P51" s="6">
        <v>1980</v>
      </c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1948.42</v>
      </c>
      <c r="Y51" s="2"/>
      <c r="Z51" s="7">
        <f t="shared" si="31"/>
        <v>61.697910069664353</v>
      </c>
    </row>
    <row r="52" spans="1:26" s="23" customFormat="1" hidden="1" outlineLevel="2" x14ac:dyDescent="0.25">
      <c r="A52" s="27"/>
      <c r="B52" s="10" t="str">
        <f>CONCATENATE("          ", "6373", " - ", "MAINTENANCE CONTRACTS")</f>
        <v xml:space="preserve">          6373 - MAINTENANCE CONTRACTS</v>
      </c>
      <c r="C52" s="10"/>
      <c r="D52" s="6">
        <v>2210.09</v>
      </c>
      <c r="E52" s="2"/>
      <c r="F52" s="7">
        <f t="shared" si="24"/>
        <v>0</v>
      </c>
      <c r="G52" s="2"/>
      <c r="H52" s="6">
        <v>2583.62</v>
      </c>
      <c r="I52" s="2"/>
      <c r="J52" s="7">
        <f t="shared" si="25"/>
        <v>0</v>
      </c>
      <c r="K52" s="2"/>
      <c r="L52" s="6">
        <f t="shared" si="26"/>
        <v>-373.52999999999975</v>
      </c>
      <c r="M52" s="2"/>
      <c r="N52" s="7">
        <f t="shared" si="27"/>
        <v>-0.14457621476842561</v>
      </c>
      <c r="O52" s="10"/>
      <c r="P52" s="6">
        <v>22359.279999999999</v>
      </c>
      <c r="Q52" s="2"/>
      <c r="R52" s="7">
        <f t="shared" si="28"/>
        <v>0</v>
      </c>
      <c r="S52" s="2"/>
      <c r="T52" s="6">
        <v>32881.01</v>
      </c>
      <c r="U52" s="2"/>
      <c r="V52" s="7">
        <f t="shared" si="29"/>
        <v>0</v>
      </c>
      <c r="W52" s="2"/>
      <c r="X52" s="6">
        <f t="shared" si="30"/>
        <v>-10521.730000000003</v>
      </c>
      <c r="Y52" s="2"/>
      <c r="Z52" s="7">
        <f t="shared" si="31"/>
        <v>-0.31999412426808066</v>
      </c>
    </row>
    <row r="53" spans="1:26" s="23" customFormat="1" hidden="1" outlineLevel="2" x14ac:dyDescent="0.25">
      <c r="A53" s="27"/>
      <c r="B53" s="10" t="str">
        <f>CONCATENATE("          ", "6375", " - ", "OUTSIDE REPAIRS &amp; MAINTENANCE")</f>
        <v xml:space="preserve">          6375 - OUTSIDE REPAIRS &amp; MAINTENANCE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6" customFormat="1" outlineLevel="1" collapsed="1" x14ac:dyDescent="0.25">
      <c r="A54" s="25"/>
      <c r="B54" s="12" t="str">
        <f>CONCATENATE("     ","Subscriptions &amp; Dues                              ")</f>
        <v xml:space="preserve">     Subscriptions &amp; Dues                              </v>
      </c>
      <c r="C54" s="12"/>
      <c r="D54" s="1">
        <f>SUM(OSRRefD22_11x_0)</f>
        <v>2400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2400</v>
      </c>
      <c r="M54" s="1"/>
      <c r="N54" s="5">
        <f t="shared" ref="N54:N60" si="35">IF(H54=0,0,L54/H54)</f>
        <v>0</v>
      </c>
      <c r="O54" s="12"/>
      <c r="P54" s="1">
        <f>SUM(OSRRefP22_11x_0)</f>
        <v>8793</v>
      </c>
      <c r="Q54" s="1"/>
      <c r="R54" s="5">
        <f t="shared" ref="R54:R60" si="36">IF(P$12=0,0,P54/P$12)</f>
        <v>0</v>
      </c>
      <c r="S54" s="1"/>
      <c r="T54" s="1">
        <f>SUM(OSRRefT22_11x_0)</f>
        <v>8013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780</v>
      </c>
      <c r="Y54" s="1"/>
      <c r="Z54" s="5">
        <f t="shared" ref="Z54:Z60" si="39">IF(T54=0,0,X54/T54)</f>
        <v>9.7341819543242225E-2</v>
      </c>
    </row>
    <row r="55" spans="1:26" s="23" customFormat="1" hidden="1" outlineLevel="2" x14ac:dyDescent="0.25">
      <c r="A55" s="27"/>
      <c r="B55" s="10" t="str">
        <f>CONCATENATE("          ", "6258", " - ", "MEMBERSHIP DUES")</f>
        <v xml:space="preserve">          6258 - MEMBERSHIP DUES</v>
      </c>
      <c r="C55" s="10"/>
      <c r="D55" s="6">
        <v>2400</v>
      </c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2400</v>
      </c>
      <c r="M55" s="2"/>
      <c r="N55" s="7">
        <f t="shared" si="35"/>
        <v>0</v>
      </c>
      <c r="O55" s="10"/>
      <c r="P55" s="6">
        <v>8793</v>
      </c>
      <c r="Q55" s="2"/>
      <c r="R55" s="7">
        <f t="shared" si="36"/>
        <v>0</v>
      </c>
      <c r="S55" s="2"/>
      <c r="T55" s="6">
        <v>8013</v>
      </c>
      <c r="U55" s="2"/>
      <c r="V55" s="7">
        <f t="shared" si="37"/>
        <v>0</v>
      </c>
      <c r="W55" s="2"/>
      <c r="X55" s="6">
        <f t="shared" si="38"/>
        <v>780</v>
      </c>
      <c r="Y55" s="2"/>
      <c r="Z55" s="7">
        <f t="shared" si="39"/>
        <v>9.7341819543242225E-2</v>
      </c>
    </row>
    <row r="56" spans="1:26" s="26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0</v>
      </c>
      <c r="E56" s="1"/>
      <c r="F56" s="5">
        <f t="shared" si="32"/>
        <v>0</v>
      </c>
      <c r="G56" s="1"/>
      <c r="H56" s="1">
        <f>SUM(OSRRefH22_12x_0)</f>
        <v>-1070</v>
      </c>
      <c r="I56" s="1"/>
      <c r="J56" s="5">
        <f t="shared" si="33"/>
        <v>0</v>
      </c>
      <c r="K56" s="1"/>
      <c r="L56" s="1">
        <f t="shared" si="34"/>
        <v>1070</v>
      </c>
      <c r="M56" s="1"/>
      <c r="N56" s="5">
        <f t="shared" si="35"/>
        <v>-1</v>
      </c>
      <c r="O56" s="12"/>
      <c r="P56" s="1">
        <f>SUM(OSRRefP22_12x_0)</f>
        <v>643.69000000000005</v>
      </c>
      <c r="Q56" s="1"/>
      <c r="R56" s="5">
        <f t="shared" si="36"/>
        <v>0</v>
      </c>
      <c r="S56" s="1"/>
      <c r="T56" s="1">
        <f>SUM(OSRRefT22_12x_0)</f>
        <v>9641.8300000000017</v>
      </c>
      <c r="U56" s="1"/>
      <c r="V56" s="5">
        <f t="shared" si="37"/>
        <v>0</v>
      </c>
      <c r="W56" s="1"/>
      <c r="X56" s="1">
        <f t="shared" si="38"/>
        <v>-8998.1400000000012</v>
      </c>
      <c r="Y56" s="1"/>
      <c r="Z56" s="5">
        <f t="shared" si="39"/>
        <v>-0.93323985177087743</v>
      </c>
    </row>
    <row r="57" spans="1:26" s="23" customFormat="1" hidden="1" outlineLevel="2" x14ac:dyDescent="0.25">
      <c r="A57" s="27"/>
      <c r="B57" s="10" t="str">
        <f>CONCATENATE("          ", "6234", " - ", "EXPENDABLE SUPPLIES &amp; EQUIPMEN")</f>
        <v xml:space="preserve">          6234 - EXPENDABLE SUPPLIES &amp; EQUIPMEN</v>
      </c>
      <c r="C57" s="10"/>
      <c r="D57" s="6"/>
      <c r="E57" s="2"/>
      <c r="F57" s="7">
        <f t="shared" si="32"/>
        <v>0</v>
      </c>
      <c r="G57" s="2"/>
      <c r="H57" s="6">
        <v>-1550</v>
      </c>
      <c r="I57" s="2"/>
      <c r="J57" s="7">
        <f t="shared" si="33"/>
        <v>0</v>
      </c>
      <c r="K57" s="2"/>
      <c r="L57" s="6">
        <f t="shared" si="34"/>
        <v>1550</v>
      </c>
      <c r="M57" s="2"/>
      <c r="N57" s="7">
        <f t="shared" si="35"/>
        <v>-1</v>
      </c>
      <c r="O57" s="10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3" customFormat="1" hidden="1" outlineLevel="2" x14ac:dyDescent="0.25">
      <c r="A58" s="27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>
        <v>480</v>
      </c>
      <c r="I58" s="2"/>
      <c r="J58" s="7">
        <f t="shared" si="33"/>
        <v>0</v>
      </c>
      <c r="K58" s="2"/>
      <c r="L58" s="6">
        <f t="shared" si="34"/>
        <v>-480</v>
      </c>
      <c r="M58" s="2"/>
      <c r="N58" s="7">
        <f t="shared" si="35"/>
        <v>-1</v>
      </c>
      <c r="O58" s="10"/>
      <c r="P58" s="6">
        <v>106.94</v>
      </c>
      <c r="Q58" s="2"/>
      <c r="R58" s="7">
        <f t="shared" si="36"/>
        <v>0</v>
      </c>
      <c r="S58" s="2"/>
      <c r="T58" s="6">
        <v>5440</v>
      </c>
      <c r="U58" s="2"/>
      <c r="V58" s="7">
        <f t="shared" si="37"/>
        <v>0</v>
      </c>
      <c r="W58" s="2"/>
      <c r="X58" s="6">
        <f t="shared" si="38"/>
        <v>-5333.06</v>
      </c>
      <c r="Y58" s="2"/>
      <c r="Z58" s="7">
        <f t="shared" si="39"/>
        <v>-0.98034191176470598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0"/>
      <c r="P59" s="6">
        <v>536.75</v>
      </c>
      <c r="Q59" s="2"/>
      <c r="R59" s="7">
        <f t="shared" si="36"/>
        <v>0</v>
      </c>
      <c r="S59" s="2"/>
      <c r="T59" s="6">
        <v>3952.95</v>
      </c>
      <c r="U59" s="2"/>
      <c r="V59" s="7">
        <f t="shared" si="37"/>
        <v>0</v>
      </c>
      <c r="W59" s="2"/>
      <c r="X59" s="6">
        <f t="shared" si="38"/>
        <v>-3416.2</v>
      </c>
      <c r="Y59" s="2"/>
      <c r="Z59" s="7">
        <f t="shared" si="39"/>
        <v>-0.8642153328526796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264</v>
      </c>
      <c r="E61" s="1"/>
      <c r="F61" s="5">
        <f t="shared" ref="F61:F66" si="40">IF(D$12=0,0,D61/D$12)</f>
        <v>0</v>
      </c>
      <c r="G61" s="1"/>
      <c r="H61" s="1">
        <f>SUM(OSRRefH22_13x_0)</f>
        <v>245.83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18.169999999999987</v>
      </c>
      <c r="M61" s="1"/>
      <c r="N61" s="5">
        <f t="shared" ref="N61:N66" si="43">IF(H61=0,0,L61/H61)</f>
        <v>7.3912866615140488E-2</v>
      </c>
      <c r="O61" s="12"/>
      <c r="P61" s="1">
        <f>SUM(OSRRefP22_13x_0)</f>
        <v>4233.62</v>
      </c>
      <c r="Q61" s="1"/>
      <c r="R61" s="5">
        <f t="shared" ref="R61:R66" si="44">IF(P$12=0,0,P61/P$12)</f>
        <v>0</v>
      </c>
      <c r="S61" s="1"/>
      <c r="T61" s="1">
        <f>SUM(OSRRefT22_13x_0)</f>
        <v>4084.03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149.58999999999969</v>
      </c>
      <c r="Y61" s="1"/>
      <c r="Z61" s="5">
        <f t="shared" ref="Z61:Z66" si="47">IF(T61=0,0,X61/T61)</f>
        <v>3.6628036522748285E-2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264</v>
      </c>
      <c r="E62" s="2"/>
      <c r="F62" s="7">
        <f t="shared" si="40"/>
        <v>0</v>
      </c>
      <c r="G62" s="2"/>
      <c r="H62" s="6">
        <v>245.83</v>
      </c>
      <c r="I62" s="2"/>
      <c r="J62" s="7">
        <f t="shared" si="41"/>
        <v>0</v>
      </c>
      <c r="K62" s="2"/>
      <c r="L62" s="6">
        <f t="shared" si="42"/>
        <v>18.169999999999987</v>
      </c>
      <c r="M62" s="2"/>
      <c r="N62" s="7">
        <f t="shared" si="43"/>
        <v>7.3912866615140488E-2</v>
      </c>
      <c r="O62" s="10"/>
      <c r="P62" s="6">
        <v>4233.62</v>
      </c>
      <c r="Q62" s="2"/>
      <c r="R62" s="7">
        <f t="shared" si="44"/>
        <v>0</v>
      </c>
      <c r="S62" s="2"/>
      <c r="T62" s="6">
        <v>4084.03</v>
      </c>
      <c r="U62" s="2"/>
      <c r="V62" s="7">
        <f t="shared" si="45"/>
        <v>0</v>
      </c>
      <c r="W62" s="2"/>
      <c r="X62" s="6">
        <f t="shared" si="46"/>
        <v>149.58999999999969</v>
      </c>
      <c r="Y62" s="2"/>
      <c r="Z62" s="7">
        <f t="shared" si="47"/>
        <v>3.6628036522748285E-2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2"/>
      <c r="P63" s="1">
        <f>SUM(OSRRefP22_14x_0)</f>
        <v>4276.5</v>
      </c>
      <c r="Q63" s="1"/>
      <c r="R63" s="5">
        <f t="shared" si="44"/>
        <v>0</v>
      </c>
      <c r="S63" s="1"/>
      <c r="T63" s="1">
        <f>SUM(OSRRefT22_14x_0)</f>
        <v>6622.71</v>
      </c>
      <c r="U63" s="1"/>
      <c r="V63" s="5">
        <f t="shared" si="45"/>
        <v>0</v>
      </c>
      <c r="W63" s="1"/>
      <c r="X63" s="1">
        <f t="shared" si="46"/>
        <v>-2346.21</v>
      </c>
      <c r="Y63" s="1"/>
      <c r="Z63" s="5">
        <f t="shared" si="47"/>
        <v>-0.35426736185036034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>
        <v>4276.5</v>
      </c>
      <c r="Q64" s="2"/>
      <c r="R64" s="7">
        <f t="shared" si="44"/>
        <v>0</v>
      </c>
      <c r="S64" s="2"/>
      <c r="T64" s="6">
        <v>6622.71</v>
      </c>
      <c r="U64" s="2"/>
      <c r="V64" s="7">
        <f t="shared" si="45"/>
        <v>0</v>
      </c>
      <c r="W64" s="2"/>
      <c r="X64" s="6">
        <f t="shared" si="46"/>
        <v>-2346.21</v>
      </c>
      <c r="Y64" s="2"/>
      <c r="Z64" s="7">
        <f t="shared" si="47"/>
        <v>-0.35426736185036034</v>
      </c>
    </row>
    <row r="65" spans="1:26" s="26" customFormat="1" outlineLevel="1" collapsed="1" x14ac:dyDescent="0.25">
      <c r="A65" s="25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3811.99</v>
      </c>
      <c r="U65" s="1"/>
      <c r="V65" s="5">
        <f t="shared" si="45"/>
        <v>0</v>
      </c>
      <c r="W65" s="1"/>
      <c r="X65" s="1">
        <f t="shared" si="46"/>
        <v>-3811.99</v>
      </c>
      <c r="Y65" s="1"/>
      <c r="Z65" s="5">
        <f t="shared" si="47"/>
        <v>-1</v>
      </c>
    </row>
    <row r="66" spans="1:26" s="23" customFormat="1" hidden="1" outlineLevel="2" x14ac:dyDescent="0.25">
      <c r="A66" s="27"/>
      <c r="B66" s="10" t="str">
        <f>CONCATENATE("          ", "6292", " - ", "TRAVEL/CONFERENCE")</f>
        <v xml:space="preserve">          6292 - TRAVEL/CONFERENCE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/>
      <c r="Q66" s="2"/>
      <c r="R66" s="7">
        <f t="shared" si="44"/>
        <v>0</v>
      </c>
      <c r="S66" s="2"/>
      <c r="T66" s="6">
        <v>3811.99</v>
      </c>
      <c r="U66" s="2"/>
      <c r="V66" s="7">
        <f t="shared" si="45"/>
        <v>0</v>
      </c>
      <c r="W66" s="2"/>
      <c r="X66" s="6">
        <f t="shared" si="46"/>
        <v>-3811.99</v>
      </c>
      <c r="Y66" s="2"/>
      <c r="Z66" s="7">
        <f t="shared" si="47"/>
        <v>-1</v>
      </c>
    </row>
    <row r="67" spans="1:26" s="57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9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8" t="s">
        <v>276</v>
      </c>
      <c r="C70" s="28"/>
      <c r="D70" s="20">
        <f>+D16-D18+D68</f>
        <v>-34019.14</v>
      </c>
      <c r="E70" s="14"/>
      <c r="F70" s="21">
        <f>IF(D$12=0,0,D70/D$12)</f>
        <v>0</v>
      </c>
      <c r="G70" s="14"/>
      <c r="H70" s="20">
        <f>+H16-H18+H68</f>
        <v>-28280.820000000003</v>
      </c>
      <c r="I70" s="14"/>
      <c r="J70" s="21">
        <f>IF(H$12=0,0,H70/H$12)</f>
        <v>0</v>
      </c>
      <c r="K70" s="15"/>
      <c r="L70" s="20">
        <f>+D70-H70</f>
        <v>-5738.3199999999961</v>
      </c>
      <c r="M70" s="15"/>
      <c r="N70" s="21">
        <f>IF(H70=0,0,L70/H70)</f>
        <v>0.20290500770486836</v>
      </c>
      <c r="O70" s="29"/>
      <c r="P70" s="20">
        <f>+P16-P18+P68</f>
        <v>-413506.18</v>
      </c>
      <c r="Q70" s="14"/>
      <c r="R70" s="21">
        <f>IF(P$12=0,0,P70/P$12)</f>
        <v>0</v>
      </c>
      <c r="S70" s="14"/>
      <c r="T70" s="20">
        <f>+T16-T18+T68</f>
        <v>-629962.5299999998</v>
      </c>
      <c r="U70" s="14"/>
      <c r="V70" s="21">
        <f>IF(T$12=0,0,T70/T$12)</f>
        <v>0</v>
      </c>
      <c r="W70" s="15"/>
      <c r="X70" s="20">
        <f>+P70-T70</f>
        <v>216456.3499999998</v>
      </c>
      <c r="Y70" s="15"/>
      <c r="Z70" s="21">
        <f>IF(T70=0,0,X70/T70)</f>
        <v>-0.34360194407118128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8" t="s">
        <v>125</v>
      </c>
      <c r="C74" s="28"/>
      <c r="D74" s="35">
        <f>+D70-D72</f>
        <v>-34019.14</v>
      </c>
      <c r="E74" s="14"/>
      <c r="F74" s="36">
        <f>IF(D$12=0,0,D74/D$12)</f>
        <v>0</v>
      </c>
      <c r="G74" s="14"/>
      <c r="H74" s="35">
        <f>+H70-H72</f>
        <v>-28280.820000000003</v>
      </c>
      <c r="I74" s="14"/>
      <c r="J74" s="36">
        <f>IF(H$12=0,0,H74/H$12)</f>
        <v>0</v>
      </c>
      <c r="K74" s="15"/>
      <c r="L74" s="35">
        <f>D74-H74</f>
        <v>-5738.3199999999961</v>
      </c>
      <c r="M74" s="15"/>
      <c r="N74" s="36">
        <f>IF(H74=0,0,L74/H74)</f>
        <v>0.20290500770486836</v>
      </c>
      <c r="O74" s="29"/>
      <c r="P74" s="35">
        <f>+P70-P72</f>
        <v>-413506.18</v>
      </c>
      <c r="Q74" s="14"/>
      <c r="R74" s="36">
        <f>IF(P$12=0,0,P74/P$12)</f>
        <v>0</v>
      </c>
      <c r="S74" s="14"/>
      <c r="T74" s="35">
        <f>+T70-T72</f>
        <v>-629962.5299999998</v>
      </c>
      <c r="U74" s="14"/>
      <c r="V74" s="36">
        <f>IF(T$12=0,0,T74/T$12)</f>
        <v>0</v>
      </c>
      <c r="W74" s="15"/>
      <c r="X74" s="35">
        <f>P74-T74</f>
        <v>216456.3499999998</v>
      </c>
      <c r="Y74" s="15"/>
      <c r="Z74" s="36">
        <f>IF(T74=0,0,X74/T74)</f>
        <v>-0.34360194407118128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8" t="s">
        <v>293</v>
      </c>
      <c r="C77" s="28"/>
      <c r="D77" s="30">
        <f>SUM(D74:D76)</f>
        <v>-34019.14</v>
      </c>
      <c r="E77" s="14"/>
      <c r="F77" s="31">
        <f>IF(D$12=0,0,D77/D$12)</f>
        <v>0</v>
      </c>
      <c r="G77" s="14"/>
      <c r="H77" s="30">
        <f>SUM(H74:H76)</f>
        <v>-28280.820000000003</v>
      </c>
      <c r="I77" s="14"/>
      <c r="J77" s="31">
        <f>IF(H$12=0,0,H77/H$12)</f>
        <v>0</v>
      </c>
      <c r="K77" s="15"/>
      <c r="L77" s="30">
        <f>+D77-H77</f>
        <v>-5738.3199999999961</v>
      </c>
      <c r="M77" s="15"/>
      <c r="N77" s="31">
        <f>IF(H77=0,0,L77/H77)</f>
        <v>0.20290500770486836</v>
      </c>
      <c r="O77" s="29"/>
      <c r="P77" s="30">
        <f>SUM(P74:P76)</f>
        <v>-413506.18</v>
      </c>
      <c r="Q77" s="14"/>
      <c r="R77" s="31">
        <f>IF(P$12=0,0,P77/P$12)</f>
        <v>0</v>
      </c>
      <c r="S77" s="14"/>
      <c r="T77" s="30">
        <f>SUM(T74:T76)</f>
        <v>-629962.5299999998</v>
      </c>
      <c r="U77" s="14"/>
      <c r="V77" s="31">
        <f>IF(T$12=0,0,T77/T$12)</f>
        <v>0</v>
      </c>
      <c r="W77" s="15"/>
      <c r="X77" s="30">
        <f>+P77-T77</f>
        <v>216456.3499999998</v>
      </c>
      <c r="Y77" s="15"/>
      <c r="Z77" s="31">
        <f>IF(T77=0,0,X77/T77)</f>
        <v>-0.34360194407118128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>
        <v>44356.893348032405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2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","202", " - ", "Accounting")</f>
        <v>Department 202 - Accounting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36932.669999999984</v>
      </c>
      <c r="E18" s="22"/>
      <c r="F18" s="32">
        <f t="shared" ref="F18:F27" si="0">IF(D$12=0,0,D18/D$12)</f>
        <v>0</v>
      </c>
      <c r="G18" s="22"/>
      <c r="H18" s="22">
        <f>SUM(OSRRefH22x_0)</f>
        <v>30335.559999999998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6597.109999999986</v>
      </c>
      <c r="M18" s="4"/>
      <c r="N18" s="32">
        <f t="shared" ref="N18:N27" si="3">IF(H18=0,0,L18/H18)</f>
        <v>0.21747117903872507</v>
      </c>
      <c r="O18" s="11"/>
      <c r="P18" s="22">
        <f>SUM(OSRRefP22x_0)</f>
        <v>453992.93999999994</v>
      </c>
      <c r="Q18" s="22"/>
      <c r="R18" s="32">
        <f t="shared" ref="R18:R27" si="4">IF(P$12=0,0,P18/P$12)</f>
        <v>0</v>
      </c>
      <c r="S18" s="22"/>
      <c r="T18" s="22">
        <f>SUM(OSRRefT22x_0)</f>
        <v>536437.33000000007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-82444.39000000013</v>
      </c>
      <c r="Y18" s="4"/>
      <c r="Z18" s="32">
        <f t="shared" ref="Z18:Z27" si="7">IF(T18=0,0,X18/T18)</f>
        <v>-0.15368876360636594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12953.349999999999</v>
      </c>
      <c r="E19" s="1"/>
      <c r="F19" s="5">
        <f t="shared" si="0"/>
        <v>0</v>
      </c>
      <c r="G19" s="1"/>
      <c r="H19" s="1">
        <f>SUM(OSRRefH22_0x_0)</f>
        <v>11832.93</v>
      </c>
      <c r="I19" s="1"/>
      <c r="J19" s="5">
        <f t="shared" si="1"/>
        <v>0</v>
      </c>
      <c r="K19" s="1"/>
      <c r="L19" s="1">
        <f t="shared" si="2"/>
        <v>1120.4199999999983</v>
      </c>
      <c r="M19" s="1"/>
      <c r="N19" s="5">
        <f t="shared" si="3"/>
        <v>9.4686607628034491E-2</v>
      </c>
      <c r="O19" s="12"/>
      <c r="P19" s="1">
        <f>SUM(OSRRefP22_0x_0)</f>
        <v>147015.85</v>
      </c>
      <c r="Q19" s="1"/>
      <c r="R19" s="5">
        <f t="shared" si="4"/>
        <v>0</v>
      </c>
      <c r="S19" s="1"/>
      <c r="T19" s="1">
        <f>SUM(OSRRefT22_0x_0)</f>
        <v>134408.43000000002</v>
      </c>
      <c r="U19" s="1"/>
      <c r="V19" s="5">
        <f t="shared" si="5"/>
        <v>0</v>
      </c>
      <c r="W19" s="1"/>
      <c r="X19" s="1">
        <f t="shared" si="6"/>
        <v>12607.419999999984</v>
      </c>
      <c r="Y19" s="1"/>
      <c r="Z19" s="5">
        <f t="shared" si="7"/>
        <v>9.3799324938175249E-2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1630.13</v>
      </c>
      <c r="E20" s="2"/>
      <c r="F20" s="7">
        <f t="shared" si="0"/>
        <v>0</v>
      </c>
      <c r="G20" s="2"/>
      <c r="H20" s="6">
        <v>1622.44</v>
      </c>
      <c r="I20" s="2"/>
      <c r="J20" s="7">
        <f t="shared" si="1"/>
        <v>0</v>
      </c>
      <c r="K20" s="2"/>
      <c r="L20" s="6">
        <f t="shared" si="2"/>
        <v>7.6900000000000546</v>
      </c>
      <c r="M20" s="2"/>
      <c r="N20" s="7">
        <f t="shared" si="3"/>
        <v>4.739774660388091E-3</v>
      </c>
      <c r="O20" s="10"/>
      <c r="P20" s="6">
        <v>20769.900000000001</v>
      </c>
      <c r="Q20" s="2"/>
      <c r="R20" s="7">
        <f t="shared" si="4"/>
        <v>0</v>
      </c>
      <c r="S20" s="2"/>
      <c r="T20" s="6">
        <v>28117.56</v>
      </c>
      <c r="U20" s="2"/>
      <c r="V20" s="7">
        <f t="shared" si="5"/>
        <v>0</v>
      </c>
      <c r="W20" s="2"/>
      <c r="X20" s="6">
        <f t="shared" si="6"/>
        <v>-7347.66</v>
      </c>
      <c r="Y20" s="2"/>
      <c r="Z20" s="7">
        <f t="shared" si="7"/>
        <v>-0.26131926098850683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105.6</v>
      </c>
      <c r="E21" s="2"/>
      <c r="F21" s="7">
        <f t="shared" si="0"/>
        <v>0</v>
      </c>
      <c r="G21" s="2"/>
      <c r="H21" s="6">
        <v>108.16</v>
      </c>
      <c r="I21" s="2"/>
      <c r="J21" s="7">
        <f t="shared" si="1"/>
        <v>0</v>
      </c>
      <c r="K21" s="2"/>
      <c r="L21" s="6">
        <f t="shared" si="2"/>
        <v>-2.5600000000000023</v>
      </c>
      <c r="M21" s="2"/>
      <c r="N21" s="7">
        <f t="shared" si="3"/>
        <v>-2.3668639053254458E-2</v>
      </c>
      <c r="O21" s="10"/>
      <c r="P21" s="6">
        <v>894.13</v>
      </c>
      <c r="Q21" s="2"/>
      <c r="R21" s="7">
        <f t="shared" si="4"/>
        <v>0</v>
      </c>
      <c r="S21" s="2"/>
      <c r="T21" s="6">
        <v>1194.23</v>
      </c>
      <c r="U21" s="2"/>
      <c r="V21" s="7">
        <f t="shared" si="5"/>
        <v>0</v>
      </c>
      <c r="W21" s="2"/>
      <c r="X21" s="6">
        <f t="shared" si="6"/>
        <v>-300.10000000000002</v>
      </c>
      <c r="Y21" s="2"/>
      <c r="Z21" s="7">
        <f t="shared" si="7"/>
        <v>-0.25129162724098375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6236.66</v>
      </c>
      <c r="E22" s="2"/>
      <c r="F22" s="7">
        <f t="shared" si="0"/>
        <v>0</v>
      </c>
      <c r="G22" s="2"/>
      <c r="H22" s="6">
        <v>5567.04</v>
      </c>
      <c r="I22" s="2"/>
      <c r="J22" s="7">
        <f t="shared" si="1"/>
        <v>0</v>
      </c>
      <c r="K22" s="2"/>
      <c r="L22" s="6">
        <f t="shared" si="2"/>
        <v>669.61999999999989</v>
      </c>
      <c r="M22" s="2"/>
      <c r="N22" s="7">
        <f t="shared" si="3"/>
        <v>0.12028295108352013</v>
      </c>
      <c r="O22" s="10"/>
      <c r="P22" s="6">
        <v>66624.58</v>
      </c>
      <c r="Q22" s="2"/>
      <c r="R22" s="7">
        <f t="shared" si="4"/>
        <v>0</v>
      </c>
      <c r="S22" s="2"/>
      <c r="T22" s="6">
        <v>66309.75</v>
      </c>
      <c r="U22" s="2"/>
      <c r="V22" s="7">
        <f t="shared" si="5"/>
        <v>0</v>
      </c>
      <c r="W22" s="2"/>
      <c r="X22" s="6">
        <f t="shared" si="6"/>
        <v>314.83000000000175</v>
      </c>
      <c r="Y22" s="2"/>
      <c r="Z22" s="7">
        <f t="shared" si="7"/>
        <v>4.7478689031402134E-3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83.2</v>
      </c>
      <c r="E23" s="2"/>
      <c r="F23" s="7">
        <f t="shared" si="0"/>
        <v>0</v>
      </c>
      <c r="G23" s="2"/>
      <c r="H23" s="6">
        <v>82.71</v>
      </c>
      <c r="I23" s="2"/>
      <c r="J23" s="7">
        <f t="shared" si="1"/>
        <v>0</v>
      </c>
      <c r="K23" s="2"/>
      <c r="L23" s="6">
        <f t="shared" si="2"/>
        <v>0.49000000000000909</v>
      </c>
      <c r="M23" s="2"/>
      <c r="N23" s="7">
        <f t="shared" si="3"/>
        <v>5.9243138677307359E-3</v>
      </c>
      <c r="O23" s="10"/>
      <c r="P23" s="6">
        <v>704.43</v>
      </c>
      <c r="Q23" s="2"/>
      <c r="R23" s="7">
        <f t="shared" si="4"/>
        <v>0</v>
      </c>
      <c r="S23" s="2"/>
      <c r="T23" s="6">
        <v>1053.99</v>
      </c>
      <c r="U23" s="2"/>
      <c r="V23" s="7">
        <f t="shared" si="5"/>
        <v>0</v>
      </c>
      <c r="W23" s="2"/>
      <c r="X23" s="6">
        <f t="shared" si="6"/>
        <v>-349.56000000000006</v>
      </c>
      <c r="Y23" s="2"/>
      <c r="Z23" s="7">
        <f t="shared" si="7"/>
        <v>-0.3316540005123389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1978.76</v>
      </c>
      <c r="E24" s="2"/>
      <c r="F24" s="7">
        <f t="shared" si="0"/>
        <v>0</v>
      </c>
      <c r="G24" s="2"/>
      <c r="H24" s="6">
        <v>1813.92</v>
      </c>
      <c r="I24" s="2"/>
      <c r="J24" s="7">
        <f t="shared" si="1"/>
        <v>0</v>
      </c>
      <c r="K24" s="2"/>
      <c r="L24" s="6">
        <f t="shared" si="2"/>
        <v>164.83999999999992</v>
      </c>
      <c r="M24" s="2"/>
      <c r="N24" s="7">
        <f t="shared" si="3"/>
        <v>9.0875011025844527E-2</v>
      </c>
      <c r="O24" s="10"/>
      <c r="P24" s="6">
        <v>24596.43</v>
      </c>
      <c r="Q24" s="2"/>
      <c r="R24" s="7">
        <f t="shared" si="4"/>
        <v>0</v>
      </c>
      <c r="S24" s="2"/>
      <c r="T24" s="6">
        <v>27720.240000000002</v>
      </c>
      <c r="U24" s="2"/>
      <c r="V24" s="7">
        <f t="shared" si="5"/>
        <v>0</v>
      </c>
      <c r="W24" s="2"/>
      <c r="X24" s="6">
        <f t="shared" si="6"/>
        <v>-3123.8100000000013</v>
      </c>
      <c r="Y24" s="2"/>
      <c r="Z24" s="7">
        <f t="shared" si="7"/>
        <v>-0.11269058276551722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1606.1</v>
      </c>
      <c r="E25" s="2"/>
      <c r="F25" s="7">
        <f t="shared" si="0"/>
        <v>0</v>
      </c>
      <c r="G25" s="2"/>
      <c r="H25" s="6">
        <v>1520.74</v>
      </c>
      <c r="I25" s="2"/>
      <c r="J25" s="7">
        <f t="shared" si="1"/>
        <v>0</v>
      </c>
      <c r="K25" s="2"/>
      <c r="L25" s="6">
        <f t="shared" si="2"/>
        <v>85.3599999999999</v>
      </c>
      <c r="M25" s="2"/>
      <c r="N25" s="7">
        <f t="shared" si="3"/>
        <v>5.6130568012941001E-2</v>
      </c>
      <c r="O25" s="10"/>
      <c r="P25" s="6">
        <v>18931.22</v>
      </c>
      <c r="Q25" s="2"/>
      <c r="R25" s="7">
        <f t="shared" si="4"/>
        <v>0</v>
      </c>
      <c r="S25" s="2"/>
      <c r="T25" s="6">
        <v>22703.14</v>
      </c>
      <c r="U25" s="2"/>
      <c r="V25" s="7">
        <f t="shared" si="5"/>
        <v>0</v>
      </c>
      <c r="W25" s="2"/>
      <c r="X25" s="6">
        <f t="shared" si="6"/>
        <v>-3771.9199999999983</v>
      </c>
      <c r="Y25" s="2"/>
      <c r="Z25" s="7">
        <f t="shared" si="7"/>
        <v>-0.1661408950479977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979.42</v>
      </c>
      <c r="E26" s="2"/>
      <c r="F26" s="7">
        <f t="shared" si="0"/>
        <v>0</v>
      </c>
      <c r="G26" s="2"/>
      <c r="H26" s="6">
        <v>979.42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11753.04</v>
      </c>
      <c r="Q26" s="2"/>
      <c r="R26" s="7">
        <f t="shared" si="4"/>
        <v>0</v>
      </c>
      <c r="S26" s="2"/>
      <c r="T26" s="6">
        <v>-20331.86</v>
      </c>
      <c r="U26" s="2"/>
      <c r="V26" s="7">
        <f t="shared" si="5"/>
        <v>0</v>
      </c>
      <c r="W26" s="2"/>
      <c r="X26" s="6">
        <f t="shared" si="6"/>
        <v>32084.9</v>
      </c>
      <c r="Y26" s="2"/>
      <c r="Z26" s="7">
        <f t="shared" si="7"/>
        <v>-1.5780602463326032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333.48</v>
      </c>
      <c r="E27" s="2"/>
      <c r="F27" s="7">
        <f t="shared" si="0"/>
        <v>0</v>
      </c>
      <c r="G27" s="2"/>
      <c r="H27" s="6">
        <v>138.5</v>
      </c>
      <c r="I27" s="2"/>
      <c r="J27" s="7">
        <f t="shared" si="1"/>
        <v>0</v>
      </c>
      <c r="K27" s="2"/>
      <c r="L27" s="6">
        <f t="shared" si="2"/>
        <v>194.98000000000002</v>
      </c>
      <c r="M27" s="2"/>
      <c r="N27" s="7">
        <f t="shared" si="3"/>
        <v>1.4077978339350181</v>
      </c>
      <c r="O27" s="10"/>
      <c r="P27" s="6">
        <v>2742.12</v>
      </c>
      <c r="Q27" s="2"/>
      <c r="R27" s="7">
        <f t="shared" si="4"/>
        <v>0</v>
      </c>
      <c r="S27" s="2"/>
      <c r="T27" s="6">
        <v>7641.38</v>
      </c>
      <c r="U27" s="2"/>
      <c r="V27" s="7">
        <f t="shared" si="5"/>
        <v>0</v>
      </c>
      <c r="W27" s="2"/>
      <c r="X27" s="6">
        <f t="shared" si="6"/>
        <v>-4899.26</v>
      </c>
      <c r="Y27" s="2"/>
      <c r="Z27" s="7">
        <f t="shared" si="7"/>
        <v>-0.64114858834399024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20984.26</v>
      </c>
      <c r="E28" s="1"/>
      <c r="F28" s="5">
        <f t="shared" ref="F28:F33" si="8">IF(D$12=0,0,D28/D$12)</f>
        <v>0</v>
      </c>
      <c r="G28" s="1"/>
      <c r="H28" s="1">
        <f>SUM(OSRRefH22_1x_0)</f>
        <v>15632.22</v>
      </c>
      <c r="I28" s="1"/>
      <c r="J28" s="5">
        <f t="shared" ref="J28:J33" si="9">IF(H$12=0,0,H28/H$12)</f>
        <v>0</v>
      </c>
      <c r="K28" s="1"/>
      <c r="L28" s="1">
        <f t="shared" ref="L28:L33" si="10">+D28-H28</f>
        <v>5352.0399999999991</v>
      </c>
      <c r="M28" s="1"/>
      <c r="N28" s="5">
        <f t="shared" ref="N28:N33" si="11">IF(H28=0,0,L28/H28)</f>
        <v>0.3423723565814708</v>
      </c>
      <c r="O28" s="12"/>
      <c r="P28" s="1">
        <f>SUM(OSRRefP22_1x_0)</f>
        <v>234179.02000000002</v>
      </c>
      <c r="Q28" s="1"/>
      <c r="R28" s="5">
        <f t="shared" ref="R28:R33" si="12">IF(P$12=0,0,P28/P$12)</f>
        <v>0</v>
      </c>
      <c r="S28" s="1"/>
      <c r="T28" s="1">
        <f>SUM(OSRRefT22_1x_0)</f>
        <v>325533.37999999989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-91354.35999999987</v>
      </c>
      <c r="Y28" s="1"/>
      <c r="Z28" s="5">
        <f t="shared" ref="Z28:Z33" si="15">IF(T28=0,0,X28/T28)</f>
        <v>-0.28062977750545859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>
        <v>20984.26</v>
      </c>
      <c r="E29" s="2"/>
      <c r="F29" s="7">
        <f t="shared" si="8"/>
        <v>0</v>
      </c>
      <c r="G29" s="2"/>
      <c r="H29" s="6">
        <v>15632.22</v>
      </c>
      <c r="I29" s="2"/>
      <c r="J29" s="7">
        <f t="shared" si="9"/>
        <v>0</v>
      </c>
      <c r="K29" s="2"/>
      <c r="L29" s="6">
        <f t="shared" si="10"/>
        <v>5352.0399999999991</v>
      </c>
      <c r="M29" s="2"/>
      <c r="N29" s="7">
        <f t="shared" si="11"/>
        <v>0.3423723565814708</v>
      </c>
      <c r="O29" s="10"/>
      <c r="P29" s="6">
        <v>233797.26</v>
      </c>
      <c r="Q29" s="2"/>
      <c r="R29" s="7">
        <f t="shared" si="12"/>
        <v>0</v>
      </c>
      <c r="S29" s="2"/>
      <c r="T29" s="6">
        <v>276230.36</v>
      </c>
      <c r="U29" s="2"/>
      <c r="V29" s="7">
        <f t="shared" si="13"/>
        <v>0</v>
      </c>
      <c r="W29" s="2"/>
      <c r="X29" s="6">
        <f t="shared" si="14"/>
        <v>-42433.099999999977</v>
      </c>
      <c r="Y29" s="2"/>
      <c r="Z29" s="7">
        <f t="shared" si="15"/>
        <v>-0.15361490315546769</v>
      </c>
    </row>
    <row r="30" spans="1:26" s="23" customFormat="1" hidden="1" outlineLevel="2" x14ac:dyDescent="0.25">
      <c r="A30" s="27"/>
      <c r="B30" s="10" t="str">
        <f>CONCATENATE("          ", "6004", " - ", "STAFF HOURLY")</f>
        <v xml:space="preserve">          6004 - STAFF HOURLY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-9381.52</v>
      </c>
      <c r="U30" s="2"/>
      <c r="V30" s="7">
        <f t="shared" si="13"/>
        <v>0</v>
      </c>
      <c r="W30" s="2"/>
      <c r="X30" s="6">
        <f t="shared" si="14"/>
        <v>9381.52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"6005", " - ", "TEMPORARY WAGES-HOURLY")</f>
        <v xml:space="preserve">          6005 - TEMPORARY WAGES-HOURLY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265.48</v>
      </c>
      <c r="Q31" s="2"/>
      <c r="R31" s="7">
        <f t="shared" si="12"/>
        <v>0</v>
      </c>
      <c r="S31" s="2"/>
      <c r="T31" s="6">
        <v>20823.22</v>
      </c>
      <c r="U31" s="2"/>
      <c r="V31" s="7">
        <f t="shared" si="13"/>
        <v>0</v>
      </c>
      <c r="W31" s="2"/>
      <c r="X31" s="6">
        <f t="shared" si="14"/>
        <v>-20557.740000000002</v>
      </c>
      <c r="Y31" s="2"/>
      <c r="Z31" s="7">
        <f t="shared" si="15"/>
        <v>-0.98725077101428116</v>
      </c>
    </row>
    <row r="32" spans="1:26" s="23" customFormat="1" hidden="1" outlineLevel="2" x14ac:dyDescent="0.25">
      <c r="A32" s="27"/>
      <c r="B32" s="10" t="str">
        <f>CONCATENATE("          ", "6007", " - ", "STUDENT HOURLY")</f>
        <v xml:space="preserve">          6007 - STUDENT HOURLY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>
        <v>116.28</v>
      </c>
      <c r="Q32" s="2"/>
      <c r="R32" s="7">
        <f t="shared" si="12"/>
        <v>0</v>
      </c>
      <c r="S32" s="2"/>
      <c r="T32" s="6">
        <v>32551.35</v>
      </c>
      <c r="U32" s="2"/>
      <c r="V32" s="7">
        <f t="shared" si="13"/>
        <v>0</v>
      </c>
      <c r="W32" s="2"/>
      <c r="X32" s="6">
        <f t="shared" si="14"/>
        <v>-32435.07</v>
      </c>
      <c r="Y32" s="2"/>
      <c r="Z32" s="7">
        <f t="shared" si="15"/>
        <v>-0.99642779792543168</v>
      </c>
    </row>
    <row r="33" spans="1:26" s="23" customFormat="1" hidden="1" outlineLevel="2" x14ac:dyDescent="0.25">
      <c r="A33" s="27"/>
      <c r="B33" s="10" t="str">
        <f>CONCATENATE("          ", "6008", " - ", "STUDENT HOURLY-FICA EXEMPT")</f>
        <v xml:space="preserve">          6008 - STUDENT HOURLY-FICA EXEMPT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/>
      <c r="Q33" s="2"/>
      <c r="R33" s="7">
        <f t="shared" si="12"/>
        <v>0</v>
      </c>
      <c r="S33" s="2"/>
      <c r="T33" s="6">
        <v>5309.97</v>
      </c>
      <c r="U33" s="2"/>
      <c r="V33" s="7">
        <f t="shared" si="13"/>
        <v>0</v>
      </c>
      <c r="W33" s="2"/>
      <c r="X33" s="6">
        <f t="shared" si="14"/>
        <v>-5309.97</v>
      </c>
      <c r="Y33" s="2"/>
      <c r="Z33" s="7">
        <f t="shared" si="15"/>
        <v>-1</v>
      </c>
    </row>
    <row r="34" spans="1:26" s="26" customFormat="1" outlineLevel="1" collapsed="1" x14ac:dyDescent="0.25">
      <c r="A34" s="25"/>
      <c r="B34" s="12" t="str">
        <f>CONCATENATE("     ","Advertising/Promo                                 ")</f>
        <v xml:space="preserve">     Advertising/Promo                                 </v>
      </c>
      <c r="C34" s="12"/>
      <c r="D34" s="1">
        <f>SUM(OSRRefD22_2x_0)</f>
        <v>0</v>
      </c>
      <c r="E34" s="1"/>
      <c r="F34" s="5">
        <f t="shared" ref="F34:F44" si="16">IF(D$12=0,0,D34/D$12)</f>
        <v>0</v>
      </c>
      <c r="G34" s="1"/>
      <c r="H34" s="1">
        <f>SUM(OSRRefH22_2x_0)</f>
        <v>0</v>
      </c>
      <c r="I34" s="1"/>
      <c r="J34" s="5">
        <f t="shared" ref="J34:J44" si="17">IF(H$12=0,0,H34/H$12)</f>
        <v>0</v>
      </c>
      <c r="K34" s="1"/>
      <c r="L34" s="1">
        <f t="shared" ref="L34:L44" si="18">+D34-H34</f>
        <v>0</v>
      </c>
      <c r="M34" s="1"/>
      <c r="N34" s="5">
        <f t="shared" ref="N34:N44" si="19">IF(H34=0,0,L34/H34)</f>
        <v>0</v>
      </c>
      <c r="O34" s="12"/>
      <c r="P34" s="1">
        <f>SUM(OSRRefP22_2x_0)</f>
        <v>0</v>
      </c>
      <c r="Q34" s="1"/>
      <c r="R34" s="5">
        <f t="shared" ref="R34:R44" si="20">IF(P$12=0,0,P34/P$12)</f>
        <v>0</v>
      </c>
      <c r="S34" s="1"/>
      <c r="T34" s="1">
        <f>SUM(OSRRefT22_2x_0)</f>
        <v>62</v>
      </c>
      <c r="U34" s="1"/>
      <c r="V34" s="5">
        <f t="shared" ref="V34:V44" si="21">IF(T$12=0,0,T34/T$12)</f>
        <v>0</v>
      </c>
      <c r="W34" s="1"/>
      <c r="X34" s="1">
        <f t="shared" ref="X34:X44" si="22">+P34-T34</f>
        <v>-62</v>
      </c>
      <c r="Y34" s="1"/>
      <c r="Z34" s="5">
        <f t="shared" ref="Z34:Z44" si="23">IF(T34=0,0,X34/T34)</f>
        <v>-1</v>
      </c>
    </row>
    <row r="35" spans="1:26" s="23" customFormat="1" hidden="1" outlineLevel="2" x14ac:dyDescent="0.25">
      <c r="A35" s="27"/>
      <c r="B35" s="10" t="str">
        <f>CONCATENATE("          ", "6362", " - ", "ADVERTISING EXPENSE")</f>
        <v xml:space="preserve">          6362 - ADVERTISING EXPENSE</v>
      </c>
      <c r="C35" s="10"/>
      <c r="D35" s="6"/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0"/>
      <c r="P35" s="6"/>
      <c r="Q35" s="2"/>
      <c r="R35" s="7">
        <f t="shared" si="20"/>
        <v>0</v>
      </c>
      <c r="S35" s="2"/>
      <c r="T35" s="6">
        <v>62</v>
      </c>
      <c r="U35" s="2"/>
      <c r="V35" s="7">
        <f t="shared" si="21"/>
        <v>0</v>
      </c>
      <c r="W35" s="2"/>
      <c r="X35" s="6">
        <f t="shared" si="22"/>
        <v>-62</v>
      </c>
      <c r="Y35" s="2"/>
      <c r="Z35" s="7">
        <f t="shared" si="23"/>
        <v>-1</v>
      </c>
    </row>
    <row r="36" spans="1:26" s="26" customFormat="1" outlineLevel="1" collapsed="1" x14ac:dyDescent="0.25">
      <c r="A36" s="25"/>
      <c r="B36" s="12" t="str">
        <f>CONCATENATE("     ","Depreciation                                      ")</f>
        <v xml:space="preserve">     Depreciation                                      </v>
      </c>
      <c r="C36" s="12"/>
      <c r="D36" s="1">
        <f>SUM(OSRRefD22_3x_0)</f>
        <v>1558.88</v>
      </c>
      <c r="E36" s="1"/>
      <c r="F36" s="5">
        <f t="shared" si="16"/>
        <v>0</v>
      </c>
      <c r="G36" s="1"/>
      <c r="H36" s="1">
        <f>SUM(OSRRefH22_3x_0)</f>
        <v>1558.88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2"/>
      <c r="P36" s="1">
        <f>SUM(OSRRefP22_3x_0)</f>
        <v>17147.68</v>
      </c>
      <c r="Q36" s="1"/>
      <c r="R36" s="5">
        <f t="shared" si="20"/>
        <v>0</v>
      </c>
      <c r="S36" s="1"/>
      <c r="T36" s="1">
        <f>SUM(OSRRefT22_3x_0)</f>
        <v>17147.68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3" customFormat="1" hidden="1" outlineLevel="2" x14ac:dyDescent="0.25">
      <c r="A37" s="27"/>
      <c r="B37" s="10" t="str">
        <f>CONCATENATE("          ", "6322", " - ", "EQUIPMENT DEPRECIATION EXPENSE")</f>
        <v xml:space="preserve">          6322 - EQUIPMENT DEPRECIATION EXPENSE</v>
      </c>
      <c r="C37" s="10"/>
      <c r="D37" s="6">
        <v>1558.88</v>
      </c>
      <c r="E37" s="2"/>
      <c r="F37" s="7">
        <f t="shared" si="16"/>
        <v>0</v>
      </c>
      <c r="G37" s="2"/>
      <c r="H37" s="6">
        <v>1558.88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17147.68</v>
      </c>
      <c r="Q37" s="2"/>
      <c r="R37" s="7">
        <f t="shared" si="20"/>
        <v>0</v>
      </c>
      <c r="S37" s="2"/>
      <c r="T37" s="6">
        <v>17147.68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6" customFormat="1" outlineLevel="1" collapsed="1" x14ac:dyDescent="0.25">
      <c r="A38" s="25"/>
      <c r="B38" s="12" t="str">
        <f>CONCATENATE("     ","Employees' Appreciation                           ")</f>
        <v xml:space="preserve">     Employees' Appreciation                           </v>
      </c>
      <c r="C38" s="12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3.96</v>
      </c>
      <c r="U38" s="1"/>
      <c r="V38" s="5">
        <f t="shared" si="21"/>
        <v>0</v>
      </c>
      <c r="W38" s="1"/>
      <c r="X38" s="1">
        <f t="shared" si="22"/>
        <v>-3.96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"6277", " - ", "EMPLOYEE APPRECIATION")</f>
        <v xml:space="preserve">          6277 - EMPLOYEE APPRECIATION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3.96</v>
      </c>
      <c r="U39" s="2"/>
      <c r="V39" s="7">
        <f t="shared" si="21"/>
        <v>0</v>
      </c>
      <c r="W39" s="2"/>
      <c r="X39" s="6">
        <f t="shared" si="22"/>
        <v>-3.96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","Equipment Rental                                  ")</f>
        <v xml:space="preserve">     Equipment Rental                                  </v>
      </c>
      <c r="C40" s="12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SUM(OSRRefP22_5x_0)</f>
        <v>1003.86</v>
      </c>
      <c r="Q40" s="1"/>
      <c r="R40" s="5">
        <f t="shared" si="20"/>
        <v>0</v>
      </c>
      <c r="S40" s="1"/>
      <c r="T40" s="1">
        <f>SUM(OSRRefT22_5x_0)</f>
        <v>1003.86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3" customFormat="1" hidden="1" outlineLevel="2" x14ac:dyDescent="0.25">
      <c r="A41" s="27"/>
      <c r="B41" s="10" t="str">
        <f>CONCATENATE("          ", "6351", " - ", "EQUIPMENT RENTAL")</f>
        <v xml:space="preserve">          6351 - EQUIPMENT RENTAL</v>
      </c>
      <c r="C41" s="10"/>
      <c r="D41" s="6">
        <v>91.26</v>
      </c>
      <c r="E41" s="2"/>
      <c r="F41" s="7">
        <f t="shared" si="16"/>
        <v>0</v>
      </c>
      <c r="G41" s="2"/>
      <c r="H41" s="6">
        <v>91.26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1003.86</v>
      </c>
      <c r="Q41" s="2"/>
      <c r="R41" s="7">
        <f t="shared" si="20"/>
        <v>0</v>
      </c>
      <c r="S41" s="2"/>
      <c r="T41" s="6">
        <v>1003.86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SUM(OSRRefD22_6x_0)</f>
        <v>84.52</v>
      </c>
      <c r="E42" s="1"/>
      <c r="F42" s="5">
        <f t="shared" si="16"/>
        <v>0</v>
      </c>
      <c r="G42" s="1"/>
      <c r="H42" s="1">
        <f>SUM(OSRRefH22_6x_0)</f>
        <v>61</v>
      </c>
      <c r="I42" s="1"/>
      <c r="J42" s="5">
        <f t="shared" si="17"/>
        <v>0</v>
      </c>
      <c r="K42" s="1"/>
      <c r="L42" s="1">
        <f t="shared" si="18"/>
        <v>23.519999999999996</v>
      </c>
      <c r="M42" s="1"/>
      <c r="N42" s="5">
        <f t="shared" si="19"/>
        <v>0.38557377049180319</v>
      </c>
      <c r="O42" s="12"/>
      <c r="P42" s="1">
        <f>SUM(OSRRefP22_6x_0)</f>
        <v>984.31</v>
      </c>
      <c r="Q42" s="1"/>
      <c r="R42" s="5">
        <f t="shared" si="20"/>
        <v>0</v>
      </c>
      <c r="S42" s="1"/>
      <c r="T42" s="1">
        <f>SUM(OSRRefT22_6x_0)</f>
        <v>1325.4</v>
      </c>
      <c r="U42" s="1"/>
      <c r="V42" s="5">
        <f t="shared" si="21"/>
        <v>0</v>
      </c>
      <c r="W42" s="1"/>
      <c r="X42" s="1">
        <f t="shared" si="22"/>
        <v>-341.09000000000015</v>
      </c>
      <c r="Y42" s="1"/>
      <c r="Z42" s="5">
        <f t="shared" si="23"/>
        <v>-0.25734872491323385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5.41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5.41</v>
      </c>
      <c r="Y43" s="2"/>
      <c r="Z43" s="7">
        <f t="shared" si="23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>
        <v>84.52</v>
      </c>
      <c r="E44" s="2"/>
      <c r="F44" s="7">
        <f t="shared" si="16"/>
        <v>0</v>
      </c>
      <c r="G44" s="2"/>
      <c r="H44" s="6">
        <v>61</v>
      </c>
      <c r="I44" s="2"/>
      <c r="J44" s="7">
        <f t="shared" si="17"/>
        <v>0</v>
      </c>
      <c r="K44" s="2"/>
      <c r="L44" s="6">
        <f t="shared" si="18"/>
        <v>23.519999999999996</v>
      </c>
      <c r="M44" s="2"/>
      <c r="N44" s="7">
        <f t="shared" si="19"/>
        <v>0.38557377049180319</v>
      </c>
      <c r="O44" s="10"/>
      <c r="P44" s="6">
        <v>978.9</v>
      </c>
      <c r="Q44" s="2"/>
      <c r="R44" s="7">
        <f t="shared" si="20"/>
        <v>0</v>
      </c>
      <c r="S44" s="2"/>
      <c r="T44" s="6">
        <v>1325.4</v>
      </c>
      <c r="U44" s="2"/>
      <c r="V44" s="7">
        <f t="shared" si="21"/>
        <v>0</v>
      </c>
      <c r="W44" s="2"/>
      <c r="X44" s="6">
        <f t="shared" si="22"/>
        <v>-346.50000000000011</v>
      </c>
      <c r="Y44" s="2"/>
      <c r="Z44" s="7">
        <f t="shared" si="23"/>
        <v>-0.26143051154368502</v>
      </c>
    </row>
    <row r="45" spans="1:26" s="26" customFormat="1" outlineLevel="1" collapsed="1" x14ac:dyDescent="0.25">
      <c r="A45" s="25"/>
      <c r="B45" s="12" t="str">
        <f>CONCATENATE("     ","Insurance                                         ")</f>
        <v xml:space="preserve">     Insurance                                         </v>
      </c>
      <c r="C45" s="12"/>
      <c r="D45" s="1">
        <f>SUM(OSRRefD22_7x_0)</f>
        <v>132.16999999999999</v>
      </c>
      <c r="E45" s="1"/>
      <c r="F45" s="5">
        <f t="shared" ref="F45:F52" si="24">IF(D$12=0,0,D45/D$12)</f>
        <v>0</v>
      </c>
      <c r="G45" s="1"/>
      <c r="H45" s="1">
        <f>SUM(OSRRefH22_7x_0)</f>
        <v>132.16999999999999</v>
      </c>
      <c r="I45" s="1"/>
      <c r="J45" s="5">
        <f t="shared" ref="J45:J52" si="25">IF(H$12=0,0,H45/H$12)</f>
        <v>0</v>
      </c>
      <c r="K45" s="1"/>
      <c r="L45" s="1">
        <f t="shared" ref="L45:L52" si="26">+D45-H45</f>
        <v>0</v>
      </c>
      <c r="M45" s="1"/>
      <c r="N45" s="5">
        <f t="shared" ref="N45:N52" si="27">IF(H45=0,0,L45/H45)</f>
        <v>0</v>
      </c>
      <c r="O45" s="12"/>
      <c r="P45" s="1">
        <f>SUM(OSRRefP22_7x_0)</f>
        <v>1453.87</v>
      </c>
      <c r="Q45" s="1"/>
      <c r="R45" s="5">
        <f t="shared" ref="R45:R52" si="28">IF(P$12=0,0,P45/P$12)</f>
        <v>0</v>
      </c>
      <c r="S45" s="1"/>
      <c r="T45" s="1">
        <f>SUM(OSRRefT22_7x_0)</f>
        <v>1453.87</v>
      </c>
      <c r="U45" s="1"/>
      <c r="V45" s="5">
        <f t="shared" ref="V45:V52" si="29">IF(T$12=0,0,T45/T$12)</f>
        <v>0</v>
      </c>
      <c r="W45" s="1"/>
      <c r="X45" s="1">
        <f t="shared" ref="X45:X52" si="30">+P45-T45</f>
        <v>0</v>
      </c>
      <c r="Y45" s="1"/>
      <c r="Z45" s="5">
        <f t="shared" ref="Z45:Z52" si="31">IF(T45=0,0,X45/T45)</f>
        <v>0</v>
      </c>
    </row>
    <row r="46" spans="1:26" s="23" customFormat="1" hidden="1" outlineLevel="2" x14ac:dyDescent="0.25">
      <c r="A46" s="27"/>
      <c r="B46" s="10" t="str">
        <f>CONCATENATE("          ", "6314", " - ", "LIABILITY INSURANCE")</f>
        <v xml:space="preserve">          6314 - LIABILITY INSURANCE</v>
      </c>
      <c r="C46" s="10"/>
      <c r="D46" s="6">
        <v>132.16999999999999</v>
      </c>
      <c r="E46" s="2"/>
      <c r="F46" s="7">
        <f t="shared" si="24"/>
        <v>0</v>
      </c>
      <c r="G46" s="2"/>
      <c r="H46" s="6">
        <v>132.16999999999999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0"/>
      <c r="P46" s="6">
        <v>1453.87</v>
      </c>
      <c r="Q46" s="2"/>
      <c r="R46" s="7">
        <f t="shared" si="28"/>
        <v>0</v>
      </c>
      <c r="S46" s="2"/>
      <c r="T46" s="6">
        <v>1453.87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6" customFormat="1" outlineLevel="1" collapsed="1" x14ac:dyDescent="0.25">
      <c r="A47" s="25"/>
      <c r="B47" s="12" t="str">
        <f>CONCATENATE("     ","Professional Services                             ")</f>
        <v xml:space="preserve">     Professional Services                             </v>
      </c>
      <c r="C47" s="12"/>
      <c r="D47" s="1">
        <f>SUM(OSRRefD22_8x_0)</f>
        <v>0</v>
      </c>
      <c r="E47" s="1"/>
      <c r="F47" s="5">
        <f t="shared" si="24"/>
        <v>0</v>
      </c>
      <c r="G47" s="1"/>
      <c r="H47" s="1">
        <f>SUM(OSRRefH22_8x_0)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2"/>
      <c r="P47" s="1">
        <f>SUM(OSRRefP22_8x_0)</f>
        <v>0</v>
      </c>
      <c r="Q47" s="1"/>
      <c r="R47" s="5">
        <f t="shared" si="28"/>
        <v>0</v>
      </c>
      <c r="S47" s="1"/>
      <c r="T47" s="1">
        <f>SUM(OSRRefT22_8x_0)</f>
        <v>82.5</v>
      </c>
      <c r="U47" s="1"/>
      <c r="V47" s="5">
        <f t="shared" si="29"/>
        <v>0</v>
      </c>
      <c r="W47" s="1"/>
      <c r="X47" s="1">
        <f t="shared" si="30"/>
        <v>-82.5</v>
      </c>
      <c r="Y47" s="1"/>
      <c r="Z47" s="5">
        <f t="shared" si="31"/>
        <v>-1</v>
      </c>
    </row>
    <row r="48" spans="1:26" s="23" customFormat="1" hidden="1" outlineLevel="2" x14ac:dyDescent="0.25">
      <c r="A48" s="27"/>
      <c r="B48" s="10" t="str">
        <f>CONCATENATE("          ", "6332", " - ", "CONSULTANT FEES")</f>
        <v xml:space="preserve">          6332 - CONSULTANT FEES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82.5</v>
      </c>
      <c r="U48" s="2"/>
      <c r="V48" s="7">
        <f t="shared" si="29"/>
        <v>0</v>
      </c>
      <c r="W48" s="2"/>
      <c r="X48" s="6">
        <f t="shared" si="30"/>
        <v>-82.5</v>
      </c>
      <c r="Y48" s="2"/>
      <c r="Z48" s="7">
        <f t="shared" si="31"/>
        <v>-1</v>
      </c>
    </row>
    <row r="49" spans="1:26" s="26" customFormat="1" outlineLevel="1" collapsed="1" x14ac:dyDescent="0.25">
      <c r="A49" s="25"/>
      <c r="B49" s="12" t="str">
        <f>CONCATENATE("     ","Repair and Maintenance                            ")</f>
        <v xml:space="preserve">     Repair and Maintenance                            </v>
      </c>
      <c r="C49" s="12"/>
      <c r="D49" s="1">
        <f>SUM(OSRRefD22_9x_0)</f>
        <v>69.010000000000005</v>
      </c>
      <c r="E49" s="1"/>
      <c r="F49" s="5">
        <f t="shared" si="24"/>
        <v>0</v>
      </c>
      <c r="G49" s="1"/>
      <c r="H49" s="1">
        <f>SUM(OSRRefH22_9x_0)</f>
        <v>9.91</v>
      </c>
      <c r="I49" s="1"/>
      <c r="J49" s="5">
        <f t="shared" si="25"/>
        <v>0</v>
      </c>
      <c r="K49" s="1"/>
      <c r="L49" s="1">
        <f t="shared" si="26"/>
        <v>59.100000000000009</v>
      </c>
      <c r="M49" s="1"/>
      <c r="N49" s="5">
        <f t="shared" si="27"/>
        <v>5.96367305751766</v>
      </c>
      <c r="O49" s="12"/>
      <c r="P49" s="1">
        <f>SUM(OSRRefP22_9x_0)</f>
        <v>37712.93</v>
      </c>
      <c r="Q49" s="1"/>
      <c r="R49" s="5">
        <f t="shared" si="28"/>
        <v>0</v>
      </c>
      <c r="S49" s="1"/>
      <c r="T49" s="1">
        <f>SUM(OSRRefT22_9x_0)</f>
        <v>32622.5</v>
      </c>
      <c r="U49" s="1"/>
      <c r="V49" s="5">
        <f t="shared" si="29"/>
        <v>0</v>
      </c>
      <c r="W49" s="1"/>
      <c r="X49" s="1">
        <f t="shared" si="30"/>
        <v>5090.43</v>
      </c>
      <c r="Y49" s="1"/>
      <c r="Z49" s="5">
        <f t="shared" si="31"/>
        <v>0.15604046287071807</v>
      </c>
    </row>
    <row r="50" spans="1:26" s="23" customFormat="1" hidden="1" outlineLevel="2" x14ac:dyDescent="0.25">
      <c r="A50" s="27"/>
      <c r="B50" s="10" t="str">
        <f>CONCATENATE("          ", "6371", " - ", "COMPUTER SOFTWARE MAINTENANCE")</f>
        <v xml:space="preserve">          6371 - COMPUTER SOFTWARE MAINTENANCE</v>
      </c>
      <c r="C50" s="10"/>
      <c r="D50" s="6">
        <v>59.95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59.95</v>
      </c>
      <c r="M50" s="2"/>
      <c r="N50" s="7">
        <f t="shared" si="27"/>
        <v>0</v>
      </c>
      <c r="O50" s="10"/>
      <c r="P50" s="6">
        <v>32353.37</v>
      </c>
      <c r="Q50" s="2"/>
      <c r="R50" s="7">
        <f t="shared" si="28"/>
        <v>0</v>
      </c>
      <c r="S50" s="2"/>
      <c r="T50" s="6">
        <v>26963.83</v>
      </c>
      <c r="U50" s="2"/>
      <c r="V50" s="7">
        <f t="shared" si="29"/>
        <v>0</v>
      </c>
      <c r="W50" s="2"/>
      <c r="X50" s="6">
        <f t="shared" si="30"/>
        <v>5389.5399999999972</v>
      </c>
      <c r="Y50" s="2"/>
      <c r="Z50" s="7">
        <f t="shared" si="31"/>
        <v>0.19988035824287562</v>
      </c>
    </row>
    <row r="51" spans="1:26" s="23" customFormat="1" hidden="1" outlineLevel="2" x14ac:dyDescent="0.25">
      <c r="A51" s="27"/>
      <c r="B51" s="10" t="str">
        <f>CONCATENATE("          ", "6373", " - ", "MAINTENANCE CONTRACTS")</f>
        <v xml:space="preserve">          6373 - MAINTENANCE CONTRACTS</v>
      </c>
      <c r="C51" s="10"/>
      <c r="D51" s="6">
        <v>9.06</v>
      </c>
      <c r="E51" s="2"/>
      <c r="F51" s="7">
        <f t="shared" si="24"/>
        <v>0</v>
      </c>
      <c r="G51" s="2"/>
      <c r="H51" s="6">
        <v>9.91</v>
      </c>
      <c r="I51" s="2"/>
      <c r="J51" s="7">
        <f t="shared" si="25"/>
        <v>0</v>
      </c>
      <c r="K51" s="2"/>
      <c r="L51" s="6">
        <f t="shared" si="26"/>
        <v>-0.84999999999999964</v>
      </c>
      <c r="M51" s="2"/>
      <c r="N51" s="7">
        <f t="shared" si="27"/>
        <v>-8.5771947527749706E-2</v>
      </c>
      <c r="O51" s="10"/>
      <c r="P51" s="6">
        <v>5182.42</v>
      </c>
      <c r="Q51" s="2"/>
      <c r="R51" s="7">
        <f t="shared" si="28"/>
        <v>0</v>
      </c>
      <c r="S51" s="2"/>
      <c r="T51" s="6">
        <v>5120.7299999999996</v>
      </c>
      <c r="U51" s="2"/>
      <c r="V51" s="7">
        <f t="shared" si="29"/>
        <v>0</v>
      </c>
      <c r="W51" s="2"/>
      <c r="X51" s="6">
        <f t="shared" si="30"/>
        <v>61.690000000000509</v>
      </c>
      <c r="Y51" s="2"/>
      <c r="Z51" s="7">
        <f t="shared" si="31"/>
        <v>1.2047110470577539E-2</v>
      </c>
    </row>
    <row r="52" spans="1:26" s="23" customFormat="1" hidden="1" outlineLevel="2" x14ac:dyDescent="0.25">
      <c r="A52" s="27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0"/>
      <c r="P52" s="6">
        <v>177.14</v>
      </c>
      <c r="Q52" s="2"/>
      <c r="R52" s="7">
        <f t="shared" si="28"/>
        <v>0</v>
      </c>
      <c r="S52" s="2"/>
      <c r="T52" s="6">
        <v>537.94000000000005</v>
      </c>
      <c r="U52" s="2"/>
      <c r="V52" s="7">
        <f t="shared" si="29"/>
        <v>0</v>
      </c>
      <c r="W52" s="2"/>
      <c r="X52" s="6">
        <f t="shared" si="30"/>
        <v>-360.80000000000007</v>
      </c>
      <c r="Y52" s="2"/>
      <c r="Z52" s="7">
        <f t="shared" si="31"/>
        <v>-0.67070677027177761</v>
      </c>
    </row>
    <row r="53" spans="1:26" s="26" customFormat="1" outlineLevel="1" collapsed="1" x14ac:dyDescent="0.25">
      <c r="A53" s="25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SUM(OSRRefD22_10x_0)</f>
        <v>621.34</v>
      </c>
      <c r="E53" s="1"/>
      <c r="F53" s="5">
        <f t="shared" ref="F53:F60" si="32">IF(D$12=0,0,D53/D$12)</f>
        <v>0</v>
      </c>
      <c r="G53" s="1"/>
      <c r="H53" s="1">
        <f>SUM(OSRRefH22_10x_0)</f>
        <v>512.48</v>
      </c>
      <c r="I53" s="1"/>
      <c r="J53" s="5">
        <f t="shared" ref="J53:J60" si="33">IF(H$12=0,0,H53/H$12)</f>
        <v>0</v>
      </c>
      <c r="K53" s="1"/>
      <c r="L53" s="1">
        <f t="shared" ref="L53:L60" si="34">+D53-H53</f>
        <v>108.86000000000001</v>
      </c>
      <c r="M53" s="1"/>
      <c r="N53" s="5">
        <f t="shared" ref="N53:N60" si="35">IF(H53=0,0,L53/H53)</f>
        <v>0.21241804558226665</v>
      </c>
      <c r="O53" s="12"/>
      <c r="P53" s="1">
        <f>SUM(OSRRefP22_10x_0)</f>
        <v>6201.68</v>
      </c>
      <c r="Q53" s="1"/>
      <c r="R53" s="5">
        <f t="shared" ref="R53:R60" si="36">IF(P$12=0,0,P53/P$12)</f>
        <v>0</v>
      </c>
      <c r="S53" s="1"/>
      <c r="T53" s="1">
        <f>SUM(OSRRefT22_10x_0)</f>
        <v>10967.41</v>
      </c>
      <c r="U53" s="1"/>
      <c r="V53" s="5">
        <f t="shared" ref="V53:V60" si="37">IF(T$12=0,0,T53/T$12)</f>
        <v>0</v>
      </c>
      <c r="W53" s="1"/>
      <c r="X53" s="1">
        <f t="shared" ref="X53:X60" si="38">+P53-T53</f>
        <v>-4765.7299999999996</v>
      </c>
      <c r="Y53" s="1"/>
      <c r="Z53" s="5">
        <f t="shared" ref="Z53:Z60" si="39">IF(T53=0,0,X53/T53)</f>
        <v>-0.43453559226836597</v>
      </c>
    </row>
    <row r="54" spans="1:26" s="23" customFormat="1" hidden="1" outlineLevel="2" x14ac:dyDescent="0.25">
      <c r="A54" s="27"/>
      <c r="B54" s="10" t="str">
        <f>CONCATENATE("          ", "6281", " - ", "STORAGE FEE")</f>
        <v xml:space="preserve">          6281 - STORAGE FEE</v>
      </c>
      <c r="C54" s="10"/>
      <c r="D54" s="6">
        <v>621.34</v>
      </c>
      <c r="E54" s="2"/>
      <c r="F54" s="7">
        <f t="shared" si="32"/>
        <v>0</v>
      </c>
      <c r="G54" s="2"/>
      <c r="H54" s="6">
        <v>512.48</v>
      </c>
      <c r="I54" s="2"/>
      <c r="J54" s="7">
        <f t="shared" si="33"/>
        <v>0</v>
      </c>
      <c r="K54" s="2"/>
      <c r="L54" s="6">
        <f t="shared" si="34"/>
        <v>108.86000000000001</v>
      </c>
      <c r="M54" s="2"/>
      <c r="N54" s="7">
        <f t="shared" si="35"/>
        <v>0.21241804558226665</v>
      </c>
      <c r="O54" s="10"/>
      <c r="P54" s="6">
        <v>6201.68</v>
      </c>
      <c r="Q54" s="2"/>
      <c r="R54" s="7">
        <f t="shared" si="36"/>
        <v>0</v>
      </c>
      <c r="S54" s="2"/>
      <c r="T54" s="6">
        <v>10967.41</v>
      </c>
      <c r="U54" s="2"/>
      <c r="V54" s="7">
        <f t="shared" si="37"/>
        <v>0</v>
      </c>
      <c r="W54" s="2"/>
      <c r="X54" s="6">
        <f t="shared" si="38"/>
        <v>-4765.7299999999996</v>
      </c>
      <c r="Y54" s="2"/>
      <c r="Z54" s="7">
        <f t="shared" si="39"/>
        <v>-0.43453559226836597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SUM(OSRRefD22_11x_0)</f>
        <v>0</v>
      </c>
      <c r="E55" s="1"/>
      <c r="F55" s="5">
        <f t="shared" si="32"/>
        <v>0</v>
      </c>
      <c r="G55" s="1"/>
      <c r="H55" s="1">
        <f>SUM(OSRRefH22_11x_0)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SUM(OSRRefP22_11x_0)</f>
        <v>0</v>
      </c>
      <c r="Q55" s="1"/>
      <c r="R55" s="5">
        <f t="shared" si="36"/>
        <v>0</v>
      </c>
      <c r="S55" s="1"/>
      <c r="T55" s="1">
        <f>SUM(OSRRefT22_11x_0)</f>
        <v>39</v>
      </c>
      <c r="U55" s="1"/>
      <c r="V55" s="5">
        <f t="shared" si="37"/>
        <v>0</v>
      </c>
      <c r="W55" s="1"/>
      <c r="X55" s="1">
        <f t="shared" si="38"/>
        <v>-39</v>
      </c>
      <c r="Y55" s="1"/>
      <c r="Z55" s="5">
        <f t="shared" si="39"/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39</v>
      </c>
      <c r="U56" s="2"/>
      <c r="V56" s="7">
        <f t="shared" si="37"/>
        <v>0</v>
      </c>
      <c r="W56" s="2"/>
      <c r="X56" s="6">
        <f t="shared" si="38"/>
        <v>-39</v>
      </c>
      <c r="Y56" s="2"/>
      <c r="Z56" s="7">
        <f t="shared" si="39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SUM(OSRRefD22_12x_0)</f>
        <v>16.53</v>
      </c>
      <c r="E57" s="1"/>
      <c r="F57" s="5">
        <f t="shared" si="32"/>
        <v>0</v>
      </c>
      <c r="G57" s="1"/>
      <c r="H57" s="1">
        <f>SUM(OSRRefH22_12x_0)</f>
        <v>73.86</v>
      </c>
      <c r="I57" s="1"/>
      <c r="J57" s="5">
        <f t="shared" si="33"/>
        <v>0</v>
      </c>
      <c r="K57" s="1"/>
      <c r="L57" s="1">
        <f t="shared" si="34"/>
        <v>-57.33</v>
      </c>
      <c r="M57" s="1"/>
      <c r="N57" s="5">
        <f t="shared" si="35"/>
        <v>-0.77619821283509338</v>
      </c>
      <c r="O57" s="12"/>
      <c r="P57" s="1">
        <f>SUM(OSRRefP22_12x_0)</f>
        <v>2083.69</v>
      </c>
      <c r="Q57" s="1"/>
      <c r="R57" s="5">
        <f t="shared" si="36"/>
        <v>0</v>
      </c>
      <c r="S57" s="1"/>
      <c r="T57" s="1">
        <f>SUM(OSRRefT22_12x_0)</f>
        <v>6840.7699999999995</v>
      </c>
      <c r="U57" s="1"/>
      <c r="V57" s="5">
        <f t="shared" si="37"/>
        <v>0</v>
      </c>
      <c r="W57" s="1"/>
      <c r="X57" s="1">
        <f t="shared" si="38"/>
        <v>-4757.08</v>
      </c>
      <c r="Y57" s="1"/>
      <c r="Z57" s="5">
        <f t="shared" si="39"/>
        <v>-0.69540124868984055</v>
      </c>
    </row>
    <row r="58" spans="1:26" s="23" customFormat="1" hidden="1" outlineLevel="2" x14ac:dyDescent="0.25">
      <c r="A58" s="27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426.66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426.66</v>
      </c>
      <c r="Y58" s="2"/>
      <c r="Z58" s="7">
        <f t="shared" si="39"/>
        <v>0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16.53</v>
      </c>
      <c r="E59" s="2"/>
      <c r="F59" s="7">
        <f t="shared" si="32"/>
        <v>0</v>
      </c>
      <c r="G59" s="2"/>
      <c r="H59" s="6">
        <v>73.86</v>
      </c>
      <c r="I59" s="2"/>
      <c r="J59" s="7">
        <f t="shared" si="33"/>
        <v>0</v>
      </c>
      <c r="K59" s="2"/>
      <c r="L59" s="6">
        <f t="shared" si="34"/>
        <v>-57.33</v>
      </c>
      <c r="M59" s="2"/>
      <c r="N59" s="7">
        <f t="shared" si="35"/>
        <v>-0.77619821283509338</v>
      </c>
      <c r="O59" s="10"/>
      <c r="P59" s="6">
        <v>1657.03</v>
      </c>
      <c r="Q59" s="2"/>
      <c r="R59" s="7">
        <f t="shared" si="36"/>
        <v>0</v>
      </c>
      <c r="S59" s="2"/>
      <c r="T59" s="6">
        <v>6177.86</v>
      </c>
      <c r="U59" s="2"/>
      <c r="V59" s="7">
        <f t="shared" si="37"/>
        <v>0</v>
      </c>
      <c r="W59" s="2"/>
      <c r="X59" s="6">
        <f t="shared" si="38"/>
        <v>-4520.83</v>
      </c>
      <c r="Y59" s="2"/>
      <c r="Z59" s="7">
        <f t="shared" si="39"/>
        <v>-0.73177928926845226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662.91</v>
      </c>
      <c r="U60" s="2"/>
      <c r="V60" s="7">
        <f t="shared" si="37"/>
        <v>0</v>
      </c>
      <c r="W60" s="2"/>
      <c r="X60" s="6">
        <f t="shared" si="38"/>
        <v>-662.91</v>
      </c>
      <c r="Y60" s="2"/>
      <c r="Z60" s="7">
        <f t="shared" si="39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421.35</v>
      </c>
      <c r="E61" s="1"/>
      <c r="F61" s="5">
        <f t="shared" ref="F61:F66" si="40">IF(D$12=0,0,D61/D$12)</f>
        <v>0</v>
      </c>
      <c r="G61" s="1"/>
      <c r="H61" s="1">
        <f>SUM(OSRRefH22_13x_0)</f>
        <v>430.85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-9.5</v>
      </c>
      <c r="M61" s="1"/>
      <c r="N61" s="5">
        <f t="shared" ref="N61:N66" si="43">IF(H61=0,0,L61/H61)</f>
        <v>-2.2049437159104096E-2</v>
      </c>
      <c r="O61" s="12"/>
      <c r="P61" s="1">
        <f>SUM(OSRRefP22_13x_0)</f>
        <v>5573.33</v>
      </c>
      <c r="Q61" s="1"/>
      <c r="R61" s="5">
        <f t="shared" ref="R61:R66" si="44">IF(P$12=0,0,P61/P$12)</f>
        <v>0</v>
      </c>
      <c r="S61" s="1"/>
      <c r="T61" s="1">
        <f>SUM(OSRRefT22_13x_0)</f>
        <v>4546.3900000000003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1026.9399999999996</v>
      </c>
      <c r="Y61" s="1"/>
      <c r="Z61" s="5">
        <f t="shared" ref="Z61:Z66" si="47">IF(T61=0,0,X61/T61)</f>
        <v>0.22588031383141338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421.35</v>
      </c>
      <c r="E62" s="2"/>
      <c r="F62" s="7">
        <f t="shared" si="40"/>
        <v>0</v>
      </c>
      <c r="G62" s="2"/>
      <c r="H62" s="6">
        <v>430.85</v>
      </c>
      <c r="I62" s="2"/>
      <c r="J62" s="7">
        <f t="shared" si="41"/>
        <v>0</v>
      </c>
      <c r="K62" s="2"/>
      <c r="L62" s="6">
        <f t="shared" si="42"/>
        <v>-9.5</v>
      </c>
      <c r="M62" s="2"/>
      <c r="N62" s="7">
        <f t="shared" si="43"/>
        <v>-2.2049437159104096E-2</v>
      </c>
      <c r="O62" s="10"/>
      <c r="P62" s="6">
        <v>5573.33</v>
      </c>
      <c r="Q62" s="2"/>
      <c r="R62" s="7">
        <f t="shared" si="44"/>
        <v>0</v>
      </c>
      <c r="S62" s="2"/>
      <c r="T62" s="6">
        <v>4546.3900000000003</v>
      </c>
      <c r="U62" s="2"/>
      <c r="V62" s="7">
        <f t="shared" si="45"/>
        <v>0</v>
      </c>
      <c r="W62" s="2"/>
      <c r="X62" s="6">
        <f t="shared" si="46"/>
        <v>1026.9399999999996</v>
      </c>
      <c r="Y62" s="2"/>
      <c r="Z62" s="7">
        <f t="shared" si="47"/>
        <v>0.22588031383141338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2"/>
      <c r="P63" s="1">
        <f>SUM(OSRRefP22_14x_0)</f>
        <v>548</v>
      </c>
      <c r="Q63" s="1"/>
      <c r="R63" s="5">
        <f t="shared" si="44"/>
        <v>0</v>
      </c>
      <c r="S63" s="1"/>
      <c r="T63" s="1">
        <f>SUM(OSRRefT22_14x_0)</f>
        <v>400.18</v>
      </c>
      <c r="U63" s="1"/>
      <c r="V63" s="5">
        <f t="shared" si="45"/>
        <v>0</v>
      </c>
      <c r="W63" s="1"/>
      <c r="X63" s="1">
        <f t="shared" si="46"/>
        <v>147.82</v>
      </c>
      <c r="Y63" s="1"/>
      <c r="Z63" s="5">
        <f t="shared" si="47"/>
        <v>0.36938377730021488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>
        <v>548</v>
      </c>
      <c r="Q64" s="2"/>
      <c r="R64" s="7">
        <f t="shared" si="44"/>
        <v>0</v>
      </c>
      <c r="S64" s="2"/>
      <c r="T64" s="6">
        <v>400.18</v>
      </c>
      <c r="U64" s="2"/>
      <c r="V64" s="7">
        <f t="shared" si="45"/>
        <v>0</v>
      </c>
      <c r="W64" s="2"/>
      <c r="X64" s="6">
        <f t="shared" si="46"/>
        <v>147.82</v>
      </c>
      <c r="Y64" s="2"/>
      <c r="Z64" s="7">
        <f t="shared" si="47"/>
        <v>0.36938377730021488</v>
      </c>
    </row>
    <row r="65" spans="1:26" s="26" customFormat="1" outlineLevel="1" collapsed="1" x14ac:dyDescent="0.25">
      <c r="A65" s="25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88.72</v>
      </c>
      <c r="Q65" s="1"/>
      <c r="R65" s="5">
        <f t="shared" si="44"/>
        <v>0</v>
      </c>
      <c r="S65" s="1"/>
      <c r="T65" s="1">
        <f>SUM(OSRRefT22_15x_0)</f>
        <v>0</v>
      </c>
      <c r="U65" s="1"/>
      <c r="V65" s="5">
        <f t="shared" si="45"/>
        <v>0</v>
      </c>
      <c r="W65" s="1"/>
      <c r="X65" s="1">
        <f t="shared" si="46"/>
        <v>88.72</v>
      </c>
      <c r="Y65" s="1"/>
      <c r="Z65" s="5">
        <f t="shared" si="47"/>
        <v>0</v>
      </c>
    </row>
    <row r="66" spans="1:26" s="23" customFormat="1" hidden="1" outlineLevel="2" x14ac:dyDescent="0.25">
      <c r="A66" s="27"/>
      <c r="B66" s="10" t="str">
        <f>CONCATENATE("          ", "6294", " - ", "TRAVEL OPERATIONAL")</f>
        <v xml:space="preserve">          6294 - TRAVEL OPERATIONAL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>
        <v>88.72</v>
      </c>
      <c r="Q66" s="2"/>
      <c r="R66" s="7">
        <f t="shared" si="44"/>
        <v>0</v>
      </c>
      <c r="S66" s="2"/>
      <c r="T66" s="6"/>
      <c r="U66" s="2"/>
      <c r="V66" s="7">
        <f t="shared" si="45"/>
        <v>0</v>
      </c>
      <c r="W66" s="2"/>
      <c r="X66" s="6">
        <f t="shared" si="46"/>
        <v>88.72</v>
      </c>
      <c r="Y66" s="2"/>
      <c r="Z66" s="7">
        <f t="shared" si="47"/>
        <v>0</v>
      </c>
    </row>
    <row r="67" spans="1:26" s="57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9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8" t="s">
        <v>276</v>
      </c>
      <c r="C70" s="28"/>
      <c r="D70" s="20">
        <f>+D16-D18+D68</f>
        <v>-36932.669999999984</v>
      </c>
      <c r="E70" s="14"/>
      <c r="F70" s="21">
        <f>IF(D$12=0,0,D70/D$12)</f>
        <v>0</v>
      </c>
      <c r="G70" s="14"/>
      <c r="H70" s="20">
        <f>+H16-H18+H68</f>
        <v>-30335.559999999998</v>
      </c>
      <c r="I70" s="14"/>
      <c r="J70" s="21">
        <f>IF(H$12=0,0,H70/H$12)</f>
        <v>0</v>
      </c>
      <c r="K70" s="15"/>
      <c r="L70" s="20">
        <f>+D70-H70</f>
        <v>-6597.109999999986</v>
      </c>
      <c r="M70" s="15"/>
      <c r="N70" s="21">
        <f>IF(H70=0,0,L70/H70)</f>
        <v>0.21747117903872507</v>
      </c>
      <c r="O70" s="29"/>
      <c r="P70" s="20">
        <f>+P16-P18+P68</f>
        <v>-453992.93999999994</v>
      </c>
      <c r="Q70" s="14"/>
      <c r="R70" s="21">
        <f>IF(P$12=0,0,P70/P$12)</f>
        <v>0</v>
      </c>
      <c r="S70" s="14"/>
      <c r="T70" s="20">
        <f>+T16-T18+T68</f>
        <v>-536437.33000000007</v>
      </c>
      <c r="U70" s="14"/>
      <c r="V70" s="21">
        <f>IF(T$12=0,0,T70/T$12)</f>
        <v>0</v>
      </c>
      <c r="W70" s="15"/>
      <c r="X70" s="20">
        <f>+P70-T70</f>
        <v>82444.39000000013</v>
      </c>
      <c r="Y70" s="15"/>
      <c r="Z70" s="21">
        <f>IF(T70=0,0,X70/T70)</f>
        <v>-0.15368876360636594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8" t="s">
        <v>125</v>
      </c>
      <c r="C74" s="28"/>
      <c r="D74" s="35">
        <f>+D70-D72</f>
        <v>-36932.669999999984</v>
      </c>
      <c r="E74" s="14"/>
      <c r="F74" s="36">
        <f>IF(D$12=0,0,D74/D$12)</f>
        <v>0</v>
      </c>
      <c r="G74" s="14"/>
      <c r="H74" s="35">
        <f>+H70-H72</f>
        <v>-30335.559999999998</v>
      </c>
      <c r="I74" s="14"/>
      <c r="J74" s="36">
        <f>IF(H$12=0,0,H74/H$12)</f>
        <v>0</v>
      </c>
      <c r="K74" s="15"/>
      <c r="L74" s="35">
        <f>D74-H74</f>
        <v>-6597.109999999986</v>
      </c>
      <c r="M74" s="15"/>
      <c r="N74" s="36">
        <f>IF(H74=0,0,L74/H74)</f>
        <v>0.21747117903872507</v>
      </c>
      <c r="O74" s="29"/>
      <c r="P74" s="35">
        <f>+P70-P72</f>
        <v>-453992.93999999994</v>
      </c>
      <c r="Q74" s="14"/>
      <c r="R74" s="36">
        <f>IF(P$12=0,0,P74/P$12)</f>
        <v>0</v>
      </c>
      <c r="S74" s="14"/>
      <c r="T74" s="35">
        <f>+T70-T72</f>
        <v>-536437.33000000007</v>
      </c>
      <c r="U74" s="14"/>
      <c r="V74" s="36">
        <f>IF(T$12=0,0,T74/T$12)</f>
        <v>0</v>
      </c>
      <c r="W74" s="15"/>
      <c r="X74" s="35">
        <f>P74-T74</f>
        <v>82444.39000000013</v>
      </c>
      <c r="Y74" s="15"/>
      <c r="Z74" s="36">
        <f>IF(T74=0,0,X74/T74)</f>
        <v>-0.15368876360636594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8" t="s">
        <v>293</v>
      </c>
      <c r="C77" s="28"/>
      <c r="D77" s="30">
        <f>SUM(D74:D76)</f>
        <v>-36932.669999999984</v>
      </c>
      <c r="E77" s="14"/>
      <c r="F77" s="31">
        <f>IF(D$12=0,0,D77/D$12)</f>
        <v>0</v>
      </c>
      <c r="G77" s="14"/>
      <c r="H77" s="30">
        <f>SUM(H74:H76)</f>
        <v>-30335.559999999998</v>
      </c>
      <c r="I77" s="14"/>
      <c r="J77" s="31">
        <f>IF(H$12=0,0,H77/H$12)</f>
        <v>0</v>
      </c>
      <c r="K77" s="15"/>
      <c r="L77" s="30">
        <f>+D77-H77</f>
        <v>-6597.109999999986</v>
      </c>
      <c r="M77" s="15"/>
      <c r="N77" s="31">
        <f>IF(H77=0,0,L77/H77)</f>
        <v>0.21747117903872507</v>
      </c>
      <c r="O77" s="29"/>
      <c r="P77" s="30">
        <f>SUM(P74:P76)</f>
        <v>-453992.93999999994</v>
      </c>
      <c r="Q77" s="14"/>
      <c r="R77" s="31">
        <f>IF(P$12=0,0,P77/P$12)</f>
        <v>0</v>
      </c>
      <c r="S77" s="14"/>
      <c r="T77" s="30">
        <f>SUM(T74:T76)</f>
        <v>-536437.33000000007</v>
      </c>
      <c r="U77" s="14"/>
      <c r="V77" s="31">
        <f>IF(T$12=0,0,T77/T$12)</f>
        <v>0</v>
      </c>
      <c r="W77" s="15"/>
      <c r="X77" s="30">
        <f>+P77-T77</f>
        <v>82444.39000000013</v>
      </c>
      <c r="Y77" s="15"/>
      <c r="Z77" s="31">
        <f>IF(T77=0,0,X77/T77)</f>
        <v>-0.15368876360636594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>
        <v>44356.893348032405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2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44624.069999999992</v>
      </c>
      <c r="E18" s="22"/>
      <c r="F18" s="32">
        <f t="shared" ref="F18:F29" si="0">IF(D$12=0,0,D18/D$12)</f>
        <v>0</v>
      </c>
      <c r="G18" s="22"/>
      <c r="H18" s="22">
        <f>SUM(OSRRefH22x_0)</f>
        <v>46363.990000000005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-1739.9200000000128</v>
      </c>
      <c r="M18" s="4"/>
      <c r="N18" s="32">
        <f t="shared" ref="N18:N29" si="3">IF(H18=0,0,L18/H18)</f>
        <v>-3.7527400036105878E-2</v>
      </c>
      <c r="O18" s="11"/>
      <c r="P18" s="22">
        <f>SUM(OSRRefP22x_0)</f>
        <v>494632.03000000009</v>
      </c>
      <c r="Q18" s="22"/>
      <c r="R18" s="32">
        <f t="shared" ref="R18:R29" si="4">IF(P$12=0,0,P18/P$12)</f>
        <v>0</v>
      </c>
      <c r="S18" s="22"/>
      <c r="T18" s="22">
        <f>SUM(OSRRefT22x_0)</f>
        <v>758327.4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-263695.36999999994</v>
      </c>
      <c r="Y18" s="4"/>
      <c r="Z18" s="32">
        <f t="shared" ref="Z18:Z29" si="7">IF(T18=0,0,X18/T18)</f>
        <v>-0.34773287896494304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16907.740000000002</v>
      </c>
      <c r="E19" s="1"/>
      <c r="F19" s="5">
        <f t="shared" si="0"/>
        <v>0</v>
      </c>
      <c r="G19" s="1"/>
      <c r="H19" s="1">
        <f>SUM(OSRRefH22_0x_0)</f>
        <v>11125.470000000001</v>
      </c>
      <c r="I19" s="1"/>
      <c r="J19" s="5">
        <f t="shared" si="1"/>
        <v>0</v>
      </c>
      <c r="K19" s="1"/>
      <c r="L19" s="1">
        <f t="shared" si="2"/>
        <v>5782.27</v>
      </c>
      <c r="M19" s="1"/>
      <c r="N19" s="5">
        <f t="shared" si="3"/>
        <v>0.51973264949705489</v>
      </c>
      <c r="O19" s="12"/>
      <c r="P19" s="1">
        <f>SUM(OSRRefP22_0x_0)</f>
        <v>141079.64999999997</v>
      </c>
      <c r="Q19" s="1"/>
      <c r="R19" s="5">
        <f t="shared" si="4"/>
        <v>0</v>
      </c>
      <c r="S19" s="1"/>
      <c r="T19" s="1">
        <f>SUM(OSRRefT22_0x_0)</f>
        <v>155489.66999999998</v>
      </c>
      <c r="U19" s="1"/>
      <c r="V19" s="5">
        <f t="shared" si="5"/>
        <v>0</v>
      </c>
      <c r="W19" s="1"/>
      <c r="X19" s="1">
        <f t="shared" si="6"/>
        <v>-14410.020000000019</v>
      </c>
      <c r="Y19" s="1"/>
      <c r="Z19" s="5">
        <f t="shared" si="7"/>
        <v>-9.2675095393797036E-2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1889.45</v>
      </c>
      <c r="E20" s="2"/>
      <c r="F20" s="7">
        <f t="shared" si="0"/>
        <v>0</v>
      </c>
      <c r="G20" s="2"/>
      <c r="H20" s="6">
        <v>1961.51</v>
      </c>
      <c r="I20" s="2"/>
      <c r="J20" s="7">
        <f t="shared" si="1"/>
        <v>0</v>
      </c>
      <c r="K20" s="2"/>
      <c r="L20" s="6">
        <f t="shared" si="2"/>
        <v>-72.059999999999945</v>
      </c>
      <c r="M20" s="2"/>
      <c r="N20" s="7">
        <f t="shared" si="3"/>
        <v>-3.6737003634954676E-2</v>
      </c>
      <c r="O20" s="10"/>
      <c r="P20" s="6">
        <v>23455.62</v>
      </c>
      <c r="Q20" s="2"/>
      <c r="R20" s="7">
        <f t="shared" si="4"/>
        <v>0</v>
      </c>
      <c r="S20" s="2"/>
      <c r="T20" s="6">
        <v>24896.09</v>
      </c>
      <c r="U20" s="2"/>
      <c r="V20" s="7">
        <f t="shared" si="5"/>
        <v>0</v>
      </c>
      <c r="W20" s="2"/>
      <c r="X20" s="6">
        <f t="shared" si="6"/>
        <v>-1440.4700000000012</v>
      </c>
      <c r="Y20" s="2"/>
      <c r="Z20" s="7">
        <f t="shared" si="7"/>
        <v>-5.7859286337734205E-2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121.48</v>
      </c>
      <c r="E21" s="2"/>
      <c r="F21" s="7">
        <f t="shared" si="0"/>
        <v>0</v>
      </c>
      <c r="G21" s="2"/>
      <c r="H21" s="6">
        <v>131.43</v>
      </c>
      <c r="I21" s="2"/>
      <c r="J21" s="7">
        <f t="shared" si="1"/>
        <v>0</v>
      </c>
      <c r="K21" s="2"/>
      <c r="L21" s="6">
        <f t="shared" si="2"/>
        <v>-9.9500000000000028</v>
      </c>
      <c r="M21" s="2"/>
      <c r="N21" s="7">
        <f t="shared" si="3"/>
        <v>-7.5705698851099457E-2</v>
      </c>
      <c r="O21" s="10"/>
      <c r="P21" s="6">
        <v>1018.75</v>
      </c>
      <c r="Q21" s="2"/>
      <c r="R21" s="7">
        <f t="shared" si="4"/>
        <v>0</v>
      </c>
      <c r="S21" s="2"/>
      <c r="T21" s="6">
        <v>978.43</v>
      </c>
      <c r="U21" s="2"/>
      <c r="V21" s="7">
        <f t="shared" si="5"/>
        <v>0</v>
      </c>
      <c r="W21" s="2"/>
      <c r="X21" s="6">
        <f t="shared" si="6"/>
        <v>40.32000000000005</v>
      </c>
      <c r="Y21" s="2"/>
      <c r="Z21" s="7">
        <f t="shared" si="7"/>
        <v>4.1208875443312296E-2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6028.29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-63.380000000000109</v>
      </c>
      <c r="M22" s="2"/>
      <c r="N22" s="7">
        <f t="shared" si="3"/>
        <v>-1.0404371871752756E-2</v>
      </c>
      <c r="O22" s="10"/>
      <c r="P22" s="6">
        <v>66691.47</v>
      </c>
      <c r="Q22" s="2"/>
      <c r="R22" s="7">
        <f t="shared" si="4"/>
        <v>0</v>
      </c>
      <c r="S22" s="2"/>
      <c r="T22" s="6">
        <v>67707.41</v>
      </c>
      <c r="U22" s="2"/>
      <c r="V22" s="7">
        <f t="shared" si="5"/>
        <v>0</v>
      </c>
      <c r="W22" s="2"/>
      <c r="X22" s="6">
        <f t="shared" si="6"/>
        <v>-1015.9400000000023</v>
      </c>
      <c r="Y22" s="2"/>
      <c r="Z22" s="7">
        <f t="shared" si="7"/>
        <v>-1.5004856927772045E-2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95.71</v>
      </c>
      <c r="E23" s="2"/>
      <c r="F23" s="7">
        <f t="shared" si="0"/>
        <v>0</v>
      </c>
      <c r="G23" s="2"/>
      <c r="H23" s="6">
        <v>100.5</v>
      </c>
      <c r="I23" s="2"/>
      <c r="J23" s="7">
        <f t="shared" si="1"/>
        <v>0</v>
      </c>
      <c r="K23" s="2"/>
      <c r="L23" s="6">
        <f t="shared" si="2"/>
        <v>-4.7900000000000063</v>
      </c>
      <c r="M23" s="2"/>
      <c r="N23" s="7">
        <f t="shared" si="3"/>
        <v>-4.7661691542288623E-2</v>
      </c>
      <c r="O23" s="10"/>
      <c r="P23" s="6">
        <v>802.65</v>
      </c>
      <c r="Q23" s="2"/>
      <c r="R23" s="7">
        <f t="shared" si="4"/>
        <v>0</v>
      </c>
      <c r="S23" s="2"/>
      <c r="T23" s="6">
        <v>846.89</v>
      </c>
      <c r="U23" s="2"/>
      <c r="V23" s="7">
        <f t="shared" si="5"/>
        <v>0</v>
      </c>
      <c r="W23" s="2"/>
      <c r="X23" s="6">
        <f t="shared" si="6"/>
        <v>-44.240000000000009</v>
      </c>
      <c r="Y23" s="2"/>
      <c r="Z23" s="7">
        <f t="shared" si="7"/>
        <v>-5.2238189139085373E-2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1091.48</v>
      </c>
      <c r="E24" s="2"/>
      <c r="F24" s="7">
        <f t="shared" si="0"/>
        <v>0</v>
      </c>
      <c r="G24" s="2"/>
      <c r="H24" s="6">
        <v>1011.34</v>
      </c>
      <c r="I24" s="2"/>
      <c r="J24" s="7">
        <f t="shared" si="1"/>
        <v>0</v>
      </c>
      <c r="K24" s="2"/>
      <c r="L24" s="6">
        <f t="shared" si="2"/>
        <v>80.139999999999986</v>
      </c>
      <c r="M24" s="2"/>
      <c r="N24" s="7">
        <f t="shared" si="3"/>
        <v>7.9241402495698762E-2</v>
      </c>
      <c r="O24" s="10"/>
      <c r="P24" s="6">
        <v>14374.8</v>
      </c>
      <c r="Q24" s="2"/>
      <c r="R24" s="7">
        <f t="shared" si="4"/>
        <v>0</v>
      </c>
      <c r="S24" s="2"/>
      <c r="T24" s="6">
        <v>13643.81</v>
      </c>
      <c r="U24" s="2"/>
      <c r="V24" s="7">
        <f t="shared" si="5"/>
        <v>0</v>
      </c>
      <c r="W24" s="2"/>
      <c r="X24" s="6">
        <f t="shared" si="6"/>
        <v>730.98999999999978</v>
      </c>
      <c r="Y24" s="2"/>
      <c r="Z24" s="7">
        <f t="shared" si="7"/>
        <v>5.3576676895969663E-2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>
        <v>4846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4846</v>
      </c>
      <c r="M25" s="2"/>
      <c r="N25" s="7">
        <f t="shared" si="3"/>
        <v>0</v>
      </c>
      <c r="O25" s="10"/>
      <c r="P25" s="6">
        <v>4846</v>
      </c>
      <c r="Q25" s="2"/>
      <c r="R25" s="7">
        <f t="shared" si="4"/>
        <v>0</v>
      </c>
      <c r="S25" s="2"/>
      <c r="T25" s="6">
        <v>4936.88</v>
      </c>
      <c r="U25" s="2"/>
      <c r="V25" s="7">
        <f t="shared" si="5"/>
        <v>0</v>
      </c>
      <c r="W25" s="2"/>
      <c r="X25" s="6">
        <f t="shared" si="6"/>
        <v>-90.880000000000109</v>
      </c>
      <c r="Y25" s="2"/>
      <c r="Z25" s="7">
        <f t="shared" si="7"/>
        <v>-1.8408387483592897E-2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534.51</v>
      </c>
      <c r="E26" s="2"/>
      <c r="F26" s="7">
        <f t="shared" si="0"/>
        <v>0</v>
      </c>
      <c r="G26" s="2"/>
      <c r="H26" s="6">
        <v>468.85</v>
      </c>
      <c r="I26" s="2"/>
      <c r="J26" s="7">
        <f t="shared" si="1"/>
        <v>0</v>
      </c>
      <c r="K26" s="2"/>
      <c r="L26" s="6">
        <f t="shared" si="2"/>
        <v>65.659999999999968</v>
      </c>
      <c r="M26" s="2"/>
      <c r="N26" s="7">
        <f t="shared" si="3"/>
        <v>0.14004479044470505</v>
      </c>
      <c r="O26" s="10"/>
      <c r="P26" s="6">
        <v>6666.01</v>
      </c>
      <c r="Q26" s="2"/>
      <c r="R26" s="7">
        <f t="shared" si="4"/>
        <v>0</v>
      </c>
      <c r="S26" s="2"/>
      <c r="T26" s="6">
        <v>5252.34</v>
      </c>
      <c r="U26" s="2"/>
      <c r="V26" s="7">
        <f t="shared" si="5"/>
        <v>0</v>
      </c>
      <c r="W26" s="2"/>
      <c r="X26" s="6">
        <f t="shared" si="6"/>
        <v>1413.67</v>
      </c>
      <c r="Y26" s="2"/>
      <c r="Z26" s="7">
        <f t="shared" si="7"/>
        <v>0.26915051196228729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1392.7</v>
      </c>
      <c r="E27" s="2"/>
      <c r="F27" s="7">
        <f t="shared" si="0"/>
        <v>0</v>
      </c>
      <c r="G27" s="2"/>
      <c r="H27" s="6">
        <v>459.43</v>
      </c>
      <c r="I27" s="2"/>
      <c r="J27" s="7">
        <f t="shared" si="1"/>
        <v>0</v>
      </c>
      <c r="K27" s="2"/>
      <c r="L27" s="6">
        <f t="shared" si="2"/>
        <v>933.27</v>
      </c>
      <c r="M27" s="2"/>
      <c r="N27" s="7">
        <f t="shared" si="3"/>
        <v>2.0313649522234072</v>
      </c>
      <c r="O27" s="10"/>
      <c r="P27" s="6">
        <v>11987.08</v>
      </c>
      <c r="Q27" s="2"/>
      <c r="R27" s="7">
        <f t="shared" si="4"/>
        <v>0</v>
      </c>
      <c r="S27" s="2"/>
      <c r="T27" s="6">
        <v>19896.02</v>
      </c>
      <c r="U27" s="2"/>
      <c r="V27" s="7">
        <f t="shared" si="5"/>
        <v>0</v>
      </c>
      <c r="W27" s="2"/>
      <c r="X27" s="6">
        <f t="shared" si="6"/>
        <v>-7908.9400000000005</v>
      </c>
      <c r="Y27" s="2"/>
      <c r="Z27" s="7">
        <f t="shared" si="7"/>
        <v>-0.39751367358898915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908.12</v>
      </c>
      <c r="E28" s="2"/>
      <c r="F28" s="7">
        <f t="shared" si="0"/>
        <v>0</v>
      </c>
      <c r="G28" s="2"/>
      <c r="H28" s="6">
        <v>900.74</v>
      </c>
      <c r="I28" s="2"/>
      <c r="J28" s="7">
        <f t="shared" si="1"/>
        <v>0</v>
      </c>
      <c r="K28" s="2"/>
      <c r="L28" s="6">
        <f t="shared" si="2"/>
        <v>7.3799999999999955</v>
      </c>
      <c r="M28" s="2"/>
      <c r="N28" s="7">
        <f t="shared" si="3"/>
        <v>8.1932633168283805E-3</v>
      </c>
      <c r="O28" s="10"/>
      <c r="P28" s="6">
        <v>10897.44</v>
      </c>
      <c r="Q28" s="2"/>
      <c r="R28" s="7">
        <f t="shared" si="4"/>
        <v>0</v>
      </c>
      <c r="S28" s="2"/>
      <c r="T28" s="6">
        <v>13678.84</v>
      </c>
      <c r="U28" s="2"/>
      <c r="V28" s="7">
        <f t="shared" si="5"/>
        <v>0</v>
      </c>
      <c r="W28" s="2"/>
      <c r="X28" s="6">
        <f t="shared" si="6"/>
        <v>-2781.3999999999996</v>
      </c>
      <c r="Y28" s="2"/>
      <c r="Z28" s="7">
        <f t="shared" si="7"/>
        <v>-0.20333595538802995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0"/>
      <c r="P29" s="6">
        <v>339.83</v>
      </c>
      <c r="Q29" s="2"/>
      <c r="R29" s="7">
        <f t="shared" si="4"/>
        <v>0</v>
      </c>
      <c r="S29" s="2"/>
      <c r="T29" s="6">
        <v>3652.96</v>
      </c>
      <c r="U29" s="2"/>
      <c r="V29" s="7">
        <f t="shared" si="5"/>
        <v>0</v>
      </c>
      <c r="W29" s="2"/>
      <c r="X29" s="6">
        <f t="shared" si="6"/>
        <v>-3313.13</v>
      </c>
      <c r="Y29" s="2"/>
      <c r="Z29" s="7">
        <f t="shared" si="7"/>
        <v>-0.90697133283693221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22992.420000000002</v>
      </c>
      <c r="E30" s="1"/>
      <c r="F30" s="5">
        <f t="shared" ref="F30:F35" si="8">IF(D$12=0,0,D30/D$12)</f>
        <v>0</v>
      </c>
      <c r="G30" s="1"/>
      <c r="H30" s="1">
        <f>SUM(OSRRefH22_1x_0)</f>
        <v>25368.91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-2376.489999999998</v>
      </c>
      <c r="M30" s="1"/>
      <c r="N30" s="5">
        <f t="shared" ref="N30:N35" si="11">IF(H30=0,0,L30/H30)</f>
        <v>-9.367726086773133E-2</v>
      </c>
      <c r="O30" s="12"/>
      <c r="P30" s="1">
        <f>SUM(OSRRefP22_1x_0)</f>
        <v>282719.46999999997</v>
      </c>
      <c r="Q30" s="1"/>
      <c r="R30" s="5">
        <f t="shared" ref="R30:R35" si="12">IF(P$12=0,0,P30/P$12)</f>
        <v>0</v>
      </c>
      <c r="S30" s="1"/>
      <c r="T30" s="1">
        <f>SUM(OSRRefT22_1x_0)</f>
        <v>298728.62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-16009.150000000023</v>
      </c>
      <c r="Y30" s="1"/>
      <c r="Z30" s="5">
        <f t="shared" ref="Z30:Z35" si="15">IF(T30=0,0,X30/T30)</f>
        <v>-5.3590948199071196E-2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8410.48</v>
      </c>
      <c r="E31" s="2"/>
      <c r="F31" s="7">
        <f t="shared" si="8"/>
        <v>0</v>
      </c>
      <c r="G31" s="2"/>
      <c r="H31" s="6">
        <v>9894.68</v>
      </c>
      <c r="I31" s="2"/>
      <c r="J31" s="7">
        <f t="shared" si="9"/>
        <v>0</v>
      </c>
      <c r="K31" s="2"/>
      <c r="L31" s="6">
        <f t="shared" si="10"/>
        <v>-1484.2000000000007</v>
      </c>
      <c r="M31" s="2"/>
      <c r="N31" s="7">
        <f t="shared" si="11"/>
        <v>-0.14999979787117934</v>
      </c>
      <c r="O31" s="10"/>
      <c r="P31" s="6">
        <v>108571.76</v>
      </c>
      <c r="Q31" s="2"/>
      <c r="R31" s="7">
        <f t="shared" si="12"/>
        <v>0</v>
      </c>
      <c r="S31" s="2"/>
      <c r="T31" s="6">
        <v>102949.62</v>
      </c>
      <c r="U31" s="2"/>
      <c r="V31" s="7">
        <f t="shared" si="13"/>
        <v>0</v>
      </c>
      <c r="W31" s="2"/>
      <c r="X31" s="6">
        <f t="shared" si="14"/>
        <v>5622.1399999999994</v>
      </c>
      <c r="Y31" s="2"/>
      <c r="Z31" s="7">
        <f t="shared" si="15"/>
        <v>5.4610594968684679E-2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/>
      <c r="Q32" s="2"/>
      <c r="R32" s="7">
        <f t="shared" si="12"/>
        <v>0</v>
      </c>
      <c r="S32" s="2"/>
      <c r="T32" s="6">
        <v>21069.18</v>
      </c>
      <c r="U32" s="2"/>
      <c r="V32" s="7">
        <f t="shared" si="13"/>
        <v>0</v>
      </c>
      <c r="W32" s="2"/>
      <c r="X32" s="6">
        <f t="shared" si="14"/>
        <v>-21069.18</v>
      </c>
      <c r="Y32" s="2"/>
      <c r="Z32" s="7">
        <f t="shared" si="15"/>
        <v>-1</v>
      </c>
    </row>
    <row r="33" spans="1:26" s="23" customFormat="1" hidden="1" outlineLevel="2" x14ac:dyDescent="0.25">
      <c r="A33" s="27"/>
      <c r="B33" s="10" t="str">
        <f>CONCATENATE("          ", "6004", " - ", "STAFF HOURLY")</f>
        <v xml:space="preserve">          6004 - STAFF HOURLY</v>
      </c>
      <c r="C33" s="10"/>
      <c r="D33" s="6">
        <v>9711.81</v>
      </c>
      <c r="E33" s="2"/>
      <c r="F33" s="7">
        <f t="shared" si="8"/>
        <v>0</v>
      </c>
      <c r="G33" s="2"/>
      <c r="H33" s="6">
        <v>9180.11</v>
      </c>
      <c r="I33" s="2"/>
      <c r="J33" s="7">
        <f t="shared" si="9"/>
        <v>0</v>
      </c>
      <c r="K33" s="2"/>
      <c r="L33" s="6">
        <f t="shared" si="10"/>
        <v>531.69999999999891</v>
      </c>
      <c r="M33" s="2"/>
      <c r="N33" s="7">
        <f t="shared" si="11"/>
        <v>5.7918695963338006E-2</v>
      </c>
      <c r="O33" s="10"/>
      <c r="P33" s="6">
        <v>116209.18</v>
      </c>
      <c r="Q33" s="2"/>
      <c r="R33" s="7">
        <f t="shared" si="12"/>
        <v>0</v>
      </c>
      <c r="S33" s="2"/>
      <c r="T33" s="6">
        <v>111494</v>
      </c>
      <c r="U33" s="2"/>
      <c r="V33" s="7">
        <f t="shared" si="13"/>
        <v>0</v>
      </c>
      <c r="W33" s="2"/>
      <c r="X33" s="6">
        <f t="shared" si="14"/>
        <v>4715.179999999993</v>
      </c>
      <c r="Y33" s="2"/>
      <c r="Z33" s="7">
        <f t="shared" si="15"/>
        <v>4.22908856081941E-2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>
        <v>4870.13</v>
      </c>
      <c r="E34" s="2"/>
      <c r="F34" s="7">
        <f t="shared" si="8"/>
        <v>0</v>
      </c>
      <c r="G34" s="2"/>
      <c r="H34" s="6">
        <v>6294.12</v>
      </c>
      <c r="I34" s="2"/>
      <c r="J34" s="7">
        <f t="shared" si="9"/>
        <v>0</v>
      </c>
      <c r="K34" s="2"/>
      <c r="L34" s="6">
        <f t="shared" si="10"/>
        <v>-1423.9899999999998</v>
      </c>
      <c r="M34" s="2"/>
      <c r="N34" s="7">
        <f t="shared" si="11"/>
        <v>-0.22624131729296545</v>
      </c>
      <c r="O34" s="10"/>
      <c r="P34" s="6">
        <v>57938.53</v>
      </c>
      <c r="Q34" s="2"/>
      <c r="R34" s="7">
        <f t="shared" si="12"/>
        <v>0</v>
      </c>
      <c r="S34" s="2"/>
      <c r="T34" s="6">
        <v>63215.82</v>
      </c>
      <c r="U34" s="2"/>
      <c r="V34" s="7">
        <f t="shared" si="13"/>
        <v>0</v>
      </c>
      <c r="W34" s="2"/>
      <c r="X34" s="6">
        <f t="shared" si="14"/>
        <v>-5277.2900000000009</v>
      </c>
      <c r="Y34" s="2"/>
      <c r="Z34" s="7">
        <f t="shared" si="15"/>
        <v>-8.3480527500869262E-2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>
        <v>0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0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0</v>
      </c>
      <c r="M36" s="1"/>
      <c r="N36" s="5">
        <f t="shared" ref="N36:N53" si="19">IF(H36=0,0,L36/H36)</f>
        <v>0</v>
      </c>
      <c r="O36" s="12"/>
      <c r="P36" s="1">
        <f>SUM(OSRRefP22_2x_0)</f>
        <v>0</v>
      </c>
      <c r="Q36" s="1"/>
      <c r="R36" s="5">
        <f t="shared" ref="R36:R53" si="20">IF(P$12=0,0,P36/P$12)</f>
        <v>0</v>
      </c>
      <c r="S36" s="1"/>
      <c r="T36" s="1">
        <f>SUM(OSRRefT22_2x_0)</f>
        <v>1556.04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-1556.04</v>
      </c>
      <c r="Y36" s="1"/>
      <c r="Z36" s="5">
        <f t="shared" ref="Z36:Z53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1556.04</v>
      </c>
      <c r="U37" s="2"/>
      <c r="V37" s="7">
        <f t="shared" si="21"/>
        <v>0</v>
      </c>
      <c r="W37" s="2"/>
      <c r="X37" s="6">
        <f t="shared" si="22"/>
        <v>-1556.04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2017.57</v>
      </c>
      <c r="U38" s="1"/>
      <c r="V38" s="5">
        <f t="shared" si="21"/>
        <v>0</v>
      </c>
      <c r="W38" s="1"/>
      <c r="X38" s="1">
        <f t="shared" si="22"/>
        <v>-2017.57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2017.57</v>
      </c>
      <c r="U39" s="2"/>
      <c r="V39" s="7">
        <f t="shared" si="21"/>
        <v>0</v>
      </c>
      <c r="W39" s="2"/>
      <c r="X39" s="6">
        <f t="shared" si="22"/>
        <v>-2017.57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29521.94</v>
      </c>
      <c r="U40" s="1"/>
      <c r="V40" s="5">
        <f t="shared" si="21"/>
        <v>0</v>
      </c>
      <c r="W40" s="1"/>
      <c r="X40" s="1">
        <f t="shared" si="22"/>
        <v>-29440.379999999997</v>
      </c>
      <c r="Y40" s="1"/>
      <c r="Z40" s="5">
        <f t="shared" si="23"/>
        <v>-0.99723730893023965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81.56</v>
      </c>
      <c r="Q41" s="2"/>
      <c r="R41" s="7">
        <f t="shared" si="20"/>
        <v>0</v>
      </c>
      <c r="S41" s="2"/>
      <c r="T41" s="6">
        <v>29521.94</v>
      </c>
      <c r="U41" s="2"/>
      <c r="V41" s="7">
        <f t="shared" si="21"/>
        <v>0</v>
      </c>
      <c r="W41" s="2"/>
      <c r="X41" s="6">
        <f t="shared" si="22"/>
        <v>-29440.379999999997</v>
      </c>
      <c r="Y41" s="2"/>
      <c r="Z41" s="7">
        <f t="shared" si="23"/>
        <v>-0.99723730893023965</v>
      </c>
    </row>
    <row r="42" spans="1:26" s="26" customFormat="1" outlineLevel="1" collapsed="1" x14ac:dyDescent="0.25">
      <c r="A42" s="25"/>
      <c r="B42" s="12" t="str">
        <f>CONCATENATE("     ","Equipment Rental                                  ")</f>
        <v xml:space="preserve">     Equipment Rental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"6351", " - ", "EQUIPMENT RENTAL")</f>
        <v xml:space="preserve">          6351 - EQUIPMENT RENTAL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","Freight out/Postage                               ")</f>
        <v xml:space="preserve">     Freight out/Postage                               </v>
      </c>
      <c r="C44" s="12"/>
      <c r="D44" s="1">
        <f>SUM(OSRRefD22_6x_0)</f>
        <v>2.2400000000000002</v>
      </c>
      <c r="E44" s="1"/>
      <c r="F44" s="5">
        <f t="shared" si="16"/>
        <v>0</v>
      </c>
      <c r="G44" s="1"/>
      <c r="H44" s="1">
        <f>SUM(OSRRefH22_6x_0)</f>
        <v>51</v>
      </c>
      <c r="I44" s="1"/>
      <c r="J44" s="5">
        <f t="shared" si="17"/>
        <v>0</v>
      </c>
      <c r="K44" s="1"/>
      <c r="L44" s="1">
        <f t="shared" si="18"/>
        <v>-48.76</v>
      </c>
      <c r="M44" s="1"/>
      <c r="N44" s="5">
        <f t="shared" si="19"/>
        <v>-0.956078431372549</v>
      </c>
      <c r="O44" s="12"/>
      <c r="P44" s="1">
        <f>SUM(OSRRefP22_6x_0)</f>
        <v>119.01</v>
      </c>
      <c r="Q44" s="1"/>
      <c r="R44" s="5">
        <f t="shared" si="20"/>
        <v>0</v>
      </c>
      <c r="S44" s="1"/>
      <c r="T44" s="1">
        <f>SUM(OSRRefT22_6x_0)</f>
        <v>1115.5</v>
      </c>
      <c r="U44" s="1"/>
      <c r="V44" s="5">
        <f t="shared" si="21"/>
        <v>0</v>
      </c>
      <c r="W44" s="1"/>
      <c r="X44" s="1">
        <f t="shared" si="22"/>
        <v>-996.49</v>
      </c>
      <c r="Y44" s="1"/>
      <c r="Z44" s="5">
        <f t="shared" si="23"/>
        <v>-0.89331241595696997</v>
      </c>
    </row>
    <row r="45" spans="1:26" s="23" customFormat="1" hidden="1" outlineLevel="2" x14ac:dyDescent="0.25">
      <c r="A45" s="27"/>
      <c r="B45" s="10" t="str">
        <f>CONCATENATE("          ", "6307", " - ", "POSTAGE")</f>
        <v xml:space="preserve">          6307 - POSTAGE</v>
      </c>
      <c r="C45" s="10"/>
      <c r="D45" s="6">
        <v>2.2400000000000002</v>
      </c>
      <c r="E45" s="2"/>
      <c r="F45" s="7">
        <f t="shared" si="16"/>
        <v>0</v>
      </c>
      <c r="G45" s="2"/>
      <c r="H45" s="6">
        <v>51</v>
      </c>
      <c r="I45" s="2"/>
      <c r="J45" s="7">
        <f t="shared" si="17"/>
        <v>0</v>
      </c>
      <c r="K45" s="2"/>
      <c r="L45" s="6">
        <f t="shared" si="18"/>
        <v>-48.76</v>
      </c>
      <c r="M45" s="2"/>
      <c r="N45" s="7">
        <f t="shared" si="19"/>
        <v>-0.956078431372549</v>
      </c>
      <c r="O45" s="10"/>
      <c r="P45" s="6">
        <v>119.01</v>
      </c>
      <c r="Q45" s="2"/>
      <c r="R45" s="7">
        <f t="shared" si="20"/>
        <v>0</v>
      </c>
      <c r="S45" s="2"/>
      <c r="T45" s="6">
        <v>1115.5</v>
      </c>
      <c r="U45" s="2"/>
      <c r="V45" s="7">
        <f t="shared" si="21"/>
        <v>0</v>
      </c>
      <c r="W45" s="2"/>
      <c r="X45" s="6">
        <f t="shared" si="22"/>
        <v>-996.49</v>
      </c>
      <c r="Y45" s="2"/>
      <c r="Z45" s="7">
        <f t="shared" si="23"/>
        <v>-0.89331241595696997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SUM(OSRRefD22_7x_0)</f>
        <v>337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337</v>
      </c>
      <c r="M46" s="1"/>
      <c r="N46" s="5">
        <f t="shared" si="19"/>
        <v>0</v>
      </c>
      <c r="O46" s="12"/>
      <c r="P46" s="1">
        <f>SUM(OSRRefP22_7x_0)</f>
        <v>618.14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-81.860000000000014</v>
      </c>
      <c r="Y46" s="1"/>
      <c r="Z46" s="5">
        <f t="shared" si="23"/>
        <v>-0.11694285714285717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>
        <v>337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337</v>
      </c>
      <c r="M47" s="2"/>
      <c r="N47" s="7">
        <f t="shared" si="19"/>
        <v>0</v>
      </c>
      <c r="O47" s="10"/>
      <c r="P47" s="6">
        <v>618.14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-81.860000000000014</v>
      </c>
      <c r="Y47" s="2"/>
      <c r="Z47" s="7">
        <f t="shared" si="23"/>
        <v>-0.11694285714285717</v>
      </c>
    </row>
    <row r="48" spans="1:26" s="26" customFormat="1" outlineLevel="1" collapsed="1" x14ac:dyDescent="0.25">
      <c r="A48" s="25"/>
      <c r="B48" s="12" t="str">
        <f>CONCATENATE("     ","Insurance                                         ")</f>
        <v xml:space="preserve">     Insurance                                         </v>
      </c>
      <c r="C48" s="12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SUM(OSRRefP22_8x_0)</f>
        <v>720.17</v>
      </c>
      <c r="Q48" s="1"/>
      <c r="R48" s="5">
        <f t="shared" si="20"/>
        <v>0</v>
      </c>
      <c r="S48" s="1"/>
      <c r="T48" s="1">
        <f>SUM(OSRRefT22_8x_0)</f>
        <v>720.17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3" customFormat="1" hidden="1" outlineLevel="2" x14ac:dyDescent="0.25">
      <c r="A49" s="27"/>
      <c r="B49" s="10" t="str">
        <f>CONCATENATE("          ", "6314", " - ", "LIABILITY INSURANCE")</f>
        <v xml:space="preserve">          6314 - LIABILITY INSURANCE</v>
      </c>
      <c r="C49" s="10"/>
      <c r="D49" s="6">
        <v>65.47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>
        <v>720.17</v>
      </c>
      <c r="Q49" s="2"/>
      <c r="R49" s="7">
        <f t="shared" si="20"/>
        <v>0</v>
      </c>
      <c r="S49" s="2"/>
      <c r="T49" s="6">
        <v>720.17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2" t="str">
        <f>CONCATENATE("     ","Professional Services                             ")</f>
        <v xml:space="preserve">     Professional Services                             </v>
      </c>
      <c r="C50" s="12"/>
      <c r="D50" s="1">
        <f>SUM(OSRRefD22_9x_0)</f>
        <v>0</v>
      </c>
      <c r="E50" s="1"/>
      <c r="F50" s="5">
        <f t="shared" si="16"/>
        <v>0</v>
      </c>
      <c r="G50" s="1"/>
      <c r="H50" s="1">
        <f>SUM(OSRRefH22_9x_0)</f>
        <v>0</v>
      </c>
      <c r="I50" s="1"/>
      <c r="J50" s="5">
        <f t="shared" si="17"/>
        <v>0</v>
      </c>
      <c r="K50" s="1"/>
      <c r="L50" s="1">
        <f t="shared" si="18"/>
        <v>0</v>
      </c>
      <c r="M50" s="1"/>
      <c r="N50" s="5">
        <f t="shared" si="19"/>
        <v>0</v>
      </c>
      <c r="O50" s="12"/>
      <c r="P50" s="1">
        <f>SUM(OSRRefP22_9x_0)</f>
        <v>10474.880000000001</v>
      </c>
      <c r="Q50" s="1"/>
      <c r="R50" s="5">
        <f t="shared" si="20"/>
        <v>0</v>
      </c>
      <c r="S50" s="1"/>
      <c r="T50" s="1">
        <f>SUM(OSRRefT22_9x_0)</f>
        <v>88938.52</v>
      </c>
      <c r="U50" s="1"/>
      <c r="V50" s="5">
        <f t="shared" si="21"/>
        <v>0</v>
      </c>
      <c r="W50" s="1"/>
      <c r="X50" s="1">
        <f t="shared" si="22"/>
        <v>-78463.64</v>
      </c>
      <c r="Y50" s="1"/>
      <c r="Z50" s="5">
        <f t="shared" si="23"/>
        <v>-0.88222336058661643</v>
      </c>
    </row>
    <row r="51" spans="1:26" s="23" customFormat="1" hidden="1" outlineLevel="2" x14ac:dyDescent="0.25">
      <c r="A51" s="27"/>
      <c r="B51" s="10" t="str">
        <f>CONCATENATE("          ", "6332", " - ", "CONSULTANT FEES")</f>
        <v xml:space="preserve">          6332 - CONSULTANT FEES</v>
      </c>
      <c r="C51" s="10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0"/>
      <c r="P51" s="6"/>
      <c r="Q51" s="2"/>
      <c r="R51" s="7">
        <f t="shared" si="20"/>
        <v>0</v>
      </c>
      <c r="S51" s="2"/>
      <c r="T51" s="6">
        <v>21750</v>
      </c>
      <c r="U51" s="2"/>
      <c r="V51" s="7">
        <f t="shared" si="21"/>
        <v>0</v>
      </c>
      <c r="W51" s="2"/>
      <c r="X51" s="6">
        <f t="shared" si="22"/>
        <v>-21750</v>
      </c>
      <c r="Y51" s="2"/>
      <c r="Z51" s="7">
        <f t="shared" si="23"/>
        <v>-1</v>
      </c>
    </row>
    <row r="52" spans="1:26" s="23" customFormat="1" hidden="1" outlineLevel="2" x14ac:dyDescent="0.25">
      <c r="A52" s="27"/>
      <c r="B52" s="10" t="str">
        <f>CONCATENATE("          ", "6334", " - ", "LEGAL COUNCIL EXPENSE")</f>
        <v xml:space="preserve">          6334 - LEGAL COUNCIL EXPENSE</v>
      </c>
      <c r="C52" s="10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0"/>
      <c r="P52" s="6">
        <v>2450</v>
      </c>
      <c r="Q52" s="2"/>
      <c r="R52" s="7">
        <f t="shared" si="20"/>
        <v>0</v>
      </c>
      <c r="S52" s="2"/>
      <c r="T52" s="6">
        <v>38010</v>
      </c>
      <c r="U52" s="2"/>
      <c r="V52" s="7">
        <f t="shared" si="21"/>
        <v>0</v>
      </c>
      <c r="W52" s="2"/>
      <c r="X52" s="6">
        <f t="shared" si="22"/>
        <v>-35560</v>
      </c>
      <c r="Y52" s="2"/>
      <c r="Z52" s="7">
        <f t="shared" si="23"/>
        <v>-0.9355432780847146</v>
      </c>
    </row>
    <row r="53" spans="1:26" s="23" customFormat="1" hidden="1" outlineLevel="2" x14ac:dyDescent="0.25">
      <c r="A53" s="27"/>
      <c r="B53" s="10" t="str">
        <f>CONCATENATE("          ", "6336", " - ", "PROFESSIONAL SERVICES")</f>
        <v xml:space="preserve">          6336 - PROFESSIONAL SERVICES</v>
      </c>
      <c r="C53" s="10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0"/>
      <c r="P53" s="6">
        <v>8024.88</v>
      </c>
      <c r="Q53" s="2"/>
      <c r="R53" s="7">
        <f t="shared" si="20"/>
        <v>0</v>
      </c>
      <c r="S53" s="2"/>
      <c r="T53" s="6">
        <v>29178.52</v>
      </c>
      <c r="U53" s="2"/>
      <c r="V53" s="7">
        <f t="shared" si="21"/>
        <v>0</v>
      </c>
      <c r="W53" s="2"/>
      <c r="X53" s="6">
        <f t="shared" si="22"/>
        <v>-21153.64</v>
      </c>
      <c r="Y53" s="2"/>
      <c r="Z53" s="7">
        <f t="shared" si="23"/>
        <v>-0.72497302810423558</v>
      </c>
    </row>
    <row r="54" spans="1:26" s="26" customFormat="1" outlineLevel="1" collapsed="1" x14ac:dyDescent="0.25">
      <c r="A54" s="25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3975.2000000000003</v>
      </c>
      <c r="E54" s="1"/>
      <c r="F54" s="5">
        <f t="shared" ref="F54:F56" si="24">IF(D$12=0,0,D54/D$12)</f>
        <v>0</v>
      </c>
      <c r="G54" s="1"/>
      <c r="H54" s="1">
        <f>SUM(OSRRefH22_10x_0)</f>
        <v>9480.17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-5504.9699999999993</v>
      </c>
      <c r="M54" s="1"/>
      <c r="N54" s="5">
        <f t="shared" ref="N54:N56" si="27">IF(H54=0,0,L54/H54)</f>
        <v>-0.58068262488963795</v>
      </c>
      <c r="O54" s="12"/>
      <c r="P54" s="1">
        <f>SUM(OSRRefP22_10x_0)</f>
        <v>50910.54</v>
      </c>
      <c r="Q54" s="1"/>
      <c r="R54" s="5">
        <f t="shared" ref="R54:R56" si="28">IF(P$12=0,0,P54/P$12)</f>
        <v>0</v>
      </c>
      <c r="S54" s="1"/>
      <c r="T54" s="1">
        <f>SUM(OSRRefT22_10x_0)</f>
        <v>143916.38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-93005.84</v>
      </c>
      <c r="Y54" s="1"/>
      <c r="Z54" s="5">
        <f t="shared" ref="Z54:Z56" si="31">IF(T54=0,0,X54/T54)</f>
        <v>-0.64624916218709771</v>
      </c>
    </row>
    <row r="55" spans="1:26" s="23" customFormat="1" hidden="1" outlineLevel="2" x14ac:dyDescent="0.25">
      <c r="A55" s="27"/>
      <c r="B55" s="10" t="str">
        <f>CONCATENATE("          ", "6371", " - ", "COMPUTER SOFTWARE MAINTENANCE")</f>
        <v xml:space="preserve">          6371 - COMPUTER SOFTWARE MAINTENANCE</v>
      </c>
      <c r="C55" s="10"/>
      <c r="D55" s="6">
        <v>3942.07</v>
      </c>
      <c r="E55" s="2"/>
      <c r="F55" s="7">
        <f t="shared" si="24"/>
        <v>0</v>
      </c>
      <c r="G55" s="2"/>
      <c r="H55" s="6">
        <v>9346.2199999999993</v>
      </c>
      <c r="I55" s="2"/>
      <c r="J55" s="7">
        <f t="shared" si="25"/>
        <v>0</v>
      </c>
      <c r="K55" s="2"/>
      <c r="L55" s="6">
        <f t="shared" si="26"/>
        <v>-5404.15</v>
      </c>
      <c r="M55" s="2"/>
      <c r="N55" s="7">
        <f t="shared" si="27"/>
        <v>-0.57821771796512389</v>
      </c>
      <c r="O55" s="10"/>
      <c r="P55" s="6">
        <v>50771.39</v>
      </c>
      <c r="Q55" s="2"/>
      <c r="R55" s="7">
        <f t="shared" si="28"/>
        <v>0</v>
      </c>
      <c r="S55" s="2"/>
      <c r="T55" s="6">
        <v>143088.76</v>
      </c>
      <c r="U55" s="2"/>
      <c r="V55" s="7">
        <f t="shared" si="29"/>
        <v>0</v>
      </c>
      <c r="W55" s="2"/>
      <c r="X55" s="6">
        <f t="shared" si="30"/>
        <v>-92317.37000000001</v>
      </c>
      <c r="Y55" s="2"/>
      <c r="Z55" s="7">
        <f t="shared" si="31"/>
        <v>-0.64517555397083604</v>
      </c>
    </row>
    <row r="56" spans="1:26" s="23" customFormat="1" hidden="1" outlineLevel="2" x14ac:dyDescent="0.25">
      <c r="A56" s="27"/>
      <c r="B56" s="10" t="str">
        <f>CONCATENATE("          ", "6373", " - ", "MAINTENANCE CONTRACTS")</f>
        <v xml:space="preserve">          6373 - MAINTENANCE CONTRACTS</v>
      </c>
      <c r="C56" s="10"/>
      <c r="D56" s="6">
        <v>33.130000000000003</v>
      </c>
      <c r="E56" s="2"/>
      <c r="F56" s="7">
        <f t="shared" si="24"/>
        <v>0</v>
      </c>
      <c r="G56" s="2"/>
      <c r="H56" s="6">
        <v>133.94999999999999</v>
      </c>
      <c r="I56" s="2"/>
      <c r="J56" s="7">
        <f t="shared" si="25"/>
        <v>0</v>
      </c>
      <c r="K56" s="2"/>
      <c r="L56" s="6">
        <f t="shared" si="26"/>
        <v>-100.82</v>
      </c>
      <c r="M56" s="2"/>
      <c r="N56" s="7">
        <f t="shared" si="27"/>
        <v>-0.75266890630832406</v>
      </c>
      <c r="O56" s="10"/>
      <c r="P56" s="6">
        <v>139.15</v>
      </c>
      <c r="Q56" s="2"/>
      <c r="R56" s="7">
        <f t="shared" si="28"/>
        <v>0</v>
      </c>
      <c r="S56" s="2"/>
      <c r="T56" s="6">
        <v>827.62</v>
      </c>
      <c r="U56" s="2"/>
      <c r="V56" s="7">
        <f t="shared" si="29"/>
        <v>0</v>
      </c>
      <c r="W56" s="2"/>
      <c r="X56" s="6">
        <f t="shared" si="30"/>
        <v>-688.47</v>
      </c>
      <c r="Y56" s="2"/>
      <c r="Z56" s="7">
        <f t="shared" si="31"/>
        <v>-0.83186728208598149</v>
      </c>
    </row>
    <row r="57" spans="1:26" s="26" customFormat="1" outlineLevel="1" collapsed="1" x14ac:dyDescent="0.25">
      <c r="A57" s="25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3" si="32">IF(D$12=0,0,D57/D$12)</f>
        <v>0</v>
      </c>
      <c r="G57" s="1"/>
      <c r="H57" s="1">
        <f>SUM(OSRRefH22_11x_0)</f>
        <v>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0</v>
      </c>
      <c r="M57" s="1"/>
      <c r="N57" s="5">
        <f t="shared" ref="N57:N63" si="35">IF(H57=0,0,L57/H57)</f>
        <v>0</v>
      </c>
      <c r="O57" s="12"/>
      <c r="P57" s="1">
        <f>SUM(OSRRefP22_11x_0)</f>
        <v>1329.99</v>
      </c>
      <c r="Q57" s="1"/>
      <c r="R57" s="5">
        <f t="shared" ref="R57:R63" si="36">IF(P$12=0,0,P57/P$12)</f>
        <v>0</v>
      </c>
      <c r="S57" s="1"/>
      <c r="T57" s="1">
        <f>SUM(OSRRefT22_11x_0)</f>
        <v>587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742.99</v>
      </c>
      <c r="Y57" s="1"/>
      <c r="Z57" s="5">
        <f t="shared" ref="Z57:Z63" si="39">IF(T57=0,0,X57/T57)</f>
        <v>1.265741056218058</v>
      </c>
    </row>
    <row r="58" spans="1:26" s="23" customFormat="1" hidden="1" outlineLevel="2" x14ac:dyDescent="0.25">
      <c r="A58" s="27"/>
      <c r="B58" s="10" t="str">
        <f>CONCATENATE("          ", "6258", " - ", "MEMBERSHIP DUES")</f>
        <v xml:space="preserve">          6258 - MEMBERSHIP DUES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1329.99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742.99</v>
      </c>
      <c r="Y58" s="2"/>
      <c r="Z58" s="7">
        <f t="shared" si="39"/>
        <v>1.265741056218058</v>
      </c>
    </row>
    <row r="59" spans="1:26" s="26" customFormat="1" outlineLevel="1" collapsed="1" x14ac:dyDescent="0.25">
      <c r="A59" s="25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0</v>
      </c>
      <c r="E59" s="1"/>
      <c r="F59" s="5">
        <f t="shared" si="32"/>
        <v>0</v>
      </c>
      <c r="G59" s="1"/>
      <c r="H59" s="1">
        <f>SUM(OSRRefH22_12x_0)</f>
        <v>46.57</v>
      </c>
      <c r="I59" s="1"/>
      <c r="J59" s="5">
        <f t="shared" si="33"/>
        <v>0</v>
      </c>
      <c r="K59" s="1"/>
      <c r="L59" s="1">
        <f t="shared" si="34"/>
        <v>-46.57</v>
      </c>
      <c r="M59" s="1"/>
      <c r="N59" s="5">
        <f t="shared" si="35"/>
        <v>-1</v>
      </c>
      <c r="O59" s="12"/>
      <c r="P59" s="1">
        <f>SUM(OSRRefP22_12x_0)</f>
        <v>2537.37</v>
      </c>
      <c r="Q59" s="1"/>
      <c r="R59" s="5">
        <f t="shared" si="36"/>
        <v>0</v>
      </c>
      <c r="S59" s="1"/>
      <c r="T59" s="1">
        <f>SUM(OSRRefT22_12x_0)</f>
        <v>16911.580000000002</v>
      </c>
      <c r="U59" s="1"/>
      <c r="V59" s="5">
        <f t="shared" si="37"/>
        <v>0</v>
      </c>
      <c r="W59" s="1"/>
      <c r="X59" s="1">
        <f t="shared" si="38"/>
        <v>-14374.210000000003</v>
      </c>
      <c r="Y59" s="1"/>
      <c r="Z59" s="5">
        <f t="shared" si="39"/>
        <v>-0.8499625700259823</v>
      </c>
    </row>
    <row r="60" spans="1:26" s="23" customFormat="1" hidden="1" outlineLevel="2" x14ac:dyDescent="0.25">
      <c r="A60" s="27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>
        <v>210.58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210.58</v>
      </c>
      <c r="Y60" s="2"/>
      <c r="Z60" s="7">
        <f t="shared" si="39"/>
        <v>0</v>
      </c>
    </row>
    <row r="61" spans="1:26" s="23" customFormat="1" hidden="1" outlineLevel="2" x14ac:dyDescent="0.25">
      <c r="A61" s="27"/>
      <c r="B61" s="10" t="str">
        <f>CONCATENATE("          ", "6241", " - ", "OFFICE EXPENSE")</f>
        <v xml:space="preserve">          6241 - OFFICE EXPENSE</v>
      </c>
      <c r="C61" s="10"/>
      <c r="D61" s="6"/>
      <c r="E61" s="2"/>
      <c r="F61" s="7">
        <f t="shared" si="32"/>
        <v>0</v>
      </c>
      <c r="G61" s="2"/>
      <c r="H61" s="6">
        <v>46.57</v>
      </c>
      <c r="I61" s="2"/>
      <c r="J61" s="7">
        <f t="shared" si="33"/>
        <v>0</v>
      </c>
      <c r="K61" s="2"/>
      <c r="L61" s="6">
        <f t="shared" si="34"/>
        <v>-46.57</v>
      </c>
      <c r="M61" s="2"/>
      <c r="N61" s="7">
        <f t="shared" si="35"/>
        <v>-1</v>
      </c>
      <c r="O61" s="10"/>
      <c r="P61" s="6">
        <v>2104.08</v>
      </c>
      <c r="Q61" s="2"/>
      <c r="R61" s="7">
        <f t="shared" si="36"/>
        <v>0</v>
      </c>
      <c r="S61" s="2"/>
      <c r="T61" s="6">
        <v>12673.23</v>
      </c>
      <c r="U61" s="2"/>
      <c r="V61" s="7">
        <f t="shared" si="37"/>
        <v>0</v>
      </c>
      <c r="W61" s="2"/>
      <c r="X61" s="6">
        <f t="shared" si="38"/>
        <v>-10569.15</v>
      </c>
      <c r="Y61" s="2"/>
      <c r="Z61" s="7">
        <f t="shared" si="39"/>
        <v>-0.83397444850286784</v>
      </c>
    </row>
    <row r="62" spans="1:26" s="23" customFormat="1" hidden="1" outlineLevel="2" x14ac:dyDescent="0.25">
      <c r="A62" s="27"/>
      <c r="B62" s="10" t="str">
        <f>CONCATENATE("          ", "6244", " - ", "SAFETY SUPPLY EXPENSE")</f>
        <v xml:space="preserve">          6244 - SAFETY SUPPLY EXPENSE</v>
      </c>
      <c r="C62" s="10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0"/>
      <c r="P62" s="6">
        <v>222.71</v>
      </c>
      <c r="Q62" s="2"/>
      <c r="R62" s="7">
        <f t="shared" si="36"/>
        <v>0</v>
      </c>
      <c r="S62" s="2"/>
      <c r="T62" s="6">
        <v>2034.69</v>
      </c>
      <c r="U62" s="2"/>
      <c r="V62" s="7">
        <f t="shared" si="37"/>
        <v>0</v>
      </c>
      <c r="W62" s="2"/>
      <c r="X62" s="6">
        <f t="shared" si="38"/>
        <v>-1811.98</v>
      </c>
      <c r="Y62" s="2"/>
      <c r="Z62" s="7">
        <f t="shared" si="39"/>
        <v>-0.89054352260049441</v>
      </c>
    </row>
    <row r="63" spans="1:26" s="23" customFormat="1" hidden="1" outlineLevel="2" x14ac:dyDescent="0.25">
      <c r="A63" s="27"/>
      <c r="B63" s="10" t="str">
        <f>CONCATENATE("          ", "6245", " - ", "PRINTING")</f>
        <v xml:space="preserve">          6245 - PRINTING</v>
      </c>
      <c r="C63" s="10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0"/>
      <c r="P63" s="6"/>
      <c r="Q63" s="2"/>
      <c r="R63" s="7">
        <f t="shared" si="36"/>
        <v>0</v>
      </c>
      <c r="S63" s="2"/>
      <c r="T63" s="6">
        <v>2203.66</v>
      </c>
      <c r="U63" s="2"/>
      <c r="V63" s="7">
        <f t="shared" si="37"/>
        <v>0</v>
      </c>
      <c r="W63" s="2"/>
      <c r="X63" s="6">
        <f t="shared" si="38"/>
        <v>-2203.66</v>
      </c>
      <c r="Y63" s="2"/>
      <c r="Z63" s="7">
        <f t="shared" si="39"/>
        <v>-1</v>
      </c>
    </row>
    <row r="64" spans="1:26" s="26" customFormat="1" outlineLevel="1" collapsed="1" x14ac:dyDescent="0.25">
      <c r="A64" s="25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344</v>
      </c>
      <c r="E64" s="1"/>
      <c r="F64" s="5">
        <f t="shared" ref="F64:F69" si="40">IF(D$12=0,0,D64/D$12)</f>
        <v>0</v>
      </c>
      <c r="G64" s="1"/>
      <c r="H64" s="1">
        <f>SUM(OSRRefH22_13x_0)</f>
        <v>323.39999999999998</v>
      </c>
      <c r="I64" s="1"/>
      <c r="J64" s="5">
        <f t="shared" ref="J64:J69" si="41">IF(H$12=0,0,H64/H$12)</f>
        <v>0</v>
      </c>
      <c r="K64" s="1"/>
      <c r="L64" s="1">
        <f t="shared" ref="L64:L69" si="42">+D64-H64</f>
        <v>20.600000000000023</v>
      </c>
      <c r="M64" s="1"/>
      <c r="N64" s="5">
        <f t="shared" ref="N64:N69" si="43">IF(H64=0,0,L64/H64)</f>
        <v>6.3698206555349482E-2</v>
      </c>
      <c r="O64" s="12"/>
      <c r="P64" s="1">
        <f>SUM(OSRRefP22_13x_0)</f>
        <v>3418.25</v>
      </c>
      <c r="Q64" s="1"/>
      <c r="R64" s="5">
        <f t="shared" ref="R64:R69" si="44">IF(P$12=0,0,P64/P$12)</f>
        <v>0</v>
      </c>
      <c r="S64" s="1"/>
      <c r="T64" s="1">
        <f>SUM(OSRRefT22_13x_0)</f>
        <v>3738.82</v>
      </c>
      <c r="U64" s="1"/>
      <c r="V64" s="5">
        <f t="shared" ref="V64:V69" si="45">IF(T$12=0,0,T64/T$12)</f>
        <v>0</v>
      </c>
      <c r="W64" s="1"/>
      <c r="X64" s="1">
        <f t="shared" ref="X64:X69" si="46">+P64-T64</f>
        <v>-320.57000000000016</v>
      </c>
      <c r="Y64" s="1"/>
      <c r="Z64" s="5">
        <f t="shared" ref="Z64:Z69" si="47">IF(T64=0,0,X64/T64)</f>
        <v>-8.5740955702601401E-2</v>
      </c>
    </row>
    <row r="65" spans="1:26" s="23" customFormat="1" hidden="1" outlineLevel="2" x14ac:dyDescent="0.25">
      <c r="A65" s="27"/>
      <c r="B65" s="10" t="str">
        <f>CONCATENATE("          ", "6309", " - ", "TELEPHONE")</f>
        <v xml:space="preserve">          6309 - TELEPHONE</v>
      </c>
      <c r="C65" s="10"/>
      <c r="D65" s="6">
        <v>344</v>
      </c>
      <c r="E65" s="2"/>
      <c r="F65" s="7">
        <f t="shared" si="40"/>
        <v>0</v>
      </c>
      <c r="G65" s="2"/>
      <c r="H65" s="6">
        <v>323.39999999999998</v>
      </c>
      <c r="I65" s="2"/>
      <c r="J65" s="7">
        <f t="shared" si="41"/>
        <v>0</v>
      </c>
      <c r="K65" s="2"/>
      <c r="L65" s="6">
        <f t="shared" si="42"/>
        <v>20.600000000000023</v>
      </c>
      <c r="M65" s="2"/>
      <c r="N65" s="7">
        <f t="shared" si="43"/>
        <v>6.3698206555349482E-2</v>
      </c>
      <c r="O65" s="10"/>
      <c r="P65" s="6">
        <v>3418.25</v>
      </c>
      <c r="Q65" s="2"/>
      <c r="R65" s="7">
        <f t="shared" si="44"/>
        <v>0</v>
      </c>
      <c r="S65" s="2"/>
      <c r="T65" s="6">
        <v>3738.82</v>
      </c>
      <c r="U65" s="2"/>
      <c r="V65" s="7">
        <f t="shared" si="45"/>
        <v>0</v>
      </c>
      <c r="W65" s="2"/>
      <c r="X65" s="6">
        <f t="shared" si="46"/>
        <v>-320.57000000000016</v>
      </c>
      <c r="Y65" s="2"/>
      <c r="Z65" s="7">
        <f t="shared" si="47"/>
        <v>-8.5740955702601401E-2</v>
      </c>
    </row>
    <row r="66" spans="1:26" s="26" customFormat="1" outlineLevel="1" collapsed="1" x14ac:dyDescent="0.25">
      <c r="A66" s="25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SUM(OSRRefD22_14x_0)</f>
        <v>0</v>
      </c>
      <c r="E66" s="1"/>
      <c r="F66" s="5">
        <f t="shared" si="40"/>
        <v>0</v>
      </c>
      <c r="G66" s="1"/>
      <c r="H66" s="1">
        <f>SUM(OSRRefH22_14x_0)</f>
        <v>-97</v>
      </c>
      <c r="I66" s="1"/>
      <c r="J66" s="5">
        <f t="shared" si="41"/>
        <v>0</v>
      </c>
      <c r="K66" s="1"/>
      <c r="L66" s="1">
        <f t="shared" si="42"/>
        <v>97</v>
      </c>
      <c r="M66" s="1"/>
      <c r="N66" s="5">
        <f t="shared" si="43"/>
        <v>-1</v>
      </c>
      <c r="O66" s="12"/>
      <c r="P66" s="1">
        <f>SUM(OSRRefP22_14x_0)</f>
        <v>-97</v>
      </c>
      <c r="Q66" s="1"/>
      <c r="R66" s="5">
        <f t="shared" si="44"/>
        <v>0</v>
      </c>
      <c r="S66" s="1"/>
      <c r="T66" s="1">
        <f>SUM(OSRRefT22_14x_0)</f>
        <v>10624.8</v>
      </c>
      <c r="U66" s="1"/>
      <c r="V66" s="5">
        <f t="shared" si="45"/>
        <v>0</v>
      </c>
      <c r="W66" s="1"/>
      <c r="X66" s="1">
        <f t="shared" si="46"/>
        <v>-10721.8</v>
      </c>
      <c r="Y66" s="1"/>
      <c r="Z66" s="5">
        <f t="shared" si="47"/>
        <v>-1.0091295836156915</v>
      </c>
    </row>
    <row r="67" spans="1:26" s="23" customFormat="1" hidden="1" outlineLevel="2" x14ac:dyDescent="0.25">
      <c r="A67" s="27"/>
      <c r="B67" s="10" t="str">
        <f>CONCATENATE("          ", "6376", " - ", "TRAINING")</f>
        <v xml:space="preserve">          6376 - TRAINING</v>
      </c>
      <c r="C67" s="10"/>
      <c r="D67" s="6"/>
      <c r="E67" s="2"/>
      <c r="F67" s="7">
        <f t="shared" si="40"/>
        <v>0</v>
      </c>
      <c r="G67" s="2"/>
      <c r="H67" s="6">
        <v>-97</v>
      </c>
      <c r="I67" s="2"/>
      <c r="J67" s="7">
        <f t="shared" si="41"/>
        <v>0</v>
      </c>
      <c r="K67" s="2"/>
      <c r="L67" s="6">
        <f t="shared" si="42"/>
        <v>97</v>
      </c>
      <c r="M67" s="2"/>
      <c r="N67" s="7">
        <f t="shared" si="43"/>
        <v>-1</v>
      </c>
      <c r="O67" s="10"/>
      <c r="P67" s="6">
        <v>-97</v>
      </c>
      <c r="Q67" s="2"/>
      <c r="R67" s="7">
        <f t="shared" si="44"/>
        <v>0</v>
      </c>
      <c r="S67" s="2"/>
      <c r="T67" s="6">
        <v>10624.8</v>
      </c>
      <c r="U67" s="2"/>
      <c r="V67" s="7">
        <f t="shared" si="45"/>
        <v>0</v>
      </c>
      <c r="W67" s="2"/>
      <c r="X67" s="6">
        <f t="shared" si="46"/>
        <v>-10721.8</v>
      </c>
      <c r="Y67" s="2"/>
      <c r="Z67" s="7">
        <f t="shared" si="47"/>
        <v>-1.0091295836156915</v>
      </c>
    </row>
    <row r="68" spans="1:26" s="26" customFormat="1" outlineLevel="1" collapsed="1" x14ac:dyDescent="0.25">
      <c r="A68" s="25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SUM(OSRRefD22_15x_0)</f>
        <v>0</v>
      </c>
      <c r="E68" s="1"/>
      <c r="F68" s="5">
        <f t="shared" si="40"/>
        <v>0</v>
      </c>
      <c r="G68" s="1"/>
      <c r="H68" s="1">
        <f>SUM(OSRRefH22_15x_0)</f>
        <v>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2"/>
      <c r="P68" s="1">
        <f>SUM(OSRRefP22_15x_0)</f>
        <v>720</v>
      </c>
      <c r="Q68" s="1"/>
      <c r="R68" s="5">
        <f t="shared" si="44"/>
        <v>0</v>
      </c>
      <c r="S68" s="1"/>
      <c r="T68" s="1">
        <f>SUM(OSRRefT22_15x_0)</f>
        <v>3487.01</v>
      </c>
      <c r="U68" s="1"/>
      <c r="V68" s="5">
        <f t="shared" si="45"/>
        <v>0</v>
      </c>
      <c r="W68" s="1"/>
      <c r="X68" s="1">
        <f t="shared" si="46"/>
        <v>-2767.01</v>
      </c>
      <c r="Y68" s="1"/>
      <c r="Z68" s="5">
        <f t="shared" si="47"/>
        <v>-0.79351937619909318</v>
      </c>
    </row>
    <row r="69" spans="1:26" s="23" customFormat="1" hidden="1" outlineLevel="2" x14ac:dyDescent="0.25">
      <c r="A69" s="27"/>
      <c r="B69" s="10" t="str">
        <f>CONCATENATE("          ", "6292", " - ", "TRAVEL/CONFERENCE")</f>
        <v xml:space="preserve">          6292 - TRAVEL/CONFERENCE</v>
      </c>
      <c r="C69" s="10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0"/>
      <c r="P69" s="6">
        <v>720</v>
      </c>
      <c r="Q69" s="2"/>
      <c r="R69" s="7">
        <f t="shared" si="44"/>
        <v>0</v>
      </c>
      <c r="S69" s="2"/>
      <c r="T69" s="6">
        <v>3487.01</v>
      </c>
      <c r="U69" s="2"/>
      <c r="V69" s="7">
        <f t="shared" si="45"/>
        <v>0</v>
      </c>
      <c r="W69" s="2"/>
      <c r="X69" s="6">
        <f t="shared" si="46"/>
        <v>-2767.01</v>
      </c>
      <c r="Y69" s="2"/>
      <c r="Z69" s="7">
        <f t="shared" si="47"/>
        <v>-0.79351937619909318</v>
      </c>
    </row>
    <row r="70" spans="1:26" s="57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4" customFormat="1" x14ac:dyDescent="0.25">
      <c r="A71" s="11"/>
      <c r="B71" s="29" t="s">
        <v>292</v>
      </c>
      <c r="C71" s="11"/>
      <c r="D71" s="4">
        <f>SUM(0)</f>
        <v>0</v>
      </c>
      <c r="E71" s="4"/>
      <c r="F71" s="13">
        <f>IF(D$12=0,0,D71/D$12)</f>
        <v>0</v>
      </c>
      <c r="G71" s="4"/>
      <c r="H71" s="4">
        <f>SUM(0)</f>
        <v>0</v>
      </c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1"/>
      <c r="P71" s="4">
        <f>SUM(0)</f>
        <v>0</v>
      </c>
      <c r="Q71" s="4"/>
      <c r="R71" s="13">
        <f>IF(P$12=0,0,P71/P$12)</f>
        <v>0</v>
      </c>
      <c r="S71" s="4"/>
      <c r="T71" s="4">
        <f>SUM(0)</f>
        <v>0</v>
      </c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11"/>
      <c r="B73" s="28" t="s">
        <v>276</v>
      </c>
      <c r="C73" s="28"/>
      <c r="D73" s="20">
        <f>+D16-D18+D71</f>
        <v>-44624.069999999992</v>
      </c>
      <c r="E73" s="14"/>
      <c r="F73" s="21">
        <f>IF(D$12=0,0,D73/D$12)</f>
        <v>0</v>
      </c>
      <c r="G73" s="14"/>
      <c r="H73" s="20">
        <f>+H16-H18+H71</f>
        <v>-46363.990000000005</v>
      </c>
      <c r="I73" s="14"/>
      <c r="J73" s="21">
        <f>IF(H$12=0,0,H73/H$12)</f>
        <v>0</v>
      </c>
      <c r="K73" s="15"/>
      <c r="L73" s="20">
        <f>+D73-H73</f>
        <v>1739.9200000000128</v>
      </c>
      <c r="M73" s="15"/>
      <c r="N73" s="21">
        <f>IF(H73=0,0,L73/H73)</f>
        <v>-3.7527400036105878E-2</v>
      </c>
      <c r="O73" s="29"/>
      <c r="P73" s="20">
        <f>+P16-P18+P71</f>
        <v>-494632.03000000009</v>
      </c>
      <c r="Q73" s="14"/>
      <c r="R73" s="21">
        <f>IF(P$12=0,0,P73/P$12)</f>
        <v>0</v>
      </c>
      <c r="S73" s="14"/>
      <c r="T73" s="20">
        <f>+T16-T18+T71</f>
        <v>-758327.4</v>
      </c>
      <c r="U73" s="14"/>
      <c r="V73" s="21">
        <f>IF(T$12=0,0,T73/T$12)</f>
        <v>0</v>
      </c>
      <c r="W73" s="15"/>
      <c r="X73" s="20">
        <f>+P73-T73</f>
        <v>263695.36999999994</v>
      </c>
      <c r="Y73" s="15"/>
      <c r="Z73" s="21">
        <f>IF(T73=0,0,X73/T73)</f>
        <v>-0.34773287896494304</v>
      </c>
    </row>
    <row r="74" spans="1:26" x14ac:dyDescent="0.25">
      <c r="A74" s="9"/>
      <c r="B74" s="11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51"/>
      <c r="B75" s="11" t="s">
        <v>127</v>
      </c>
      <c r="C75" s="11"/>
      <c r="D75" s="4"/>
      <c r="E75" s="4"/>
      <c r="F75" s="13">
        <f>IF(D$12=0,0,D75/D$12)</f>
        <v>0</v>
      </c>
      <c r="G75" s="4"/>
      <c r="H75" s="4"/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/>
      <c r="Q75" s="4"/>
      <c r="R75" s="13">
        <f>IF(P$12=0,0,P75/P$12)</f>
        <v>0</v>
      </c>
      <c r="S75" s="4"/>
      <c r="T75" s="4"/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8" t="s">
        <v>125</v>
      </c>
      <c r="C77" s="28"/>
      <c r="D77" s="35">
        <f>+D73-D75</f>
        <v>-44624.069999999992</v>
      </c>
      <c r="E77" s="14"/>
      <c r="F77" s="36">
        <f>IF(D$12=0,0,D77/D$12)</f>
        <v>0</v>
      </c>
      <c r="G77" s="14"/>
      <c r="H77" s="35">
        <f>+H73-H75</f>
        <v>-46363.990000000005</v>
      </c>
      <c r="I77" s="14"/>
      <c r="J77" s="36">
        <f>IF(H$12=0,0,H77/H$12)</f>
        <v>0</v>
      </c>
      <c r="K77" s="15"/>
      <c r="L77" s="35">
        <f>D77-H77</f>
        <v>1739.9200000000128</v>
      </c>
      <c r="M77" s="15"/>
      <c r="N77" s="36">
        <f>IF(H77=0,0,L77/H77)</f>
        <v>-3.7527400036105878E-2</v>
      </c>
      <c r="O77" s="29"/>
      <c r="P77" s="35">
        <f>+P73-P75</f>
        <v>-494632.03000000009</v>
      </c>
      <c r="Q77" s="14"/>
      <c r="R77" s="36">
        <f>IF(P$12=0,0,P77/P$12)</f>
        <v>0</v>
      </c>
      <c r="S77" s="14"/>
      <c r="T77" s="35">
        <f>+T73-T75</f>
        <v>-758327.4</v>
      </c>
      <c r="U77" s="14"/>
      <c r="V77" s="36">
        <f>IF(T$12=0,0,T77/T$12)</f>
        <v>0</v>
      </c>
      <c r="W77" s="15"/>
      <c r="X77" s="35">
        <f>P77-T77</f>
        <v>263695.36999999994</v>
      </c>
      <c r="Y77" s="15"/>
      <c r="Z77" s="36">
        <f>IF(T77=0,0,X77/T77)</f>
        <v>-0.34773287896494304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8" t="s">
        <v>293</v>
      </c>
      <c r="C80" s="28"/>
      <c r="D80" s="30">
        <f>SUM(D77:D79)</f>
        <v>-44624.069999999992</v>
      </c>
      <c r="E80" s="14"/>
      <c r="F80" s="31">
        <f>IF(D$12=0,0,D80/D$12)</f>
        <v>0</v>
      </c>
      <c r="G80" s="14"/>
      <c r="H80" s="30">
        <f>SUM(H77:H79)</f>
        <v>-46363.990000000005</v>
      </c>
      <c r="I80" s="14"/>
      <c r="J80" s="31">
        <f>IF(H$12=0,0,H80/H$12)</f>
        <v>0</v>
      </c>
      <c r="K80" s="15"/>
      <c r="L80" s="30">
        <f>+D80-H80</f>
        <v>1739.9200000000128</v>
      </c>
      <c r="M80" s="15"/>
      <c r="N80" s="31">
        <f>IF(H80=0,0,L80/H80)</f>
        <v>-3.7527400036105878E-2</v>
      </c>
      <c r="O80" s="29"/>
      <c r="P80" s="30">
        <f>SUM(P77:P79)</f>
        <v>-494632.03000000009</v>
      </c>
      <c r="Q80" s="14"/>
      <c r="R80" s="31">
        <f>IF(P$12=0,0,P80/P$12)</f>
        <v>0</v>
      </c>
      <c r="S80" s="14"/>
      <c r="T80" s="30">
        <f>SUM(T77:T79)</f>
        <v>-758327.4</v>
      </c>
      <c r="U80" s="14"/>
      <c r="V80" s="31">
        <f>IF(T$12=0,0,T80/T$12)</f>
        <v>0</v>
      </c>
      <c r="W80" s="15"/>
      <c r="X80" s="30">
        <f>+P80-T80</f>
        <v>263695.36999999994</v>
      </c>
      <c r="Y80" s="15"/>
      <c r="Z80" s="31">
        <f>IF(T80=0,0,X80/T80)</f>
        <v>-0.34773287896494304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>
        <v>44356.893348032405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2" t="s">
        <v>56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47434.39</v>
      </c>
      <c r="E18" s="22"/>
      <c r="F18" s="32">
        <f t="shared" ref="F18:F29" si="0">IF(D$12=0,0,D18/D$12)</f>
        <v>0</v>
      </c>
      <c r="G18" s="22"/>
      <c r="H18" s="22">
        <f>SUM(OSRRefH22x_0)</f>
        <v>45869.249999999985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1565.140000000014</v>
      </c>
      <c r="M18" s="4"/>
      <c r="N18" s="32">
        <f t="shared" ref="N18:N29" si="3">IF(H18=0,0,L18/H18)</f>
        <v>3.4121770031121379E-2</v>
      </c>
      <c r="O18" s="11"/>
      <c r="P18" s="22">
        <f>SUM(OSRRefP22x_0)</f>
        <v>556182.88000000012</v>
      </c>
      <c r="Q18" s="22"/>
      <c r="R18" s="32">
        <f t="shared" ref="R18:R29" si="4">IF(P$12=0,0,P18/P$12)</f>
        <v>0</v>
      </c>
      <c r="S18" s="22"/>
      <c r="T18" s="22">
        <f>SUM(OSRRefT22x_0)</f>
        <v>637097.9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-80915.019999999902</v>
      </c>
      <c r="Y18" s="4"/>
      <c r="Z18" s="32">
        <f t="shared" ref="Z18:Z29" si="7">IF(T18=0,0,X18/T18)</f>
        <v>-0.1270056297470136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10571.32</v>
      </c>
      <c r="E19" s="1"/>
      <c r="F19" s="5">
        <f t="shared" si="0"/>
        <v>0</v>
      </c>
      <c r="G19" s="1"/>
      <c r="H19" s="1">
        <f>SUM(OSRRefH22_0x_0)</f>
        <v>11851.73</v>
      </c>
      <c r="I19" s="1"/>
      <c r="J19" s="5">
        <f t="shared" si="1"/>
        <v>0</v>
      </c>
      <c r="K19" s="1"/>
      <c r="L19" s="1">
        <f t="shared" si="2"/>
        <v>-1280.4099999999999</v>
      </c>
      <c r="M19" s="1"/>
      <c r="N19" s="5">
        <f t="shared" si="3"/>
        <v>-0.1080357044920868</v>
      </c>
      <c r="O19" s="12"/>
      <c r="P19" s="1">
        <f>SUM(OSRRefP22_0x_0)</f>
        <v>131934.01</v>
      </c>
      <c r="Q19" s="1"/>
      <c r="R19" s="5">
        <f t="shared" si="4"/>
        <v>0</v>
      </c>
      <c r="S19" s="1"/>
      <c r="T19" s="1">
        <f>SUM(OSRRefT22_0x_0)</f>
        <v>141882.03999999998</v>
      </c>
      <c r="U19" s="1"/>
      <c r="V19" s="5">
        <f t="shared" si="5"/>
        <v>0</v>
      </c>
      <c r="W19" s="1"/>
      <c r="X19" s="1">
        <f t="shared" si="6"/>
        <v>-9948.0299999999697</v>
      </c>
      <c r="Y19" s="1"/>
      <c r="Z19" s="5">
        <f t="shared" si="7"/>
        <v>-7.0114793951369547E-2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1417.14</v>
      </c>
      <c r="E20" s="2"/>
      <c r="F20" s="7">
        <f t="shared" si="0"/>
        <v>0</v>
      </c>
      <c r="G20" s="2"/>
      <c r="H20" s="6">
        <v>1638.25</v>
      </c>
      <c r="I20" s="2"/>
      <c r="J20" s="7">
        <f t="shared" si="1"/>
        <v>0</v>
      </c>
      <c r="K20" s="2"/>
      <c r="L20" s="6">
        <f t="shared" si="2"/>
        <v>-221.1099999999999</v>
      </c>
      <c r="M20" s="2"/>
      <c r="N20" s="7">
        <f t="shared" si="3"/>
        <v>-0.13496719059972526</v>
      </c>
      <c r="O20" s="10"/>
      <c r="P20" s="6">
        <v>19093.45</v>
      </c>
      <c r="Q20" s="2"/>
      <c r="R20" s="7">
        <f t="shared" si="4"/>
        <v>0</v>
      </c>
      <c r="S20" s="2"/>
      <c r="T20" s="6">
        <v>22910.81</v>
      </c>
      <c r="U20" s="2"/>
      <c r="V20" s="7">
        <f t="shared" si="5"/>
        <v>0</v>
      </c>
      <c r="W20" s="2"/>
      <c r="X20" s="6">
        <f t="shared" si="6"/>
        <v>-3817.3600000000006</v>
      </c>
      <c r="Y20" s="2"/>
      <c r="Z20" s="7">
        <f t="shared" si="7"/>
        <v>-0.16661829066715669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92.07</v>
      </c>
      <c r="E21" s="2"/>
      <c r="F21" s="7">
        <f t="shared" si="0"/>
        <v>0</v>
      </c>
      <c r="G21" s="2"/>
      <c r="H21" s="6">
        <v>109.54</v>
      </c>
      <c r="I21" s="2"/>
      <c r="J21" s="7">
        <f t="shared" si="1"/>
        <v>0</v>
      </c>
      <c r="K21" s="2"/>
      <c r="L21" s="6">
        <f t="shared" si="2"/>
        <v>-17.470000000000013</v>
      </c>
      <c r="M21" s="2"/>
      <c r="N21" s="7">
        <f t="shared" si="3"/>
        <v>-0.15948511959101708</v>
      </c>
      <c r="O21" s="10"/>
      <c r="P21" s="6">
        <v>876.05</v>
      </c>
      <c r="Q21" s="2"/>
      <c r="R21" s="7">
        <f t="shared" si="4"/>
        <v>0</v>
      </c>
      <c r="S21" s="2"/>
      <c r="T21" s="6">
        <v>921.63</v>
      </c>
      <c r="U21" s="2"/>
      <c r="V21" s="7">
        <f t="shared" si="5"/>
        <v>0</v>
      </c>
      <c r="W21" s="2"/>
      <c r="X21" s="6">
        <f t="shared" si="6"/>
        <v>-45.580000000000041</v>
      </c>
      <c r="Y21" s="2"/>
      <c r="Z21" s="7">
        <f t="shared" si="7"/>
        <v>-4.9455855386651953E-2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0"/>
      <c r="P22" s="6">
        <v>57602.98</v>
      </c>
      <c r="Q22" s="2"/>
      <c r="R22" s="7">
        <f t="shared" si="4"/>
        <v>0</v>
      </c>
      <c r="S22" s="2"/>
      <c r="T22" s="6">
        <v>58815.13</v>
      </c>
      <c r="U22" s="2"/>
      <c r="V22" s="7">
        <f t="shared" si="5"/>
        <v>0</v>
      </c>
      <c r="W22" s="2"/>
      <c r="X22" s="6">
        <f t="shared" si="6"/>
        <v>-1212.1499999999942</v>
      </c>
      <c r="Y22" s="2"/>
      <c r="Z22" s="7">
        <f t="shared" si="7"/>
        <v>-2.0609492829481022E-2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72.540000000000006</v>
      </c>
      <c r="E23" s="2"/>
      <c r="F23" s="7">
        <f t="shared" si="0"/>
        <v>0</v>
      </c>
      <c r="G23" s="2"/>
      <c r="H23" s="6">
        <v>83.76</v>
      </c>
      <c r="I23" s="2"/>
      <c r="J23" s="7">
        <f t="shared" si="1"/>
        <v>0</v>
      </c>
      <c r="K23" s="2"/>
      <c r="L23" s="6">
        <f t="shared" si="2"/>
        <v>-11.219999999999999</v>
      </c>
      <c r="M23" s="2"/>
      <c r="N23" s="7">
        <f t="shared" si="3"/>
        <v>-0.13395415472779368</v>
      </c>
      <c r="O23" s="10"/>
      <c r="P23" s="6">
        <v>651.04</v>
      </c>
      <c r="Q23" s="2"/>
      <c r="R23" s="7">
        <f t="shared" si="4"/>
        <v>0</v>
      </c>
      <c r="S23" s="2"/>
      <c r="T23" s="6">
        <v>830.65</v>
      </c>
      <c r="U23" s="2"/>
      <c r="V23" s="7">
        <f t="shared" si="5"/>
        <v>0</v>
      </c>
      <c r="W23" s="2"/>
      <c r="X23" s="6">
        <f t="shared" si="6"/>
        <v>-179.61</v>
      </c>
      <c r="Y23" s="2"/>
      <c r="Z23" s="7">
        <f t="shared" si="7"/>
        <v>-0.21622825498103898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1861.21</v>
      </c>
      <c r="E24" s="2"/>
      <c r="F24" s="7">
        <f t="shared" si="0"/>
        <v>0</v>
      </c>
      <c r="G24" s="2"/>
      <c r="H24" s="6">
        <v>1716.08</v>
      </c>
      <c r="I24" s="2"/>
      <c r="J24" s="7">
        <f t="shared" si="1"/>
        <v>0</v>
      </c>
      <c r="K24" s="2"/>
      <c r="L24" s="6">
        <f t="shared" si="2"/>
        <v>145.13000000000011</v>
      </c>
      <c r="M24" s="2"/>
      <c r="N24" s="7">
        <f t="shared" si="3"/>
        <v>8.4570649386975033E-2</v>
      </c>
      <c r="O24" s="10"/>
      <c r="P24" s="6">
        <v>23789.74</v>
      </c>
      <c r="Q24" s="2"/>
      <c r="R24" s="7">
        <f t="shared" si="4"/>
        <v>0</v>
      </c>
      <c r="S24" s="2"/>
      <c r="T24" s="6">
        <v>18003.64</v>
      </c>
      <c r="U24" s="2"/>
      <c r="V24" s="7">
        <f t="shared" si="5"/>
        <v>0</v>
      </c>
      <c r="W24" s="2"/>
      <c r="X24" s="6">
        <f t="shared" si="6"/>
        <v>5786.1000000000022</v>
      </c>
      <c r="Y24" s="2"/>
      <c r="Z24" s="7">
        <f t="shared" si="7"/>
        <v>0.3213850088093298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134</v>
      </c>
      <c r="U25" s="2"/>
      <c r="V25" s="7">
        <f t="shared" si="5"/>
        <v>0</v>
      </c>
      <c r="W25" s="2"/>
      <c r="X25" s="6">
        <f t="shared" si="6"/>
        <v>-134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/>
      <c r="E26" s="2"/>
      <c r="F26" s="7">
        <f t="shared" si="0"/>
        <v>0</v>
      </c>
      <c r="G26" s="2"/>
      <c r="H26" s="6">
        <v>158.55000000000001</v>
      </c>
      <c r="I26" s="2"/>
      <c r="J26" s="7">
        <f t="shared" si="1"/>
        <v>0</v>
      </c>
      <c r="K26" s="2"/>
      <c r="L26" s="6">
        <f t="shared" si="2"/>
        <v>-158.55000000000001</v>
      </c>
      <c r="M26" s="2"/>
      <c r="N26" s="7">
        <f t="shared" si="3"/>
        <v>-1</v>
      </c>
      <c r="O26" s="10"/>
      <c r="P26" s="6">
        <v>912.28</v>
      </c>
      <c r="Q26" s="2"/>
      <c r="R26" s="7">
        <f t="shared" si="4"/>
        <v>0</v>
      </c>
      <c r="S26" s="2"/>
      <c r="T26" s="6">
        <v>4232.32</v>
      </c>
      <c r="U26" s="2"/>
      <c r="V26" s="7">
        <f t="shared" si="5"/>
        <v>0</v>
      </c>
      <c r="W26" s="2"/>
      <c r="X26" s="6">
        <f t="shared" si="6"/>
        <v>-3320.04</v>
      </c>
      <c r="Y26" s="2"/>
      <c r="Z26" s="7">
        <f t="shared" si="7"/>
        <v>-0.78444919098744903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1345.28</v>
      </c>
      <c r="E27" s="2"/>
      <c r="F27" s="7">
        <f t="shared" si="0"/>
        <v>0</v>
      </c>
      <c r="G27" s="2"/>
      <c r="H27" s="6">
        <v>1474.64</v>
      </c>
      <c r="I27" s="2"/>
      <c r="J27" s="7">
        <f t="shared" si="1"/>
        <v>0</v>
      </c>
      <c r="K27" s="2"/>
      <c r="L27" s="6">
        <f t="shared" si="2"/>
        <v>-129.36000000000013</v>
      </c>
      <c r="M27" s="2"/>
      <c r="N27" s="7">
        <f t="shared" si="3"/>
        <v>-8.7723105300276757E-2</v>
      </c>
      <c r="O27" s="10"/>
      <c r="P27" s="6">
        <v>16434.939999999999</v>
      </c>
      <c r="Q27" s="2"/>
      <c r="R27" s="7">
        <f t="shared" si="4"/>
        <v>0</v>
      </c>
      <c r="S27" s="2"/>
      <c r="T27" s="6">
        <v>18206.919999999998</v>
      </c>
      <c r="U27" s="2"/>
      <c r="V27" s="7">
        <f t="shared" si="5"/>
        <v>0</v>
      </c>
      <c r="W27" s="2"/>
      <c r="X27" s="6">
        <f t="shared" si="6"/>
        <v>-1771.9799999999996</v>
      </c>
      <c r="Y27" s="2"/>
      <c r="Z27" s="7">
        <f t="shared" si="7"/>
        <v>-9.7324533748706518E-2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844.06</v>
      </c>
      <c r="E28" s="2"/>
      <c r="F28" s="7">
        <f t="shared" si="0"/>
        <v>0</v>
      </c>
      <c r="G28" s="2"/>
      <c r="H28" s="6">
        <v>999.04</v>
      </c>
      <c r="I28" s="2"/>
      <c r="J28" s="7">
        <f t="shared" si="1"/>
        <v>0</v>
      </c>
      <c r="K28" s="2"/>
      <c r="L28" s="6">
        <f t="shared" si="2"/>
        <v>-154.98000000000002</v>
      </c>
      <c r="M28" s="2"/>
      <c r="N28" s="7">
        <f t="shared" si="3"/>
        <v>-0.15512892376681617</v>
      </c>
      <c r="O28" s="10"/>
      <c r="P28" s="6">
        <v>10903.62</v>
      </c>
      <c r="Q28" s="2"/>
      <c r="R28" s="7">
        <f t="shared" si="4"/>
        <v>0</v>
      </c>
      <c r="S28" s="2"/>
      <c r="T28" s="6">
        <v>12223.14</v>
      </c>
      <c r="U28" s="2"/>
      <c r="V28" s="7">
        <f t="shared" si="5"/>
        <v>0</v>
      </c>
      <c r="W28" s="2"/>
      <c r="X28" s="6">
        <f t="shared" si="6"/>
        <v>-1319.5199999999986</v>
      </c>
      <c r="Y28" s="2"/>
      <c r="Z28" s="7">
        <f t="shared" si="7"/>
        <v>-0.10795262101227661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>
        <v>94.5</v>
      </c>
      <c r="E29" s="2"/>
      <c r="F29" s="7">
        <f t="shared" si="0"/>
        <v>0</v>
      </c>
      <c r="G29" s="2"/>
      <c r="H29" s="6">
        <v>104</v>
      </c>
      <c r="I29" s="2"/>
      <c r="J29" s="7">
        <f t="shared" si="1"/>
        <v>0</v>
      </c>
      <c r="K29" s="2"/>
      <c r="L29" s="6">
        <f t="shared" si="2"/>
        <v>-9.5</v>
      </c>
      <c r="M29" s="2"/>
      <c r="N29" s="7">
        <f t="shared" si="3"/>
        <v>-9.1346153846153841E-2</v>
      </c>
      <c r="O29" s="10"/>
      <c r="P29" s="6">
        <v>1669.91</v>
      </c>
      <c r="Q29" s="2"/>
      <c r="R29" s="7">
        <f t="shared" si="4"/>
        <v>0</v>
      </c>
      <c r="S29" s="2"/>
      <c r="T29" s="6">
        <v>5603.8</v>
      </c>
      <c r="U29" s="2"/>
      <c r="V29" s="7">
        <f t="shared" si="5"/>
        <v>0</v>
      </c>
      <c r="W29" s="2"/>
      <c r="X29" s="6">
        <f t="shared" si="6"/>
        <v>-3933.8900000000003</v>
      </c>
      <c r="Y29" s="2"/>
      <c r="Z29" s="7">
        <f t="shared" si="7"/>
        <v>-0.70200399728755492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17243.78</v>
      </c>
      <c r="E30" s="1"/>
      <c r="F30" s="5">
        <f t="shared" ref="F30:F35" si="8">IF(D$12=0,0,D30/D$12)</f>
        <v>0</v>
      </c>
      <c r="G30" s="1"/>
      <c r="H30" s="1">
        <f>SUM(OSRRefH22_1x_0)</f>
        <v>15843.26</v>
      </c>
      <c r="I30" s="1"/>
      <c r="J30" s="5">
        <f t="shared" ref="J30:J35" si="9">IF(H$12=0,0,H30/H$12)</f>
        <v>0</v>
      </c>
      <c r="K30" s="1"/>
      <c r="L30" s="1">
        <f t="shared" ref="L30:L35" si="10">+D30-H30</f>
        <v>1400.5199999999986</v>
      </c>
      <c r="M30" s="1"/>
      <c r="N30" s="5">
        <f t="shared" ref="N30:N35" si="11">IF(H30=0,0,L30/H30)</f>
        <v>8.8398473546479617E-2</v>
      </c>
      <c r="O30" s="12"/>
      <c r="P30" s="1">
        <f>SUM(OSRRefP22_1x_0)</f>
        <v>218970.69999999998</v>
      </c>
      <c r="Q30" s="1"/>
      <c r="R30" s="5">
        <f t="shared" ref="R30:R35" si="12">IF(P$12=0,0,P30/P$12)</f>
        <v>0</v>
      </c>
      <c r="S30" s="1"/>
      <c r="T30" s="1">
        <f>SUM(OSRRefT22_1x_0)</f>
        <v>274980.48000000004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-56009.780000000057</v>
      </c>
      <c r="Y30" s="1"/>
      <c r="Z30" s="5">
        <f t="shared" ref="Z30:Z35" si="15">IF(T30=0,0,X30/T30)</f>
        <v>-0.20368638530269512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>
        <v>17243.78</v>
      </c>
      <c r="E31" s="2"/>
      <c r="F31" s="7">
        <f t="shared" si="8"/>
        <v>0</v>
      </c>
      <c r="G31" s="2"/>
      <c r="H31" s="6">
        <v>12840.26</v>
      </c>
      <c r="I31" s="2"/>
      <c r="J31" s="7">
        <f t="shared" si="9"/>
        <v>0</v>
      </c>
      <c r="K31" s="2"/>
      <c r="L31" s="6">
        <f t="shared" si="10"/>
        <v>4403.5199999999986</v>
      </c>
      <c r="M31" s="2"/>
      <c r="N31" s="7">
        <f t="shared" si="11"/>
        <v>0.34294632663201513</v>
      </c>
      <c r="O31" s="10"/>
      <c r="P31" s="6">
        <v>204757.46</v>
      </c>
      <c r="Q31" s="2"/>
      <c r="R31" s="7">
        <f t="shared" si="12"/>
        <v>0</v>
      </c>
      <c r="S31" s="2"/>
      <c r="T31" s="6">
        <v>145157.14000000001</v>
      </c>
      <c r="U31" s="2"/>
      <c r="V31" s="7">
        <f t="shared" si="13"/>
        <v>0</v>
      </c>
      <c r="W31" s="2"/>
      <c r="X31" s="6">
        <f t="shared" si="14"/>
        <v>59600.319999999978</v>
      </c>
      <c r="Y31" s="2"/>
      <c r="Z31" s="7">
        <f t="shared" si="15"/>
        <v>0.41059172149575263</v>
      </c>
    </row>
    <row r="32" spans="1:26" s="23" customFormat="1" hidden="1" outlineLevel="2" x14ac:dyDescent="0.25">
      <c r="A32" s="27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>
        <v>3003</v>
      </c>
      <c r="I32" s="2"/>
      <c r="J32" s="7">
        <f t="shared" si="9"/>
        <v>0</v>
      </c>
      <c r="K32" s="2"/>
      <c r="L32" s="6">
        <f t="shared" si="10"/>
        <v>-3003</v>
      </c>
      <c r="M32" s="2"/>
      <c r="N32" s="7">
        <f t="shared" si="11"/>
        <v>-1</v>
      </c>
      <c r="O32" s="10"/>
      <c r="P32" s="6">
        <v>14213.24</v>
      </c>
      <c r="Q32" s="2"/>
      <c r="R32" s="7">
        <f t="shared" si="12"/>
        <v>0</v>
      </c>
      <c r="S32" s="2"/>
      <c r="T32" s="6">
        <v>77259.600000000006</v>
      </c>
      <c r="U32" s="2"/>
      <c r="V32" s="7">
        <f t="shared" si="13"/>
        <v>0</v>
      </c>
      <c r="W32" s="2"/>
      <c r="X32" s="6">
        <f t="shared" si="14"/>
        <v>-63046.360000000008</v>
      </c>
      <c r="Y32" s="2"/>
      <c r="Z32" s="7">
        <f t="shared" si="15"/>
        <v>-0.81603270014341267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/>
      <c r="Q33" s="2"/>
      <c r="R33" s="7">
        <f t="shared" si="12"/>
        <v>0</v>
      </c>
      <c r="S33" s="2"/>
      <c r="T33" s="6">
        <v>23545.86</v>
      </c>
      <c r="U33" s="2"/>
      <c r="V33" s="7">
        <f t="shared" si="13"/>
        <v>0</v>
      </c>
      <c r="W33" s="2"/>
      <c r="X33" s="6">
        <f t="shared" si="14"/>
        <v>-23545.86</v>
      </c>
      <c r="Y33" s="2"/>
      <c r="Z33" s="7">
        <f t="shared" si="15"/>
        <v>-1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>
        <v>0</v>
      </c>
      <c r="Q34" s="2"/>
      <c r="R34" s="7">
        <f t="shared" si="12"/>
        <v>0</v>
      </c>
      <c r="S34" s="2"/>
      <c r="T34" s="6">
        <v>26497.88</v>
      </c>
      <c r="U34" s="2"/>
      <c r="V34" s="7">
        <f t="shared" si="13"/>
        <v>0</v>
      </c>
      <c r="W34" s="2"/>
      <c r="X34" s="6">
        <f t="shared" si="14"/>
        <v>-26497.88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2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4890.8100000000004</v>
      </c>
      <c r="E38" s="1"/>
      <c r="F38" s="5">
        <f t="shared" si="16"/>
        <v>0</v>
      </c>
      <c r="G38" s="1"/>
      <c r="H38" s="1">
        <f>SUM(OSRRefH22_3x_0)</f>
        <v>5462.14</v>
      </c>
      <c r="I38" s="1"/>
      <c r="J38" s="5">
        <f t="shared" si="17"/>
        <v>0</v>
      </c>
      <c r="K38" s="1"/>
      <c r="L38" s="1">
        <f t="shared" si="18"/>
        <v>-571.32999999999993</v>
      </c>
      <c r="M38" s="1"/>
      <c r="N38" s="5">
        <f t="shared" si="19"/>
        <v>-0.10459819777596324</v>
      </c>
      <c r="O38" s="12"/>
      <c r="P38" s="1">
        <f>SUM(OSRRefP22_3x_0)</f>
        <v>56401.61</v>
      </c>
      <c r="Q38" s="1"/>
      <c r="R38" s="5">
        <f t="shared" si="20"/>
        <v>0</v>
      </c>
      <c r="S38" s="1"/>
      <c r="T38" s="1">
        <f>SUM(OSRRefT22_3x_0)</f>
        <v>66863.490000000005</v>
      </c>
      <c r="U38" s="1"/>
      <c r="V38" s="5">
        <f t="shared" si="21"/>
        <v>0</v>
      </c>
      <c r="W38" s="1"/>
      <c r="X38" s="1">
        <f t="shared" si="22"/>
        <v>-10461.880000000005</v>
      </c>
      <c r="Y38" s="1"/>
      <c r="Z38" s="5">
        <f t="shared" si="23"/>
        <v>-0.15646625684659901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4890.8100000000004</v>
      </c>
      <c r="E39" s="2"/>
      <c r="F39" s="7">
        <f t="shared" si="16"/>
        <v>0</v>
      </c>
      <c r="G39" s="2"/>
      <c r="H39" s="6">
        <v>5462.14</v>
      </c>
      <c r="I39" s="2"/>
      <c r="J39" s="7">
        <f t="shared" si="17"/>
        <v>0</v>
      </c>
      <c r="K39" s="2"/>
      <c r="L39" s="6">
        <f t="shared" si="18"/>
        <v>-571.32999999999993</v>
      </c>
      <c r="M39" s="2"/>
      <c r="N39" s="7">
        <f t="shared" si="19"/>
        <v>-0.10459819777596324</v>
      </c>
      <c r="O39" s="10"/>
      <c r="P39" s="6">
        <v>56401.61</v>
      </c>
      <c r="Q39" s="2"/>
      <c r="R39" s="7">
        <f t="shared" si="20"/>
        <v>0</v>
      </c>
      <c r="S39" s="2"/>
      <c r="T39" s="6">
        <v>66863.490000000005</v>
      </c>
      <c r="U39" s="2"/>
      <c r="V39" s="7">
        <f t="shared" si="21"/>
        <v>0</v>
      </c>
      <c r="W39" s="2"/>
      <c r="X39" s="6">
        <f t="shared" si="22"/>
        <v>-10461.880000000005</v>
      </c>
      <c r="Y39" s="2"/>
      <c r="Z39" s="7">
        <f t="shared" si="23"/>
        <v>-0.15646625684659901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6" customFormat="1" outlineLevel="1" collapsed="1" x14ac:dyDescent="0.25">
      <c r="A42" s="25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619.74</v>
      </c>
      <c r="Q42" s="1"/>
      <c r="R42" s="5">
        <f t="shared" si="20"/>
        <v>0</v>
      </c>
      <c r="S42" s="1"/>
      <c r="T42" s="1">
        <f>SUM(OSRRefT22_5x_0)</f>
        <v>619.74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3" customFormat="1" hidden="1" outlineLevel="2" x14ac:dyDescent="0.25">
      <c r="A43" s="27"/>
      <c r="B43" s="10" t="str">
        <f>CONCATENATE("          ", "6314", " - ", "LIABILITY INSURANCE")</f>
        <v xml:space="preserve">          6314 - LIABILITY INSURANCE</v>
      </c>
      <c r="C43" s="10"/>
      <c r="D43" s="6">
        <v>56.34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619.74</v>
      </c>
      <c r="Q43" s="2"/>
      <c r="R43" s="7">
        <f t="shared" si="20"/>
        <v>0</v>
      </c>
      <c r="S43" s="2"/>
      <c r="T43" s="6">
        <v>619.74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13842</v>
      </c>
      <c r="E44" s="1"/>
      <c r="F44" s="5">
        <f t="shared" si="16"/>
        <v>0</v>
      </c>
      <c r="G44" s="1"/>
      <c r="H44" s="1">
        <f>SUM(OSRRefH22_6x_0)</f>
        <v>11662.95</v>
      </c>
      <c r="I44" s="1"/>
      <c r="J44" s="5">
        <f t="shared" si="17"/>
        <v>0</v>
      </c>
      <c r="K44" s="1"/>
      <c r="L44" s="1">
        <f t="shared" si="18"/>
        <v>2179.0499999999993</v>
      </c>
      <c r="M44" s="1"/>
      <c r="N44" s="5">
        <f t="shared" si="19"/>
        <v>0.18683523465332519</v>
      </c>
      <c r="O44" s="12"/>
      <c r="P44" s="1">
        <f>SUM(OSRRefP22_6x_0)</f>
        <v>141390.98000000001</v>
      </c>
      <c r="Q44" s="1"/>
      <c r="R44" s="5">
        <f t="shared" si="20"/>
        <v>0</v>
      </c>
      <c r="S44" s="1"/>
      <c r="T44" s="1">
        <f>SUM(OSRRefT22_6x_0)</f>
        <v>107724.67</v>
      </c>
      <c r="U44" s="1"/>
      <c r="V44" s="5">
        <f t="shared" si="21"/>
        <v>0</v>
      </c>
      <c r="W44" s="1"/>
      <c r="X44" s="1">
        <f t="shared" si="22"/>
        <v>33666.310000000012</v>
      </c>
      <c r="Y44" s="1"/>
      <c r="Z44" s="5">
        <f t="shared" si="23"/>
        <v>0.31252182067487433</v>
      </c>
    </row>
    <row r="45" spans="1:26" s="23" customFormat="1" hidden="1" outlineLevel="2" x14ac:dyDescent="0.25">
      <c r="A45" s="27"/>
      <c r="B45" s="10" t="str">
        <f>CONCATENATE("          ", "6371", " - ", "COMPUTER SOFTWARE MAINTENANCE")</f>
        <v xml:space="preserve">          6371 - COMPUTER SOFTWARE MAINTENANCE</v>
      </c>
      <c r="C45" s="10"/>
      <c r="D45" s="6">
        <v>1650</v>
      </c>
      <c r="E45" s="2"/>
      <c r="F45" s="7">
        <f t="shared" si="16"/>
        <v>0</v>
      </c>
      <c r="G45" s="2"/>
      <c r="H45" s="6">
        <v>2255.9499999999998</v>
      </c>
      <c r="I45" s="2"/>
      <c r="J45" s="7">
        <f t="shared" si="17"/>
        <v>0</v>
      </c>
      <c r="K45" s="2"/>
      <c r="L45" s="6">
        <f t="shared" si="18"/>
        <v>-605.94999999999982</v>
      </c>
      <c r="M45" s="2"/>
      <c r="N45" s="7">
        <f t="shared" si="19"/>
        <v>-0.26860081118819118</v>
      </c>
      <c r="O45" s="10"/>
      <c r="P45" s="6">
        <v>7713.98</v>
      </c>
      <c r="Q45" s="2"/>
      <c r="R45" s="7">
        <f t="shared" si="20"/>
        <v>0</v>
      </c>
      <c r="S45" s="2"/>
      <c r="T45" s="6">
        <v>3502.2</v>
      </c>
      <c r="U45" s="2"/>
      <c r="V45" s="7">
        <f t="shared" si="21"/>
        <v>0</v>
      </c>
      <c r="W45" s="2"/>
      <c r="X45" s="6">
        <f t="shared" si="22"/>
        <v>4211.78</v>
      </c>
      <c r="Y45" s="2"/>
      <c r="Z45" s="7">
        <f t="shared" si="23"/>
        <v>1.2026097881331734</v>
      </c>
    </row>
    <row r="46" spans="1:26" s="23" customFormat="1" hidden="1" outlineLevel="2" x14ac:dyDescent="0.25">
      <c r="A46" s="27"/>
      <c r="B46" s="10" t="str">
        <f>CONCATENATE("          ", "6373", " - ", "MAINTENANCE CONTRACTS")</f>
        <v xml:space="preserve">          6373 - MAINTENANCE CONTRACTS</v>
      </c>
      <c r="C46" s="10"/>
      <c r="D46" s="6">
        <v>12192</v>
      </c>
      <c r="E46" s="2"/>
      <c r="F46" s="7">
        <f t="shared" si="16"/>
        <v>0</v>
      </c>
      <c r="G46" s="2"/>
      <c r="H46" s="6">
        <v>9407</v>
      </c>
      <c r="I46" s="2"/>
      <c r="J46" s="7">
        <f t="shared" si="17"/>
        <v>0</v>
      </c>
      <c r="K46" s="2"/>
      <c r="L46" s="6">
        <f t="shared" si="18"/>
        <v>2785</v>
      </c>
      <c r="M46" s="2"/>
      <c r="N46" s="7">
        <f t="shared" si="19"/>
        <v>0.29605612841501011</v>
      </c>
      <c r="O46" s="10"/>
      <c r="P46" s="6">
        <v>133677</v>
      </c>
      <c r="Q46" s="2"/>
      <c r="R46" s="7">
        <f t="shared" si="20"/>
        <v>0</v>
      </c>
      <c r="S46" s="2"/>
      <c r="T46" s="6">
        <v>104064.07</v>
      </c>
      <c r="U46" s="2"/>
      <c r="V46" s="7">
        <f t="shared" si="21"/>
        <v>0</v>
      </c>
      <c r="W46" s="2"/>
      <c r="X46" s="6">
        <f t="shared" si="22"/>
        <v>29612.929999999993</v>
      </c>
      <c r="Y46" s="2"/>
      <c r="Z46" s="7">
        <f t="shared" si="23"/>
        <v>0.28456440344875988</v>
      </c>
    </row>
    <row r="47" spans="1:26" s="23" customFormat="1" hidden="1" outlineLevel="2" x14ac:dyDescent="0.25">
      <c r="A47" s="27"/>
      <c r="B47" s="10" t="str">
        <f>CONCATENATE("          ", "6375", " - ", "OUTSIDE REPAIRS &amp; MAINTENANCE")</f>
        <v xml:space="preserve">          6375 - OUTSIDE REPAIRS &amp; MAINTENANCE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6" customFormat="1" outlineLevel="1" collapsed="1" x14ac:dyDescent="0.25">
      <c r="A48" s="25"/>
      <c r="B48" s="12" t="str">
        <f>CONCATENATE("     ","Supplies                                          ")</f>
        <v xml:space="preserve">     Supplies                                          </v>
      </c>
      <c r="C48" s="12"/>
      <c r="D48" s="1">
        <f>SUM(OSRRefD22_7x_0)</f>
        <v>100</v>
      </c>
      <c r="E48" s="1"/>
      <c r="F48" s="5">
        <f t="shared" ref="F48:F52" si="24">IF(D$12=0,0,D48/D$12)</f>
        <v>0</v>
      </c>
      <c r="G48" s="1"/>
      <c r="H48" s="1">
        <f>SUM(OSRRefH22_7x_0)</f>
        <v>276.64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-176.64</v>
      </c>
      <c r="M48" s="1"/>
      <c r="N48" s="5">
        <f t="shared" ref="N48:N52" si="27">IF(H48=0,0,L48/H48)</f>
        <v>-0.63851937536148062</v>
      </c>
      <c r="O48" s="12"/>
      <c r="P48" s="1">
        <f>SUM(OSRRefP22_7x_0)</f>
        <v>-1628.07</v>
      </c>
      <c r="Q48" s="1"/>
      <c r="R48" s="5">
        <f t="shared" ref="R48:R52" si="28">IF(P$12=0,0,P48/P$12)</f>
        <v>0</v>
      </c>
      <c r="S48" s="1"/>
      <c r="T48" s="1">
        <f>SUM(OSRRefT22_7x_0)</f>
        <v>26123.45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-27751.52</v>
      </c>
      <c r="Y48" s="1"/>
      <c r="Z48" s="5">
        <f t="shared" ref="Z48:Z52" si="31">IF(T48=0,0,X48/T48)</f>
        <v>-1.0623221664826048</v>
      </c>
    </row>
    <row r="49" spans="1:26" s="23" customFormat="1" hidden="1" outlineLevel="2" x14ac:dyDescent="0.25">
      <c r="A49" s="27"/>
      <c r="B49" s="10" t="str">
        <f>CONCATENATE("          ", "6241", " - ", "OFFICE EXPENSE")</f>
        <v xml:space="preserve">          6241 - OFFICE EXPENSE</v>
      </c>
      <c r="C49" s="10"/>
      <c r="D49" s="6">
        <v>100</v>
      </c>
      <c r="E49" s="2"/>
      <c r="F49" s="7">
        <f t="shared" si="24"/>
        <v>0</v>
      </c>
      <c r="G49" s="2"/>
      <c r="H49" s="6">
        <v>276.64</v>
      </c>
      <c r="I49" s="2"/>
      <c r="J49" s="7">
        <f t="shared" si="25"/>
        <v>0</v>
      </c>
      <c r="K49" s="2"/>
      <c r="L49" s="6">
        <f t="shared" si="26"/>
        <v>-176.64</v>
      </c>
      <c r="M49" s="2"/>
      <c r="N49" s="7">
        <f t="shared" si="27"/>
        <v>-0.63851937536148062</v>
      </c>
      <c r="O49" s="10"/>
      <c r="P49" s="6">
        <v>-1628.07</v>
      </c>
      <c r="Q49" s="2"/>
      <c r="R49" s="7">
        <f t="shared" si="28"/>
        <v>0</v>
      </c>
      <c r="S49" s="2"/>
      <c r="T49" s="6">
        <v>26123.45</v>
      </c>
      <c r="U49" s="2"/>
      <c r="V49" s="7">
        <f t="shared" si="29"/>
        <v>0</v>
      </c>
      <c r="W49" s="2"/>
      <c r="X49" s="6">
        <f t="shared" si="30"/>
        <v>-27751.52</v>
      </c>
      <c r="Y49" s="2"/>
      <c r="Z49" s="7">
        <f t="shared" si="31"/>
        <v>-1.0623221664826048</v>
      </c>
    </row>
    <row r="50" spans="1:26" s="26" customFormat="1" outlineLevel="1" collapsed="1" x14ac:dyDescent="0.25">
      <c r="A50" s="25"/>
      <c r="B50" s="12" t="str">
        <f>CONCATENATE("     ","Telephone/Data Lines                              ")</f>
        <v xml:space="preserve">     Telephone/Data Lines                              </v>
      </c>
      <c r="C50" s="12"/>
      <c r="D50" s="1">
        <f>SUM(OSRRefD22_8x_0)</f>
        <v>730.14</v>
      </c>
      <c r="E50" s="1"/>
      <c r="F50" s="5">
        <f t="shared" si="24"/>
        <v>0</v>
      </c>
      <c r="G50" s="1"/>
      <c r="H50" s="1">
        <f>SUM(OSRRefH22_8x_0)</f>
        <v>716.19</v>
      </c>
      <c r="I50" s="1"/>
      <c r="J50" s="5">
        <f t="shared" si="25"/>
        <v>0</v>
      </c>
      <c r="K50" s="1"/>
      <c r="L50" s="1">
        <f t="shared" si="26"/>
        <v>13.949999999999932</v>
      </c>
      <c r="M50" s="1"/>
      <c r="N50" s="5">
        <f t="shared" si="27"/>
        <v>1.9478071461483587E-2</v>
      </c>
      <c r="O50" s="12"/>
      <c r="P50" s="1">
        <f>SUM(OSRRefP22_8x_0)</f>
        <v>7990.2099999999991</v>
      </c>
      <c r="Q50" s="1"/>
      <c r="R50" s="5">
        <f t="shared" si="28"/>
        <v>0</v>
      </c>
      <c r="S50" s="1"/>
      <c r="T50" s="1">
        <f>SUM(OSRRefT22_8x_0)</f>
        <v>13164.98</v>
      </c>
      <c r="U50" s="1"/>
      <c r="V50" s="5">
        <f t="shared" si="29"/>
        <v>0</v>
      </c>
      <c r="W50" s="1"/>
      <c r="X50" s="1">
        <f t="shared" si="30"/>
        <v>-5174.7700000000004</v>
      </c>
      <c r="Y50" s="1"/>
      <c r="Z50" s="5">
        <f t="shared" si="31"/>
        <v>-0.39307085920373602</v>
      </c>
    </row>
    <row r="51" spans="1:26" s="23" customFormat="1" hidden="1" outlineLevel="2" x14ac:dyDescent="0.25">
      <c r="A51" s="27"/>
      <c r="B51" s="10" t="str">
        <f>CONCATENATE("          ", "6303", " - ", "DATA PHONE LINES")</f>
        <v xml:space="preserve">          6303 - DATA PHONE LINES</v>
      </c>
      <c r="C51" s="10"/>
      <c r="D51" s="6">
        <v>81.99</v>
      </c>
      <c r="E51" s="2"/>
      <c r="F51" s="7">
        <f t="shared" si="24"/>
        <v>0</v>
      </c>
      <c r="G51" s="2"/>
      <c r="H51" s="6">
        <v>78.989999999999995</v>
      </c>
      <c r="I51" s="2"/>
      <c r="J51" s="7">
        <f t="shared" si="25"/>
        <v>0</v>
      </c>
      <c r="K51" s="2"/>
      <c r="L51" s="6">
        <f t="shared" si="26"/>
        <v>3</v>
      </c>
      <c r="M51" s="2"/>
      <c r="N51" s="7">
        <f t="shared" si="27"/>
        <v>3.7979491074819599E-2</v>
      </c>
      <c r="O51" s="10"/>
      <c r="P51" s="6">
        <v>1485.81</v>
      </c>
      <c r="Q51" s="2"/>
      <c r="R51" s="7">
        <f t="shared" si="28"/>
        <v>0</v>
      </c>
      <c r="S51" s="2"/>
      <c r="T51" s="6">
        <v>1680.98</v>
      </c>
      <c r="U51" s="2"/>
      <c r="V51" s="7">
        <f t="shared" si="29"/>
        <v>0</v>
      </c>
      <c r="W51" s="2"/>
      <c r="X51" s="6">
        <f t="shared" si="30"/>
        <v>-195.17000000000007</v>
      </c>
      <c r="Y51" s="2"/>
      <c r="Z51" s="7">
        <f t="shared" si="31"/>
        <v>-0.11610489119442234</v>
      </c>
    </row>
    <row r="52" spans="1:26" s="23" customFormat="1" hidden="1" outlineLevel="2" x14ac:dyDescent="0.25">
      <c r="A52" s="27"/>
      <c r="B52" s="10" t="str">
        <f>CONCATENATE("          ", "6309", " - ", "TELEPHONE")</f>
        <v xml:space="preserve">          6309 - TELEPHONE</v>
      </c>
      <c r="C52" s="10"/>
      <c r="D52" s="6">
        <v>648.15</v>
      </c>
      <c r="E52" s="2"/>
      <c r="F52" s="7">
        <f t="shared" si="24"/>
        <v>0</v>
      </c>
      <c r="G52" s="2"/>
      <c r="H52" s="6">
        <v>637.20000000000005</v>
      </c>
      <c r="I52" s="2"/>
      <c r="J52" s="7">
        <f t="shared" si="25"/>
        <v>0</v>
      </c>
      <c r="K52" s="2"/>
      <c r="L52" s="6">
        <f t="shared" si="26"/>
        <v>10.949999999999932</v>
      </c>
      <c r="M52" s="2"/>
      <c r="N52" s="7">
        <f t="shared" si="27"/>
        <v>1.7184557438794618E-2</v>
      </c>
      <c r="O52" s="10"/>
      <c r="P52" s="6">
        <v>6504.4</v>
      </c>
      <c r="Q52" s="2"/>
      <c r="R52" s="7">
        <f t="shared" si="28"/>
        <v>0</v>
      </c>
      <c r="S52" s="2"/>
      <c r="T52" s="6">
        <v>11484</v>
      </c>
      <c r="U52" s="2"/>
      <c r="V52" s="7">
        <f t="shared" si="29"/>
        <v>0</v>
      </c>
      <c r="W52" s="2"/>
      <c r="X52" s="6">
        <f t="shared" si="30"/>
        <v>-4979.6000000000004</v>
      </c>
      <c r="Y52" s="2"/>
      <c r="Z52" s="7">
        <f t="shared" si="31"/>
        <v>-0.433611981887844</v>
      </c>
    </row>
    <row r="53" spans="1:26" s="26" customFormat="1" outlineLevel="1" collapsed="1" x14ac:dyDescent="0.25">
      <c r="A53" s="25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ref="F53:F57" si="32">IF(D$12=0,0,D53/D$12)</f>
        <v>0</v>
      </c>
      <c r="G53" s="1"/>
      <c r="H53" s="1">
        <f>SUM(OSRRefH22_9x_0)</f>
        <v>0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0</v>
      </c>
      <c r="M53" s="1"/>
      <c r="N53" s="5">
        <f t="shared" ref="N53:N57" si="35">IF(H53=0,0,L53/H53)</f>
        <v>0</v>
      </c>
      <c r="O53" s="12"/>
      <c r="P53" s="1">
        <f>SUM(OSRRefP22_9x_0)</f>
        <v>498</v>
      </c>
      <c r="Q53" s="1"/>
      <c r="R53" s="5">
        <f t="shared" ref="R53:R57" si="36">IF(P$12=0,0,P53/P$12)</f>
        <v>0</v>
      </c>
      <c r="S53" s="1"/>
      <c r="T53" s="1">
        <f>SUM(OSRRefT22_9x_0)</f>
        <v>4345.8500000000004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-3847.8500000000004</v>
      </c>
      <c r="Y53" s="1"/>
      <c r="Z53" s="5">
        <f t="shared" ref="Z53:Z57" si="39">IF(T53=0,0,X53/T53)</f>
        <v>-0.885407917898685</v>
      </c>
    </row>
    <row r="54" spans="1:26" s="23" customFormat="1" hidden="1" outlineLevel="2" x14ac:dyDescent="0.25">
      <c r="A54" s="27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0"/>
      <c r="P54" s="6">
        <v>498</v>
      </c>
      <c r="Q54" s="2"/>
      <c r="R54" s="7">
        <f t="shared" si="36"/>
        <v>0</v>
      </c>
      <c r="S54" s="2"/>
      <c r="T54" s="6">
        <v>4345.8500000000004</v>
      </c>
      <c r="U54" s="2"/>
      <c r="V54" s="7">
        <f t="shared" si="37"/>
        <v>0</v>
      </c>
      <c r="W54" s="2"/>
      <c r="X54" s="6">
        <f t="shared" si="38"/>
        <v>-3847.8500000000004</v>
      </c>
      <c r="Y54" s="2"/>
      <c r="Z54" s="7">
        <f t="shared" si="39"/>
        <v>-0.885407917898685</v>
      </c>
    </row>
    <row r="55" spans="1:26" s="26" customFormat="1" outlineLevel="1" collapsed="1" x14ac:dyDescent="0.25">
      <c r="A55" s="25"/>
      <c r="B55" s="12" t="str">
        <f>CONCATENATE("     ","Travel                                            ")</f>
        <v xml:space="preserve">     Travel                                            </v>
      </c>
      <c r="C55" s="12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3" customFormat="1" hidden="1" outlineLevel="2" x14ac:dyDescent="0.25">
      <c r="A56" s="27"/>
      <c r="B56" s="10" t="str">
        <f>CONCATENATE("          ", "6292", " - ", "TRAVEL/CONFERENCE")</f>
        <v xml:space="preserve">          6292 - TRAVEL/CONFERENCE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3" customFormat="1" hidden="1" outlineLevel="2" x14ac:dyDescent="0.25">
      <c r="A57" s="27"/>
      <c r="B57" s="10" t="str">
        <f>CONCATENATE("          ", "6294", " - ", "TRAVEL OPERATIONAL")</f>
        <v xml:space="preserve">          6294 - TRAVEL OPERATIONAL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57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292</v>
      </c>
      <c r="C59" s="11"/>
      <c r="D59" s="4">
        <f>SUM(0)</f>
        <v>0</v>
      </c>
      <c r="E59" s="4"/>
      <c r="F59" s="13">
        <f>IF(D$12=0,0,D59/D$12)</f>
        <v>0</v>
      </c>
      <c r="G59" s="4"/>
      <c r="H59" s="4">
        <f>SUM(0)</f>
        <v>0</v>
      </c>
      <c r="I59" s="4"/>
      <c r="J59" s="13">
        <f>IF(H$12=0,0,H59/H$12)</f>
        <v>0</v>
      </c>
      <c r="K59" s="4"/>
      <c r="L59" s="4">
        <f>+D59-H59</f>
        <v>0</v>
      </c>
      <c r="M59" s="4"/>
      <c r="N59" s="13">
        <f>IF(H59=0,0,L59/H59)</f>
        <v>0</v>
      </c>
      <c r="O59" s="11"/>
      <c r="P59" s="4">
        <f>SUM(0)</f>
        <v>0</v>
      </c>
      <c r="Q59" s="4"/>
      <c r="R59" s="13">
        <f>IF(P$12=0,0,P59/P$12)</f>
        <v>0</v>
      </c>
      <c r="S59" s="4"/>
      <c r="T59" s="4">
        <f>SUM(0)</f>
        <v>0</v>
      </c>
      <c r="U59" s="4"/>
      <c r="V59" s="13">
        <f>IF(T$12=0,0,T59/T$12)</f>
        <v>0</v>
      </c>
      <c r="W59" s="4"/>
      <c r="X59" s="4">
        <f>+P59-T59</f>
        <v>0</v>
      </c>
      <c r="Y59" s="4"/>
      <c r="Z59" s="13">
        <f>IF(T59=0,0,X59/T59)</f>
        <v>0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8" t="s">
        <v>276</v>
      </c>
      <c r="C61" s="28"/>
      <c r="D61" s="20">
        <f>+D16-D18+D59</f>
        <v>-47434.39</v>
      </c>
      <c r="E61" s="14"/>
      <c r="F61" s="21">
        <f>IF(D$12=0,0,D61/D$12)</f>
        <v>0</v>
      </c>
      <c r="G61" s="14"/>
      <c r="H61" s="20">
        <f>+H16-H18+H59</f>
        <v>-45869.249999999985</v>
      </c>
      <c r="I61" s="14"/>
      <c r="J61" s="21">
        <f>IF(H$12=0,0,H61/H$12)</f>
        <v>0</v>
      </c>
      <c r="K61" s="15"/>
      <c r="L61" s="20">
        <f>+D61-H61</f>
        <v>-1565.140000000014</v>
      </c>
      <c r="M61" s="15"/>
      <c r="N61" s="21">
        <f>IF(H61=0,0,L61/H61)</f>
        <v>3.4121770031121379E-2</v>
      </c>
      <c r="O61" s="29"/>
      <c r="P61" s="20">
        <f>+P16-P18+P59</f>
        <v>-556182.88000000012</v>
      </c>
      <c r="Q61" s="14"/>
      <c r="R61" s="21">
        <f>IF(P$12=0,0,P61/P$12)</f>
        <v>0</v>
      </c>
      <c r="S61" s="14"/>
      <c r="T61" s="20">
        <f>+T16-T18+T59</f>
        <v>-637097.9</v>
      </c>
      <c r="U61" s="14"/>
      <c r="V61" s="21">
        <f>IF(T$12=0,0,T61/T$12)</f>
        <v>0</v>
      </c>
      <c r="W61" s="15"/>
      <c r="X61" s="20">
        <f>+P61-T61</f>
        <v>80915.019999999902</v>
      </c>
      <c r="Y61" s="15"/>
      <c r="Z61" s="21">
        <f>IF(T61=0,0,X61/T61)</f>
        <v>-0.1270056297470136</v>
      </c>
    </row>
    <row r="62" spans="1:26" x14ac:dyDescent="0.25">
      <c r="A62" s="9"/>
      <c r="B62" s="11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51"/>
      <c r="B63" s="11" t="s">
        <v>127</v>
      </c>
      <c r="C63" s="11"/>
      <c r="D63" s="4"/>
      <c r="E63" s="4"/>
      <c r="F63" s="13">
        <f>IF(D$12=0,0,D63/D$12)</f>
        <v>0</v>
      </c>
      <c r="G63" s="4"/>
      <c r="H63" s="4"/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1"/>
      <c r="P63" s="4"/>
      <c r="Q63" s="4"/>
      <c r="R63" s="13">
        <f>IF(P$12=0,0,P63/P$12)</f>
        <v>0</v>
      </c>
      <c r="S63" s="4"/>
      <c r="T63" s="4"/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8" t="s">
        <v>125</v>
      </c>
      <c r="C65" s="28"/>
      <c r="D65" s="35">
        <f>+D61-D63</f>
        <v>-47434.39</v>
      </c>
      <c r="E65" s="14"/>
      <c r="F65" s="36">
        <f>IF(D$12=0,0,D65/D$12)</f>
        <v>0</v>
      </c>
      <c r="G65" s="14"/>
      <c r="H65" s="35">
        <f>+H61-H63</f>
        <v>-45869.249999999985</v>
      </c>
      <c r="I65" s="14"/>
      <c r="J65" s="36">
        <f>IF(H$12=0,0,H65/H$12)</f>
        <v>0</v>
      </c>
      <c r="K65" s="15"/>
      <c r="L65" s="35">
        <f>D65-H65</f>
        <v>-1565.140000000014</v>
      </c>
      <c r="M65" s="15"/>
      <c r="N65" s="36">
        <f>IF(H65=0,0,L65/H65)</f>
        <v>3.4121770031121379E-2</v>
      </c>
      <c r="O65" s="29"/>
      <c r="P65" s="35">
        <f>+P61-P63</f>
        <v>-556182.88000000012</v>
      </c>
      <c r="Q65" s="14"/>
      <c r="R65" s="36">
        <f>IF(P$12=0,0,P65/P$12)</f>
        <v>0</v>
      </c>
      <c r="S65" s="14"/>
      <c r="T65" s="35">
        <f>+T61-T63</f>
        <v>-637097.9</v>
      </c>
      <c r="U65" s="14"/>
      <c r="V65" s="36">
        <f>IF(T$12=0,0,T65/T$12)</f>
        <v>0</v>
      </c>
      <c r="W65" s="15"/>
      <c r="X65" s="35">
        <f>P65-T65</f>
        <v>80915.019999999902</v>
      </c>
      <c r="Y65" s="15"/>
      <c r="Z65" s="36">
        <f>IF(T65=0,0,X65/T65)</f>
        <v>-0.1270056297470136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ht="15.75" thickBot="1" x14ac:dyDescent="0.3">
      <c r="A68" s="11"/>
      <c r="B68" s="28" t="s">
        <v>293</v>
      </c>
      <c r="C68" s="28"/>
      <c r="D68" s="30">
        <f>SUM(D65:D67)</f>
        <v>-47434.39</v>
      </c>
      <c r="E68" s="14"/>
      <c r="F68" s="31">
        <f>IF(D$12=0,0,D68/D$12)</f>
        <v>0</v>
      </c>
      <c r="G68" s="14"/>
      <c r="H68" s="30">
        <f>SUM(H65:H67)</f>
        <v>-45869.249999999985</v>
      </c>
      <c r="I68" s="14"/>
      <c r="J68" s="31">
        <f>IF(H$12=0,0,H68/H$12)</f>
        <v>0</v>
      </c>
      <c r="K68" s="15"/>
      <c r="L68" s="30">
        <f>+D68-H68</f>
        <v>-1565.140000000014</v>
      </c>
      <c r="M68" s="15"/>
      <c r="N68" s="31">
        <f>IF(H68=0,0,L68/H68)</f>
        <v>3.4121770031121379E-2</v>
      </c>
      <c r="O68" s="29"/>
      <c r="P68" s="30">
        <f>SUM(P65:P67)</f>
        <v>-556182.88000000012</v>
      </c>
      <c r="Q68" s="14"/>
      <c r="R68" s="31">
        <f>IF(P$12=0,0,P68/P$12)</f>
        <v>0</v>
      </c>
      <c r="S68" s="14"/>
      <c r="T68" s="30">
        <f>SUM(T65:T67)</f>
        <v>-637097.9</v>
      </c>
      <c r="U68" s="14"/>
      <c r="V68" s="31">
        <f>IF(T$12=0,0,T68/T$12)</f>
        <v>0</v>
      </c>
      <c r="W68" s="15"/>
      <c r="X68" s="30">
        <f>+P68-T68</f>
        <v>80915.019999999902</v>
      </c>
      <c r="Y68" s="15"/>
      <c r="Z68" s="31">
        <f>IF(T68=0,0,X68/T68)</f>
        <v>-0.1270056297470136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9">
        <v>44356.893348032405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2" t="s">
        <v>56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4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12938.990000000002</v>
      </c>
      <c r="E18" s="22"/>
      <c r="F18" s="32">
        <f t="shared" ref="F18:F27" si="0">IF(D$12=0,0,D18/D$12)</f>
        <v>0</v>
      </c>
      <c r="G18" s="22"/>
      <c r="H18" s="22">
        <f>SUM(OSRRefH22x_0)</f>
        <v>3332.2499999999995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9606.7400000000016</v>
      </c>
      <c r="M18" s="4"/>
      <c r="N18" s="32">
        <f t="shared" ref="N18:N27" si="3">IF(H18=0,0,L18/H18)</f>
        <v>2.8829589616625411</v>
      </c>
      <c r="O18" s="11"/>
      <c r="P18" s="22">
        <f>SUM(OSRRefP22x_0)</f>
        <v>91512.839999999982</v>
      </c>
      <c r="Q18" s="22"/>
      <c r="R18" s="32">
        <f t="shared" ref="R18:R27" si="4">IF(P$12=0,0,P18/P$12)</f>
        <v>0</v>
      </c>
      <c r="S18" s="22"/>
      <c r="T18" s="22">
        <f>SUM(OSRRefT22x_0)</f>
        <v>84171.829999999987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7341.0099999999948</v>
      </c>
      <c r="Y18" s="4"/>
      <c r="Z18" s="32">
        <f t="shared" ref="Z18:Z27" si="7">IF(T18=0,0,X18/T18)</f>
        <v>8.7214570480408898E-2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2704.14</v>
      </c>
      <c r="E19" s="1"/>
      <c r="F19" s="5">
        <f t="shared" si="0"/>
        <v>0</v>
      </c>
      <c r="G19" s="1"/>
      <c r="H19" s="1">
        <f>SUM(OSRRefH22_0x_0)</f>
        <v>2098.7199999999998</v>
      </c>
      <c r="I19" s="1"/>
      <c r="J19" s="5">
        <f t="shared" si="1"/>
        <v>0</v>
      </c>
      <c r="K19" s="1"/>
      <c r="L19" s="1">
        <f t="shared" si="2"/>
        <v>605.42000000000007</v>
      </c>
      <c r="M19" s="1"/>
      <c r="N19" s="5">
        <f t="shared" si="3"/>
        <v>0.28847106807959144</v>
      </c>
      <c r="O19" s="12"/>
      <c r="P19" s="1">
        <f>SUM(OSRRefP22_0x_0)</f>
        <v>28155.78</v>
      </c>
      <c r="Q19" s="1"/>
      <c r="R19" s="5">
        <f t="shared" si="4"/>
        <v>0</v>
      </c>
      <c r="S19" s="1"/>
      <c r="T19" s="1">
        <f>SUM(OSRRefT22_0x_0)</f>
        <v>28633.19</v>
      </c>
      <c r="U19" s="1"/>
      <c r="V19" s="5">
        <f t="shared" si="5"/>
        <v>0</v>
      </c>
      <c r="W19" s="1"/>
      <c r="X19" s="1">
        <f t="shared" si="6"/>
        <v>-477.40999999999985</v>
      </c>
      <c r="Y19" s="1"/>
      <c r="Z19" s="5">
        <f t="shared" si="7"/>
        <v>-1.6673308143451703E-2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325.31</v>
      </c>
      <c r="E20" s="2"/>
      <c r="F20" s="7">
        <f t="shared" si="0"/>
        <v>0</v>
      </c>
      <c r="G20" s="2"/>
      <c r="H20" s="6">
        <v>315.83999999999997</v>
      </c>
      <c r="I20" s="2"/>
      <c r="J20" s="7">
        <f t="shared" si="1"/>
        <v>0</v>
      </c>
      <c r="K20" s="2"/>
      <c r="L20" s="6">
        <f t="shared" si="2"/>
        <v>9.4700000000000273</v>
      </c>
      <c r="M20" s="2"/>
      <c r="N20" s="7">
        <f t="shared" si="3"/>
        <v>2.998353596757861E-2</v>
      </c>
      <c r="O20" s="10"/>
      <c r="P20" s="6">
        <v>3839.5</v>
      </c>
      <c r="Q20" s="2"/>
      <c r="R20" s="7">
        <f t="shared" si="4"/>
        <v>0</v>
      </c>
      <c r="S20" s="2"/>
      <c r="T20" s="6">
        <v>3881.72</v>
      </c>
      <c r="U20" s="2"/>
      <c r="V20" s="7">
        <f t="shared" si="5"/>
        <v>0</v>
      </c>
      <c r="W20" s="2"/>
      <c r="X20" s="6">
        <f t="shared" si="6"/>
        <v>-42.2199999999998</v>
      </c>
      <c r="Y20" s="2"/>
      <c r="Z20" s="7">
        <f t="shared" si="7"/>
        <v>-1.0876621703780747E-2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442.37</v>
      </c>
      <c r="E21" s="2"/>
      <c r="F21" s="7">
        <f t="shared" si="0"/>
        <v>0</v>
      </c>
      <c r="G21" s="2"/>
      <c r="H21" s="6">
        <v>419.29</v>
      </c>
      <c r="I21" s="2"/>
      <c r="J21" s="7">
        <f t="shared" si="1"/>
        <v>0</v>
      </c>
      <c r="K21" s="2"/>
      <c r="L21" s="6">
        <f t="shared" si="2"/>
        <v>23.079999999999984</v>
      </c>
      <c r="M21" s="2"/>
      <c r="N21" s="7">
        <f t="shared" si="3"/>
        <v>5.5045433947864209E-2</v>
      </c>
      <c r="O21" s="10"/>
      <c r="P21" s="6">
        <v>3475.92</v>
      </c>
      <c r="Q21" s="2"/>
      <c r="R21" s="7">
        <f t="shared" si="4"/>
        <v>0</v>
      </c>
      <c r="S21" s="2"/>
      <c r="T21" s="6">
        <v>3071.26</v>
      </c>
      <c r="U21" s="2"/>
      <c r="V21" s="7">
        <f t="shared" si="5"/>
        <v>0</v>
      </c>
      <c r="W21" s="2"/>
      <c r="X21" s="6">
        <f t="shared" si="6"/>
        <v>404.65999999999985</v>
      </c>
      <c r="Y21" s="2"/>
      <c r="Z21" s="7">
        <f t="shared" si="7"/>
        <v>0.13175699875621075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0"/>
      <c r="P22" s="6">
        <v>7676.51</v>
      </c>
      <c r="Q22" s="2"/>
      <c r="R22" s="7">
        <f t="shared" si="4"/>
        <v>0</v>
      </c>
      <c r="S22" s="2"/>
      <c r="T22" s="6">
        <v>7651.64</v>
      </c>
      <c r="U22" s="2"/>
      <c r="V22" s="7">
        <f t="shared" si="5"/>
        <v>0</v>
      </c>
      <c r="W22" s="2"/>
      <c r="X22" s="6">
        <f t="shared" si="6"/>
        <v>24.869999999999891</v>
      </c>
      <c r="Y22" s="2"/>
      <c r="Z22" s="7">
        <f t="shared" si="7"/>
        <v>3.2502835993329393E-3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16.600000000000001</v>
      </c>
      <c r="E23" s="2"/>
      <c r="F23" s="7">
        <f t="shared" si="0"/>
        <v>0</v>
      </c>
      <c r="G23" s="2"/>
      <c r="H23" s="6">
        <v>16.100000000000001</v>
      </c>
      <c r="I23" s="2"/>
      <c r="J23" s="7">
        <f t="shared" si="1"/>
        <v>0</v>
      </c>
      <c r="K23" s="2"/>
      <c r="L23" s="6">
        <f t="shared" si="2"/>
        <v>0.5</v>
      </c>
      <c r="M23" s="2"/>
      <c r="N23" s="7">
        <f t="shared" si="3"/>
        <v>3.1055900621118009E-2</v>
      </c>
      <c r="O23" s="10"/>
      <c r="P23" s="6">
        <v>130.43</v>
      </c>
      <c r="Q23" s="2"/>
      <c r="R23" s="7">
        <f t="shared" si="4"/>
        <v>0</v>
      </c>
      <c r="S23" s="2"/>
      <c r="T23" s="6">
        <v>131</v>
      </c>
      <c r="U23" s="2"/>
      <c r="V23" s="7">
        <f t="shared" si="5"/>
        <v>0</v>
      </c>
      <c r="W23" s="2"/>
      <c r="X23" s="6">
        <f t="shared" si="6"/>
        <v>-0.56999999999999318</v>
      </c>
      <c r="Y23" s="2"/>
      <c r="Z23" s="7">
        <f t="shared" si="7"/>
        <v>-4.3511450381678871E-3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0"/>
      <c r="P24" s="6">
        <v>5559.25</v>
      </c>
      <c r="Q24" s="2"/>
      <c r="R24" s="7">
        <f t="shared" si="4"/>
        <v>0</v>
      </c>
      <c r="S24" s="2"/>
      <c r="T24" s="6">
        <v>4936.4799999999996</v>
      </c>
      <c r="U24" s="2"/>
      <c r="V24" s="7">
        <f t="shared" si="5"/>
        <v>0</v>
      </c>
      <c r="W24" s="2"/>
      <c r="X24" s="6">
        <f t="shared" si="6"/>
        <v>622.77000000000044</v>
      </c>
      <c r="Y24" s="2"/>
      <c r="Z24" s="7">
        <f t="shared" si="7"/>
        <v>0.12615669464881868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387.96</v>
      </c>
      <c r="E25" s="2"/>
      <c r="F25" s="7">
        <f t="shared" si="0"/>
        <v>0</v>
      </c>
      <c r="G25" s="2"/>
      <c r="H25" s="6">
        <v>28.35</v>
      </c>
      <c r="I25" s="2"/>
      <c r="J25" s="7">
        <f t="shared" si="1"/>
        <v>0</v>
      </c>
      <c r="K25" s="2"/>
      <c r="L25" s="6">
        <f t="shared" si="2"/>
        <v>359.60999999999996</v>
      </c>
      <c r="M25" s="2"/>
      <c r="N25" s="7">
        <f t="shared" si="3"/>
        <v>12.684656084656082</v>
      </c>
      <c r="O25" s="10"/>
      <c r="P25" s="6">
        <v>3555.68</v>
      </c>
      <c r="Q25" s="2"/>
      <c r="R25" s="7">
        <f t="shared" si="4"/>
        <v>0</v>
      </c>
      <c r="S25" s="2"/>
      <c r="T25" s="6">
        <v>4611.1400000000003</v>
      </c>
      <c r="U25" s="2"/>
      <c r="V25" s="7">
        <f t="shared" si="5"/>
        <v>0</v>
      </c>
      <c r="W25" s="2"/>
      <c r="X25" s="6">
        <f t="shared" si="6"/>
        <v>-1055.4600000000005</v>
      </c>
      <c r="Y25" s="2"/>
      <c r="Z25" s="7">
        <f t="shared" si="7"/>
        <v>-0.22889350572743408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2324.64</v>
      </c>
      <c r="Q26" s="2"/>
      <c r="R26" s="7">
        <f t="shared" si="4"/>
        <v>0</v>
      </c>
      <c r="S26" s="2"/>
      <c r="T26" s="6">
        <v>3169.68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-0.26660104490043157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175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175</v>
      </c>
      <c r="M27" s="2"/>
      <c r="N27" s="7">
        <f t="shared" si="3"/>
        <v>0</v>
      </c>
      <c r="O27" s="10"/>
      <c r="P27" s="6">
        <v>1593.85</v>
      </c>
      <c r="Q27" s="2"/>
      <c r="R27" s="7">
        <f t="shared" si="4"/>
        <v>0</v>
      </c>
      <c r="S27" s="2"/>
      <c r="T27" s="6">
        <v>1180.27</v>
      </c>
      <c r="U27" s="2"/>
      <c r="V27" s="7">
        <f t="shared" si="5"/>
        <v>0</v>
      </c>
      <c r="W27" s="2"/>
      <c r="X27" s="6">
        <f t="shared" si="6"/>
        <v>413.57999999999993</v>
      </c>
      <c r="Y27" s="2"/>
      <c r="Z27" s="7">
        <f t="shared" si="7"/>
        <v>0.35041134655629641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4002.88</v>
      </c>
      <c r="E28" s="1"/>
      <c r="F28" s="5">
        <f t="shared" ref="F28:F37" si="8">IF(D$12=0,0,D28/D$12)</f>
        <v>0</v>
      </c>
      <c r="G28" s="1"/>
      <c r="H28" s="1">
        <f>SUM(OSRRefH22_1x_0)</f>
        <v>419.97</v>
      </c>
      <c r="I28" s="1"/>
      <c r="J28" s="5">
        <f t="shared" ref="J28:J37" si="9">IF(H$12=0,0,H28/H$12)</f>
        <v>0</v>
      </c>
      <c r="K28" s="1"/>
      <c r="L28" s="1">
        <f t="shared" ref="L28:L37" si="10">+D28-H28</f>
        <v>3582.91</v>
      </c>
      <c r="M28" s="1"/>
      <c r="N28" s="5">
        <f t="shared" ref="N28:N37" si="11">IF(H28=0,0,L28/H28)</f>
        <v>8.531347477200752</v>
      </c>
      <c r="O28" s="12"/>
      <c r="P28" s="1">
        <f>SUM(OSRRefP22_1x_0)</f>
        <v>46454.93</v>
      </c>
      <c r="Q28" s="1"/>
      <c r="R28" s="5">
        <f t="shared" ref="R28:R37" si="12">IF(P$12=0,0,P28/P$12)</f>
        <v>0</v>
      </c>
      <c r="S28" s="1"/>
      <c r="T28" s="1">
        <f>SUM(OSRRefT22_1x_0)</f>
        <v>32928.660000000003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13526.269999999997</v>
      </c>
      <c r="Y28" s="1"/>
      <c r="Z28" s="5">
        <f t="shared" ref="Z28:Z37" si="15">IF(T28=0,0,X28/T28)</f>
        <v>0.41077499054015548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>
        <v>4002.88</v>
      </c>
      <c r="E29" s="2"/>
      <c r="F29" s="7">
        <f t="shared" si="8"/>
        <v>0</v>
      </c>
      <c r="G29" s="2"/>
      <c r="H29" s="6">
        <v>419.97</v>
      </c>
      <c r="I29" s="2"/>
      <c r="J29" s="7">
        <f t="shared" si="9"/>
        <v>0</v>
      </c>
      <c r="K29" s="2"/>
      <c r="L29" s="6">
        <f t="shared" si="10"/>
        <v>3582.91</v>
      </c>
      <c r="M29" s="2"/>
      <c r="N29" s="7">
        <f t="shared" si="11"/>
        <v>8.531347477200752</v>
      </c>
      <c r="O29" s="10"/>
      <c r="P29" s="6">
        <v>46454.93</v>
      </c>
      <c r="Q29" s="2"/>
      <c r="R29" s="7">
        <f t="shared" si="12"/>
        <v>0</v>
      </c>
      <c r="S29" s="2"/>
      <c r="T29" s="6">
        <v>32928.660000000003</v>
      </c>
      <c r="U29" s="2"/>
      <c r="V29" s="7">
        <f t="shared" si="13"/>
        <v>0</v>
      </c>
      <c r="W29" s="2"/>
      <c r="X29" s="6">
        <f t="shared" si="14"/>
        <v>13526.269999999997</v>
      </c>
      <c r="Y29" s="2"/>
      <c r="Z29" s="7">
        <f t="shared" si="15"/>
        <v>0.41077499054015548</v>
      </c>
    </row>
    <row r="30" spans="1:26" s="26" customFormat="1" outlineLevel="1" collapsed="1" x14ac:dyDescent="0.25">
      <c r="A30" s="25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-908.94</v>
      </c>
      <c r="U30" s="1"/>
      <c r="V30" s="5">
        <f t="shared" si="13"/>
        <v>0</v>
      </c>
      <c r="W30" s="1"/>
      <c r="X30" s="1">
        <f t="shared" si="14"/>
        <v>670.1400000000001</v>
      </c>
      <c r="Y30" s="1"/>
      <c r="Z30" s="5">
        <f t="shared" si="15"/>
        <v>-0.73727638788038818</v>
      </c>
    </row>
    <row r="31" spans="1:26" s="23" customFormat="1" hidden="1" outlineLevel="2" x14ac:dyDescent="0.25">
      <c r="A31" s="27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-238.8</v>
      </c>
      <c r="Q31" s="2"/>
      <c r="R31" s="7">
        <f t="shared" si="12"/>
        <v>0</v>
      </c>
      <c r="S31" s="2"/>
      <c r="T31" s="6">
        <v>-908.94</v>
      </c>
      <c r="U31" s="2"/>
      <c r="V31" s="7">
        <f t="shared" si="13"/>
        <v>0</v>
      </c>
      <c r="W31" s="2"/>
      <c r="X31" s="6">
        <f t="shared" si="14"/>
        <v>670.1400000000001</v>
      </c>
      <c r="Y31" s="2"/>
      <c r="Z31" s="7">
        <f t="shared" si="15"/>
        <v>-0.73727638788038818</v>
      </c>
    </row>
    <row r="32" spans="1:26" s="26" customFormat="1" outlineLevel="1" collapsed="1" x14ac:dyDescent="0.25">
      <c r="A32" s="25"/>
      <c r="B32" s="12" t="str">
        <f>CONCATENATE("     ","Insurance                                         ")</f>
        <v xml:space="preserve">     Insurance                                         </v>
      </c>
      <c r="C32" s="12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2"/>
      <c r="P32" s="1">
        <f>SUM(OSRRefP22_3x_0)</f>
        <v>270.16000000000003</v>
      </c>
      <c r="Q32" s="1"/>
      <c r="R32" s="5">
        <f t="shared" si="12"/>
        <v>0</v>
      </c>
      <c r="S32" s="1"/>
      <c r="T32" s="1">
        <f>SUM(OSRRefT22_3x_0)</f>
        <v>270.16000000000003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3" customFormat="1" hidden="1" outlineLevel="2" x14ac:dyDescent="0.25">
      <c r="A33" s="27"/>
      <c r="B33" s="10" t="str">
        <f>CONCATENATE("          ", "6314", " - ", "LIABILITY INSURANCE")</f>
        <v xml:space="preserve">          6314 - LIABILITY INSURANCE</v>
      </c>
      <c r="C33" s="10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>
        <v>270.16000000000003</v>
      </c>
      <c r="Q33" s="2"/>
      <c r="R33" s="7">
        <f t="shared" si="12"/>
        <v>0</v>
      </c>
      <c r="S33" s="2"/>
      <c r="T33" s="6">
        <v>270.16000000000003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6" customFormat="1" outlineLevel="1" collapsed="1" x14ac:dyDescent="0.25">
      <c r="A34" s="25"/>
      <c r="B34" s="12" t="str">
        <f>CONCATENATE("     ","Repair and Maintenance                            ")</f>
        <v xml:space="preserve">     Repair and Maintenance                            </v>
      </c>
      <c r="C34" s="12"/>
      <c r="D34" s="1">
        <f>SUM(OSRRefD22_4x_0)</f>
        <v>891.98</v>
      </c>
      <c r="E34" s="1"/>
      <c r="F34" s="5">
        <f t="shared" si="8"/>
        <v>0</v>
      </c>
      <c r="G34" s="1"/>
      <c r="H34" s="1">
        <f>SUM(OSRRefH22_4x_0)</f>
        <v>866</v>
      </c>
      <c r="I34" s="1"/>
      <c r="J34" s="5">
        <f t="shared" si="9"/>
        <v>0</v>
      </c>
      <c r="K34" s="1"/>
      <c r="L34" s="1">
        <f t="shared" si="10"/>
        <v>25.980000000000018</v>
      </c>
      <c r="M34" s="1"/>
      <c r="N34" s="5">
        <f t="shared" si="11"/>
        <v>3.000000000000002E-2</v>
      </c>
      <c r="O34" s="12"/>
      <c r="P34" s="1">
        <f>SUM(OSRRefP22_4x_0)</f>
        <v>10960.189999999999</v>
      </c>
      <c r="Q34" s="1"/>
      <c r="R34" s="5">
        <f t="shared" si="12"/>
        <v>0</v>
      </c>
      <c r="S34" s="1"/>
      <c r="T34" s="1">
        <f>SUM(OSRRefT22_4x_0)</f>
        <v>21028.82</v>
      </c>
      <c r="U34" s="1"/>
      <c r="V34" s="5">
        <f t="shared" si="13"/>
        <v>0</v>
      </c>
      <c r="W34" s="1"/>
      <c r="X34" s="1">
        <f t="shared" si="14"/>
        <v>-10068.630000000001</v>
      </c>
      <c r="Y34" s="1"/>
      <c r="Z34" s="5">
        <f t="shared" si="15"/>
        <v>-0.47880147340649648</v>
      </c>
    </row>
    <row r="35" spans="1:26" s="23" customFormat="1" hidden="1" outlineLevel="2" x14ac:dyDescent="0.25">
      <c r="A35" s="27"/>
      <c r="B35" s="10" t="str">
        <f>CONCATENATE("          ", "6371", " - ", "COMPUTER SOFTWARE MAINTENANCE")</f>
        <v xml:space="preserve">          6371 - COMPUTER SOFTWARE MAINTENANCE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4968.9799999999996</v>
      </c>
      <c r="U35" s="2"/>
      <c r="V35" s="7">
        <f t="shared" si="13"/>
        <v>0</v>
      </c>
      <c r="W35" s="2"/>
      <c r="X35" s="6">
        <f t="shared" si="14"/>
        <v>-4968.9799999999996</v>
      </c>
      <c r="Y35" s="2"/>
      <c r="Z35" s="7">
        <f t="shared" si="15"/>
        <v>-1</v>
      </c>
    </row>
    <row r="36" spans="1:26" s="23" customFormat="1" hidden="1" outlineLevel="2" x14ac:dyDescent="0.25">
      <c r="A36" s="27"/>
      <c r="B36" s="10" t="str">
        <f>CONCATENATE("          ", "6373", " - ", "MAINTENANCE CONTRACTS")</f>
        <v xml:space="preserve">          6373 - MAINTENANCE CONTRACTS</v>
      </c>
      <c r="C36" s="10"/>
      <c r="D36" s="6">
        <v>891.98</v>
      </c>
      <c r="E36" s="2"/>
      <c r="F36" s="7">
        <f t="shared" si="8"/>
        <v>0</v>
      </c>
      <c r="G36" s="2"/>
      <c r="H36" s="6">
        <v>866</v>
      </c>
      <c r="I36" s="2"/>
      <c r="J36" s="7">
        <f t="shared" si="9"/>
        <v>0</v>
      </c>
      <c r="K36" s="2"/>
      <c r="L36" s="6">
        <f t="shared" si="10"/>
        <v>25.980000000000018</v>
      </c>
      <c r="M36" s="2"/>
      <c r="N36" s="7">
        <f t="shared" si="11"/>
        <v>3.000000000000002E-2</v>
      </c>
      <c r="O36" s="10"/>
      <c r="P36" s="6">
        <v>8789.9</v>
      </c>
      <c r="Q36" s="2"/>
      <c r="R36" s="7">
        <f t="shared" si="12"/>
        <v>0</v>
      </c>
      <c r="S36" s="2"/>
      <c r="T36" s="6">
        <v>13653.91</v>
      </c>
      <c r="U36" s="2"/>
      <c r="V36" s="7">
        <f t="shared" si="13"/>
        <v>0</v>
      </c>
      <c r="W36" s="2"/>
      <c r="X36" s="6">
        <f t="shared" si="14"/>
        <v>-4864.01</v>
      </c>
      <c r="Y36" s="2"/>
      <c r="Z36" s="7">
        <f t="shared" si="15"/>
        <v>-0.35623568633453717</v>
      </c>
    </row>
    <row r="37" spans="1:26" s="23" customFormat="1" hidden="1" outlineLevel="2" x14ac:dyDescent="0.25">
      <c r="A37" s="27"/>
      <c r="B37" s="10" t="str">
        <f>CONCATENATE("          ", "6375", " - ", "OUTSIDE REPAIRS &amp; MAINTENANCE")</f>
        <v xml:space="preserve">          6375 - OUTSIDE REPAIRS &amp; MAINTENANCE</v>
      </c>
      <c r="C37" s="10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0"/>
      <c r="P37" s="6">
        <v>2170.29</v>
      </c>
      <c r="Q37" s="2"/>
      <c r="R37" s="7">
        <f t="shared" si="12"/>
        <v>0</v>
      </c>
      <c r="S37" s="2"/>
      <c r="T37" s="6">
        <v>2405.9299999999998</v>
      </c>
      <c r="U37" s="2"/>
      <c r="V37" s="7">
        <f t="shared" si="13"/>
        <v>0</v>
      </c>
      <c r="W37" s="2"/>
      <c r="X37" s="6">
        <f t="shared" si="14"/>
        <v>-235.63999999999987</v>
      </c>
      <c r="Y37" s="2"/>
      <c r="Z37" s="7">
        <f t="shared" si="15"/>
        <v>-9.7941336614115915E-2</v>
      </c>
    </row>
    <row r="38" spans="1:26" s="26" customFormat="1" outlineLevel="1" collapsed="1" x14ac:dyDescent="0.25">
      <c r="A38" s="25"/>
      <c r="B38" s="12" t="str">
        <f>CONCATENATE("     ","Services                                          ")</f>
        <v xml:space="preserve">     Services                                          </v>
      </c>
      <c r="C38" s="12"/>
      <c r="D38" s="1">
        <f>SUM(OSRRefD22_5x_0)</f>
        <v>0</v>
      </c>
      <c r="E38" s="1"/>
      <c r="F38" s="5">
        <f t="shared" ref="F38:F43" si="16">IF(D$12=0,0,D38/D$12)</f>
        <v>0</v>
      </c>
      <c r="G38" s="1"/>
      <c r="H38" s="1">
        <f>SUM(OSRRefH22_5x_0)</f>
        <v>0</v>
      </c>
      <c r="I38" s="1"/>
      <c r="J38" s="5">
        <f t="shared" ref="J38:J43" si="17">IF(H$12=0,0,H38/H$12)</f>
        <v>0</v>
      </c>
      <c r="K38" s="1"/>
      <c r="L38" s="1">
        <f t="shared" ref="L38:L43" si="18">+D38-H38</f>
        <v>0</v>
      </c>
      <c r="M38" s="1"/>
      <c r="N38" s="5">
        <f t="shared" ref="N38:N43" si="19">IF(H38=0,0,L38/H38)</f>
        <v>0</v>
      </c>
      <c r="O38" s="12"/>
      <c r="P38" s="1">
        <f>SUM(OSRRefP22_5x_0)</f>
        <v>0</v>
      </c>
      <c r="Q38" s="1"/>
      <c r="R38" s="5">
        <f t="shared" ref="R38:R43" si="20">IF(P$12=0,0,P38/P$12)</f>
        <v>0</v>
      </c>
      <c r="S38" s="1"/>
      <c r="T38" s="1">
        <f>SUM(OSRRefT22_5x_0)</f>
        <v>83.98</v>
      </c>
      <c r="U38" s="1"/>
      <c r="V38" s="5">
        <f t="shared" ref="V38:V43" si="21">IF(T$12=0,0,T38/T$12)</f>
        <v>0</v>
      </c>
      <c r="W38" s="1"/>
      <c r="X38" s="1">
        <f t="shared" ref="X38:X43" si="22">+P38-T38</f>
        <v>-83.98</v>
      </c>
      <c r="Y38" s="1"/>
      <c r="Z38" s="5">
        <f t="shared" ref="Z38:Z43" si="23">IF(T38=0,0,X38/T38)</f>
        <v>-1</v>
      </c>
    </row>
    <row r="39" spans="1:26" s="23" customFormat="1" hidden="1" outlineLevel="2" x14ac:dyDescent="0.25">
      <c r="A39" s="27"/>
      <c r="B39" s="10" t="str">
        <f>CONCATENATE("          ", "6286", " - ", "LAUNDRY EXPENSE")</f>
        <v xml:space="preserve">          6286 - LAUNDRY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83.98</v>
      </c>
      <c r="U39" s="2"/>
      <c r="V39" s="7">
        <f t="shared" si="21"/>
        <v>0</v>
      </c>
      <c r="W39" s="2"/>
      <c r="X39" s="6">
        <f t="shared" si="22"/>
        <v>-83.98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","Supplies                                          ")</f>
        <v xml:space="preserve">     Supplies                                          </v>
      </c>
      <c r="C40" s="12"/>
      <c r="D40" s="1">
        <f>SUM(OSRRefD22_6x_0)</f>
        <v>5217.43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5217.43</v>
      </c>
      <c r="M40" s="1"/>
      <c r="N40" s="5">
        <f t="shared" si="19"/>
        <v>0</v>
      </c>
      <c r="O40" s="12"/>
      <c r="P40" s="1">
        <f>SUM(OSRRefP22_6x_0)</f>
        <v>5303.58</v>
      </c>
      <c r="Q40" s="1"/>
      <c r="R40" s="5">
        <f t="shared" si="20"/>
        <v>0</v>
      </c>
      <c r="S40" s="1"/>
      <c r="T40" s="1">
        <f>SUM(OSRRefT22_6x_0)</f>
        <v>1123.9000000000001</v>
      </c>
      <c r="U40" s="1"/>
      <c r="V40" s="5">
        <f t="shared" si="21"/>
        <v>0</v>
      </c>
      <c r="W40" s="1"/>
      <c r="X40" s="1">
        <f t="shared" si="22"/>
        <v>4179.68</v>
      </c>
      <c r="Y40" s="1"/>
      <c r="Z40" s="5">
        <f t="shared" si="23"/>
        <v>3.7189073761010767</v>
      </c>
    </row>
    <row r="41" spans="1:26" s="23" customFormat="1" hidden="1" outlineLevel="2" x14ac:dyDescent="0.25">
      <c r="A41" s="27"/>
      <c r="B41" s="10" t="str">
        <f>CONCATENATE("          ", "6234", " - ", "EXPENDABLE SUPPLIES &amp; EQUIPMEN")</f>
        <v xml:space="preserve">          6234 - EXPENDABLE SUPPLIES &amp; EQUIPMEN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/>
      <c r="Q41" s="2"/>
      <c r="R41" s="7">
        <f t="shared" si="20"/>
        <v>0</v>
      </c>
      <c r="S41" s="2"/>
      <c r="T41" s="6">
        <v>1006.59</v>
      </c>
      <c r="U41" s="2"/>
      <c r="V41" s="7">
        <f t="shared" si="21"/>
        <v>0</v>
      </c>
      <c r="W41" s="2"/>
      <c r="X41" s="6">
        <f t="shared" si="22"/>
        <v>-1006.59</v>
      </c>
      <c r="Y41" s="2"/>
      <c r="Z41" s="7">
        <f t="shared" si="23"/>
        <v>-1</v>
      </c>
    </row>
    <row r="42" spans="1:26" s="23" customFormat="1" hidden="1" outlineLevel="2" x14ac:dyDescent="0.25">
      <c r="A42" s="27"/>
      <c r="B42" s="10" t="str">
        <f>CONCATENATE("          ", "6235", " - ", "COVID-19 EXPENSES")</f>
        <v xml:space="preserve">          6235 - COVID-19 EXPENSES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66.12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66.12</v>
      </c>
      <c r="Y42" s="2"/>
      <c r="Z42" s="7">
        <f t="shared" si="23"/>
        <v>0</v>
      </c>
    </row>
    <row r="43" spans="1:26" s="23" customFormat="1" hidden="1" outlineLevel="2" x14ac:dyDescent="0.25">
      <c r="A43" s="27"/>
      <c r="B43" s="10" t="str">
        <f>CONCATENATE("          ", "6241", " - ", "OFFICE EXPENSE")</f>
        <v xml:space="preserve">          6241 - OFFICE EXPENSE</v>
      </c>
      <c r="C43" s="10"/>
      <c r="D43" s="6">
        <v>5217.43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5217.43</v>
      </c>
      <c r="M43" s="2"/>
      <c r="N43" s="7">
        <f t="shared" si="19"/>
        <v>0</v>
      </c>
      <c r="O43" s="10"/>
      <c r="P43" s="6">
        <v>5237.46</v>
      </c>
      <c r="Q43" s="2"/>
      <c r="R43" s="7">
        <f t="shared" si="20"/>
        <v>0</v>
      </c>
      <c r="S43" s="2"/>
      <c r="T43" s="6">
        <v>117.31</v>
      </c>
      <c r="U43" s="2"/>
      <c r="V43" s="7">
        <f t="shared" si="21"/>
        <v>0</v>
      </c>
      <c r="W43" s="2"/>
      <c r="X43" s="6">
        <f t="shared" si="22"/>
        <v>5120.1499999999996</v>
      </c>
      <c r="Y43" s="2"/>
      <c r="Z43" s="7">
        <f t="shared" si="23"/>
        <v>43.646321711704026</v>
      </c>
    </row>
    <row r="44" spans="1:26" s="26" customFormat="1" outlineLevel="1" collapsed="1" x14ac:dyDescent="0.25">
      <c r="A44" s="25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98</v>
      </c>
      <c r="E44" s="1"/>
      <c r="F44" s="5">
        <f t="shared" ref="F44:F47" si="24">IF(D$12=0,0,D44/D$12)</f>
        <v>0</v>
      </c>
      <c r="G44" s="1"/>
      <c r="H44" s="1">
        <f>SUM(OSRRefH22_7x_0)</f>
        <v>-77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175</v>
      </c>
      <c r="M44" s="1"/>
      <c r="N44" s="5">
        <f t="shared" ref="N44:N47" si="27">IF(H44=0,0,L44/H44)</f>
        <v>-2.2727272727272729</v>
      </c>
      <c r="O44" s="12"/>
      <c r="P44" s="1">
        <f>SUM(OSRRefP22_7x_0)</f>
        <v>607</v>
      </c>
      <c r="Q44" s="1"/>
      <c r="R44" s="5">
        <f t="shared" ref="R44:R47" si="28">IF(P$12=0,0,P44/P$12)</f>
        <v>0</v>
      </c>
      <c r="S44" s="1"/>
      <c r="T44" s="1">
        <f>SUM(OSRRefT22_7x_0)</f>
        <v>755.2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-148.20000000000005</v>
      </c>
      <c r="Y44" s="1"/>
      <c r="Z44" s="5">
        <f t="shared" ref="Z44:Z47" si="31">IF(T44=0,0,X44/T44)</f>
        <v>-0.19623940677966106</v>
      </c>
    </row>
    <row r="45" spans="1:26" s="23" customFormat="1" hidden="1" outlineLevel="2" x14ac:dyDescent="0.25">
      <c r="A45" s="27"/>
      <c r="B45" s="10" t="str">
        <f>CONCATENATE("          ", "6309", " - ", "TELEPHONE")</f>
        <v xml:space="preserve">          6309 - TELEPHONE</v>
      </c>
      <c r="C45" s="10"/>
      <c r="D45" s="6">
        <v>98</v>
      </c>
      <c r="E45" s="2"/>
      <c r="F45" s="7">
        <f t="shared" si="24"/>
        <v>0</v>
      </c>
      <c r="G45" s="2"/>
      <c r="H45" s="6">
        <v>-77</v>
      </c>
      <c r="I45" s="2"/>
      <c r="J45" s="7">
        <f t="shared" si="25"/>
        <v>0</v>
      </c>
      <c r="K45" s="2"/>
      <c r="L45" s="6">
        <f t="shared" si="26"/>
        <v>175</v>
      </c>
      <c r="M45" s="2"/>
      <c r="N45" s="7">
        <f t="shared" si="27"/>
        <v>-2.2727272727272729</v>
      </c>
      <c r="O45" s="10"/>
      <c r="P45" s="6">
        <v>607</v>
      </c>
      <c r="Q45" s="2"/>
      <c r="R45" s="7">
        <f t="shared" si="28"/>
        <v>0</v>
      </c>
      <c r="S45" s="2"/>
      <c r="T45" s="6">
        <v>755.2</v>
      </c>
      <c r="U45" s="2"/>
      <c r="V45" s="7">
        <f t="shared" si="29"/>
        <v>0</v>
      </c>
      <c r="W45" s="2"/>
      <c r="X45" s="6">
        <f t="shared" si="30"/>
        <v>-148.20000000000005</v>
      </c>
      <c r="Y45" s="2"/>
      <c r="Z45" s="7">
        <f t="shared" si="31"/>
        <v>-0.19623940677966106</v>
      </c>
    </row>
    <row r="46" spans="1:26" s="26" customFormat="1" outlineLevel="1" collapsed="1" x14ac:dyDescent="0.25">
      <c r="A46" s="25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256.86</v>
      </c>
      <c r="U46" s="1"/>
      <c r="V46" s="5">
        <f t="shared" si="29"/>
        <v>0</v>
      </c>
      <c r="W46" s="1"/>
      <c r="X46" s="1">
        <f t="shared" si="30"/>
        <v>-256.86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256.86</v>
      </c>
      <c r="U47" s="2"/>
      <c r="V47" s="7">
        <f t="shared" si="29"/>
        <v>0</v>
      </c>
      <c r="W47" s="2"/>
      <c r="X47" s="6">
        <f t="shared" si="30"/>
        <v>-256.86</v>
      </c>
      <c r="Y47" s="2"/>
      <c r="Z47" s="7">
        <f t="shared" si="31"/>
        <v>-1</v>
      </c>
    </row>
    <row r="48" spans="1:26" s="57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0">
        <f>+D16-D18+D49</f>
        <v>-12938.990000000002</v>
      </c>
      <c r="E51" s="14"/>
      <c r="F51" s="21">
        <f>IF(D$12=0,0,D51/D$12)</f>
        <v>0</v>
      </c>
      <c r="G51" s="14"/>
      <c r="H51" s="20">
        <f>+H16-H18+H49</f>
        <v>-3332.2499999999995</v>
      </c>
      <c r="I51" s="14"/>
      <c r="J51" s="21">
        <f>IF(H$12=0,0,H51/H$12)</f>
        <v>0</v>
      </c>
      <c r="K51" s="15"/>
      <c r="L51" s="20">
        <f>+D51-H51</f>
        <v>-9606.7400000000016</v>
      </c>
      <c r="M51" s="15"/>
      <c r="N51" s="21">
        <f>IF(H51=0,0,L51/H51)</f>
        <v>2.8829589616625411</v>
      </c>
      <c r="O51" s="29"/>
      <c r="P51" s="20">
        <f>+P16-P18+P49</f>
        <v>-91512.839999999982</v>
      </c>
      <c r="Q51" s="14"/>
      <c r="R51" s="21">
        <f>IF(P$12=0,0,P51/P$12)</f>
        <v>0</v>
      </c>
      <c r="S51" s="14"/>
      <c r="T51" s="20">
        <f>+T16-T18+T49</f>
        <v>-84171.829999999987</v>
      </c>
      <c r="U51" s="14"/>
      <c r="V51" s="21">
        <f>IF(T$12=0,0,T51/T$12)</f>
        <v>0</v>
      </c>
      <c r="W51" s="15"/>
      <c r="X51" s="20">
        <f>+P51-T51</f>
        <v>-7341.0099999999948</v>
      </c>
      <c r="Y51" s="15"/>
      <c r="Z51" s="21">
        <f>IF(T51=0,0,X51/T51)</f>
        <v>8.7214570480408898E-2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5">
        <f>+D51-D53</f>
        <v>-12938.990000000002</v>
      </c>
      <c r="E55" s="14"/>
      <c r="F55" s="36">
        <f>IF(D$12=0,0,D55/D$12)</f>
        <v>0</v>
      </c>
      <c r="G55" s="14"/>
      <c r="H55" s="35">
        <f>+H51-H53</f>
        <v>-3332.2499999999995</v>
      </c>
      <c r="I55" s="14"/>
      <c r="J55" s="36">
        <f>IF(H$12=0,0,H55/H$12)</f>
        <v>0</v>
      </c>
      <c r="K55" s="15"/>
      <c r="L55" s="35">
        <f>D55-H55</f>
        <v>-9606.7400000000016</v>
      </c>
      <c r="M55" s="15"/>
      <c r="N55" s="36">
        <f>IF(H55=0,0,L55/H55)</f>
        <v>2.8829589616625411</v>
      </c>
      <c r="O55" s="29"/>
      <c r="P55" s="35">
        <f>+P51-P53</f>
        <v>-91512.839999999982</v>
      </c>
      <c r="Q55" s="14"/>
      <c r="R55" s="36">
        <f>IF(P$12=0,0,P55/P$12)</f>
        <v>0</v>
      </c>
      <c r="S55" s="14"/>
      <c r="T55" s="35">
        <f>+T51-T53</f>
        <v>-84171.829999999987</v>
      </c>
      <c r="U55" s="14"/>
      <c r="V55" s="36">
        <f>IF(T$12=0,0,T55/T$12)</f>
        <v>0</v>
      </c>
      <c r="W55" s="15"/>
      <c r="X55" s="35">
        <f>P55-T55</f>
        <v>-7341.0099999999948</v>
      </c>
      <c r="Y55" s="15"/>
      <c r="Z55" s="36">
        <f>IF(T55=0,0,X55/T55)</f>
        <v>8.7214570480408898E-2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0">
        <f>SUM(D55:D57)</f>
        <v>-12938.990000000002</v>
      </c>
      <c r="E58" s="14"/>
      <c r="F58" s="31">
        <f>IF(D$12=0,0,D58/D$12)</f>
        <v>0</v>
      </c>
      <c r="G58" s="14"/>
      <c r="H58" s="30">
        <f>SUM(H55:H57)</f>
        <v>-3332.2499999999995</v>
      </c>
      <c r="I58" s="14"/>
      <c r="J58" s="31">
        <f>IF(H$12=0,0,H58/H$12)</f>
        <v>0</v>
      </c>
      <c r="K58" s="15"/>
      <c r="L58" s="30">
        <f>+D58-H58</f>
        <v>-9606.7400000000016</v>
      </c>
      <c r="M58" s="15"/>
      <c r="N58" s="31">
        <f>IF(H58=0,0,L58/H58)</f>
        <v>2.8829589616625411</v>
      </c>
      <c r="O58" s="29"/>
      <c r="P58" s="30">
        <f>SUM(P55:P57)</f>
        <v>-91512.839999999982</v>
      </c>
      <c r="Q58" s="14"/>
      <c r="R58" s="31">
        <f>IF(P$12=0,0,P58/P$12)</f>
        <v>0</v>
      </c>
      <c r="S58" s="14"/>
      <c r="T58" s="30">
        <f>SUM(T55:T57)</f>
        <v>-84171.829999999987</v>
      </c>
      <c r="U58" s="14"/>
      <c r="V58" s="31">
        <f>IF(T$12=0,0,T58/T$12)</f>
        <v>0</v>
      </c>
      <c r="W58" s="15"/>
      <c r="X58" s="30">
        <f>+P58-T58</f>
        <v>-7341.0099999999948</v>
      </c>
      <c r="Y58" s="15"/>
      <c r="Z58" s="31">
        <f>IF(T58=0,0,X58/T58)</f>
        <v>8.7214570480408898E-2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>
        <v>44356.893348032405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2" t="s">
        <v>56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4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","206", " - ", "Communications")</f>
        <v>Department 206 - Communications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8033.21</v>
      </c>
      <c r="E18" s="22"/>
      <c r="F18" s="32">
        <f t="shared" ref="F18:F27" si="0">IF(D$12=0,0,D18/D$12)</f>
        <v>0</v>
      </c>
      <c r="G18" s="22"/>
      <c r="H18" s="22">
        <f>SUM(OSRRefH22x_0)</f>
        <v>8403.91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-370.69999999999982</v>
      </c>
      <c r="M18" s="4"/>
      <c r="N18" s="32">
        <f t="shared" ref="N18:N27" si="3">IF(H18=0,0,L18/H18)</f>
        <v>-4.4110420030676174E-2</v>
      </c>
      <c r="O18" s="11"/>
      <c r="P18" s="22">
        <f>SUM(OSRRefP22x_0)</f>
        <v>95898.010000000009</v>
      </c>
      <c r="Q18" s="22"/>
      <c r="R18" s="32">
        <f t="shared" ref="R18:R27" si="4">IF(P$12=0,0,P18/P$12)</f>
        <v>0</v>
      </c>
      <c r="S18" s="22"/>
      <c r="T18" s="22">
        <f>SUM(OSRRefT22x_0)</f>
        <v>98248.74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-2350.7299999999959</v>
      </c>
      <c r="Y18" s="4"/>
      <c r="Z18" s="32">
        <f t="shared" ref="Z18:Z27" si="7">IF(T18=0,0,X18/T18)</f>
        <v>-2.3926311930310716E-2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1969.94</v>
      </c>
      <c r="E19" s="1"/>
      <c r="F19" s="5">
        <f t="shared" si="0"/>
        <v>0</v>
      </c>
      <c r="G19" s="1"/>
      <c r="H19" s="1">
        <f>SUM(OSRRefH22_0x_0)</f>
        <v>1529.3700000000001</v>
      </c>
      <c r="I19" s="1"/>
      <c r="J19" s="5">
        <f t="shared" si="1"/>
        <v>0</v>
      </c>
      <c r="K19" s="1"/>
      <c r="L19" s="1">
        <f t="shared" si="2"/>
        <v>440.56999999999994</v>
      </c>
      <c r="M19" s="1"/>
      <c r="N19" s="5">
        <f t="shared" si="3"/>
        <v>0.28807286660520337</v>
      </c>
      <c r="O19" s="12"/>
      <c r="P19" s="1">
        <f>SUM(OSRRefP22_0x_0)</f>
        <v>20092.810000000001</v>
      </c>
      <c r="Q19" s="1"/>
      <c r="R19" s="5">
        <f t="shared" si="4"/>
        <v>0</v>
      </c>
      <c r="S19" s="1"/>
      <c r="T19" s="1">
        <f>SUM(OSRRefT22_0x_0)</f>
        <v>19626.11</v>
      </c>
      <c r="U19" s="1"/>
      <c r="V19" s="5">
        <f t="shared" si="5"/>
        <v>0</v>
      </c>
      <c r="W19" s="1"/>
      <c r="X19" s="1">
        <f t="shared" si="6"/>
        <v>466.70000000000073</v>
      </c>
      <c r="Y19" s="1"/>
      <c r="Z19" s="5">
        <f t="shared" si="7"/>
        <v>2.3779546736464877E-2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347.4</v>
      </c>
      <c r="E20" s="2"/>
      <c r="F20" s="7">
        <f t="shared" si="0"/>
        <v>0</v>
      </c>
      <c r="G20" s="2"/>
      <c r="H20" s="6">
        <v>369.23</v>
      </c>
      <c r="I20" s="2"/>
      <c r="J20" s="7">
        <f t="shared" si="1"/>
        <v>0</v>
      </c>
      <c r="K20" s="2"/>
      <c r="L20" s="6">
        <f t="shared" si="2"/>
        <v>-21.830000000000041</v>
      </c>
      <c r="M20" s="2"/>
      <c r="N20" s="7">
        <f t="shared" si="3"/>
        <v>-5.9123039839666443E-2</v>
      </c>
      <c r="O20" s="10"/>
      <c r="P20" s="6">
        <v>4444.2700000000004</v>
      </c>
      <c r="Q20" s="2"/>
      <c r="R20" s="7">
        <f t="shared" si="4"/>
        <v>0</v>
      </c>
      <c r="S20" s="2"/>
      <c r="T20" s="6">
        <v>5082.66</v>
      </c>
      <c r="U20" s="2"/>
      <c r="V20" s="7">
        <f t="shared" si="5"/>
        <v>0</v>
      </c>
      <c r="W20" s="2"/>
      <c r="X20" s="6">
        <f t="shared" si="6"/>
        <v>-638.38999999999942</v>
      </c>
      <c r="Y20" s="2"/>
      <c r="Z20" s="7">
        <f t="shared" si="7"/>
        <v>-0.12560155509123164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28.67</v>
      </c>
      <c r="E21" s="2"/>
      <c r="F21" s="7">
        <f t="shared" si="0"/>
        <v>0</v>
      </c>
      <c r="G21" s="2"/>
      <c r="H21" s="6">
        <v>30.07</v>
      </c>
      <c r="I21" s="2"/>
      <c r="J21" s="7">
        <f t="shared" si="1"/>
        <v>0</v>
      </c>
      <c r="K21" s="2"/>
      <c r="L21" s="6">
        <f t="shared" si="2"/>
        <v>-1.3999999999999986</v>
      </c>
      <c r="M21" s="2"/>
      <c r="N21" s="7">
        <f t="shared" si="3"/>
        <v>-4.6558031260392367E-2</v>
      </c>
      <c r="O21" s="10"/>
      <c r="P21" s="6">
        <v>235.66</v>
      </c>
      <c r="Q21" s="2"/>
      <c r="R21" s="7">
        <f t="shared" si="4"/>
        <v>0</v>
      </c>
      <c r="S21" s="2"/>
      <c r="T21" s="6">
        <v>275.24</v>
      </c>
      <c r="U21" s="2"/>
      <c r="V21" s="7">
        <f t="shared" si="5"/>
        <v>0</v>
      </c>
      <c r="W21" s="2"/>
      <c r="X21" s="6">
        <f t="shared" si="6"/>
        <v>-39.580000000000013</v>
      </c>
      <c r="Y21" s="2"/>
      <c r="Z21" s="7">
        <f t="shared" si="7"/>
        <v>-0.14380177299811078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0"/>
      <c r="P22" s="6">
        <v>7728.32</v>
      </c>
      <c r="Q22" s="2"/>
      <c r="R22" s="7">
        <f t="shared" si="4"/>
        <v>0</v>
      </c>
      <c r="S22" s="2"/>
      <c r="T22" s="6">
        <v>7709.81</v>
      </c>
      <c r="U22" s="2"/>
      <c r="V22" s="7">
        <f t="shared" si="5"/>
        <v>0</v>
      </c>
      <c r="W22" s="2"/>
      <c r="X22" s="6">
        <f t="shared" si="6"/>
        <v>18.509999999999309</v>
      </c>
      <c r="Y22" s="2"/>
      <c r="Z22" s="7">
        <f t="shared" si="7"/>
        <v>2.400837374721207E-3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22.59</v>
      </c>
      <c r="E23" s="2"/>
      <c r="F23" s="7">
        <f t="shared" si="0"/>
        <v>0</v>
      </c>
      <c r="G23" s="2"/>
      <c r="H23" s="6">
        <v>23</v>
      </c>
      <c r="I23" s="2"/>
      <c r="J23" s="7">
        <f t="shared" si="1"/>
        <v>0</v>
      </c>
      <c r="K23" s="2"/>
      <c r="L23" s="6">
        <f t="shared" si="2"/>
        <v>-0.41000000000000014</v>
      </c>
      <c r="M23" s="2"/>
      <c r="N23" s="7">
        <f t="shared" si="3"/>
        <v>-1.7826086956521745E-2</v>
      </c>
      <c r="O23" s="10"/>
      <c r="P23" s="6">
        <v>185.68</v>
      </c>
      <c r="Q23" s="2"/>
      <c r="R23" s="7">
        <f t="shared" si="4"/>
        <v>0</v>
      </c>
      <c r="S23" s="2"/>
      <c r="T23" s="6">
        <v>286.66000000000003</v>
      </c>
      <c r="U23" s="2"/>
      <c r="V23" s="7">
        <f t="shared" si="5"/>
        <v>0</v>
      </c>
      <c r="W23" s="2"/>
      <c r="X23" s="6">
        <f t="shared" si="6"/>
        <v>-100.98000000000002</v>
      </c>
      <c r="Y23" s="2"/>
      <c r="Z23" s="7">
        <f t="shared" si="7"/>
        <v>-0.35226400613967768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368.66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368.66</v>
      </c>
      <c r="M24" s="2"/>
      <c r="N24" s="7">
        <f t="shared" si="3"/>
        <v>0</v>
      </c>
      <c r="O24" s="10"/>
      <c r="P24" s="6">
        <v>1916.48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1916.48</v>
      </c>
      <c r="Y24" s="2"/>
      <c r="Z24" s="7">
        <f t="shared" si="7"/>
        <v>0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276.60000000000002</v>
      </c>
      <c r="E25" s="2"/>
      <c r="F25" s="7">
        <f t="shared" si="0"/>
        <v>0</v>
      </c>
      <c r="G25" s="2"/>
      <c r="H25" s="6">
        <v>184.8</v>
      </c>
      <c r="I25" s="2"/>
      <c r="J25" s="7">
        <f t="shared" si="1"/>
        <v>0</v>
      </c>
      <c r="K25" s="2"/>
      <c r="L25" s="6">
        <f t="shared" si="2"/>
        <v>91.800000000000011</v>
      </c>
      <c r="M25" s="2"/>
      <c r="N25" s="7">
        <f t="shared" si="3"/>
        <v>0.49675324675324678</v>
      </c>
      <c r="O25" s="10"/>
      <c r="P25" s="6">
        <v>2814.9</v>
      </c>
      <c r="Q25" s="2"/>
      <c r="R25" s="7">
        <f t="shared" si="4"/>
        <v>0</v>
      </c>
      <c r="S25" s="2"/>
      <c r="T25" s="6">
        <v>2217.6</v>
      </c>
      <c r="U25" s="2"/>
      <c r="V25" s="7">
        <f t="shared" si="5"/>
        <v>0</v>
      </c>
      <c r="W25" s="2"/>
      <c r="X25" s="6">
        <f t="shared" si="6"/>
        <v>597.30000000000018</v>
      </c>
      <c r="Y25" s="2"/>
      <c r="Z25" s="7">
        <f t="shared" si="7"/>
        <v>0.26934523809523819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221.4</v>
      </c>
      <c r="E26" s="2"/>
      <c r="F26" s="7">
        <f t="shared" si="0"/>
        <v>0</v>
      </c>
      <c r="G26" s="2"/>
      <c r="H26" s="6">
        <v>221.4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2767.5</v>
      </c>
      <c r="Q26" s="2"/>
      <c r="R26" s="7">
        <f t="shared" si="4"/>
        <v>0</v>
      </c>
      <c r="S26" s="2"/>
      <c r="T26" s="6">
        <v>2656.8</v>
      </c>
      <c r="U26" s="2"/>
      <c r="V26" s="7">
        <f t="shared" si="5"/>
        <v>0</v>
      </c>
      <c r="W26" s="2"/>
      <c r="X26" s="6">
        <f t="shared" si="6"/>
        <v>110.69999999999982</v>
      </c>
      <c r="Y26" s="2"/>
      <c r="Z26" s="7">
        <f t="shared" si="7"/>
        <v>4.1666666666666595E-2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0"/>
      <c r="P27" s="6"/>
      <c r="Q27" s="2"/>
      <c r="R27" s="7">
        <f t="shared" si="4"/>
        <v>0</v>
      </c>
      <c r="S27" s="2"/>
      <c r="T27" s="6">
        <v>1397.34</v>
      </c>
      <c r="U27" s="2"/>
      <c r="V27" s="7">
        <f t="shared" si="5"/>
        <v>0</v>
      </c>
      <c r="W27" s="2"/>
      <c r="X27" s="6">
        <f t="shared" si="6"/>
        <v>-1397.34</v>
      </c>
      <c r="Y27" s="2"/>
      <c r="Z27" s="7">
        <f t="shared" si="7"/>
        <v>-1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5854.0599999999995</v>
      </c>
      <c r="E28" s="1"/>
      <c r="F28" s="5">
        <f t="shared" ref="F28:F32" si="8">IF(D$12=0,0,D28/D$12)</f>
        <v>0</v>
      </c>
      <c r="G28" s="1"/>
      <c r="H28" s="1">
        <f>SUM(OSRRefH22_1x_0)</f>
        <v>6394.0599999999995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-540</v>
      </c>
      <c r="M28" s="1"/>
      <c r="N28" s="5">
        <f t="shared" ref="N28:N32" si="11">IF(H28=0,0,L28/H28)</f>
        <v>-8.4453383296371948E-2</v>
      </c>
      <c r="O28" s="12"/>
      <c r="P28" s="1">
        <f>SUM(OSRRefP22_1x_0)</f>
        <v>71814.009999999995</v>
      </c>
      <c r="Q28" s="1"/>
      <c r="R28" s="5">
        <f t="shared" ref="R28:R32" si="12">IF(P$12=0,0,P28/P$12)</f>
        <v>0</v>
      </c>
      <c r="S28" s="1"/>
      <c r="T28" s="1">
        <f>SUM(OSRRefT22_1x_0)</f>
        <v>113094.31999999999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-41280.31</v>
      </c>
      <c r="Y28" s="1"/>
      <c r="Z28" s="5">
        <f t="shared" ref="Z28:Z32" si="15">IF(T28=0,0,X28/T28)</f>
        <v>-0.36500780941076438</v>
      </c>
    </row>
    <row r="29" spans="1:26" s="23" customFormat="1" hidden="1" outlineLevel="2" x14ac:dyDescent="0.25">
      <c r="A29" s="27"/>
      <c r="B29" s="10" t="str">
        <f>CONCATENATE("          ", "6004", " - ", "STAFF HOURLY")</f>
        <v xml:space="preserve">          6004 - STAFF HOURLY</v>
      </c>
      <c r="C29" s="10"/>
      <c r="D29" s="6">
        <v>4560</v>
      </c>
      <c r="E29" s="2"/>
      <c r="F29" s="7">
        <f t="shared" si="8"/>
        <v>0</v>
      </c>
      <c r="G29" s="2"/>
      <c r="H29" s="6">
        <v>5100</v>
      </c>
      <c r="I29" s="2"/>
      <c r="J29" s="7">
        <f t="shared" si="9"/>
        <v>0</v>
      </c>
      <c r="K29" s="2"/>
      <c r="L29" s="6">
        <f t="shared" si="10"/>
        <v>-540</v>
      </c>
      <c r="M29" s="2"/>
      <c r="N29" s="7">
        <f t="shared" si="11"/>
        <v>-0.10588235294117647</v>
      </c>
      <c r="O29" s="10"/>
      <c r="P29" s="6">
        <v>57050.1</v>
      </c>
      <c r="Q29" s="2"/>
      <c r="R29" s="7">
        <f t="shared" si="12"/>
        <v>0</v>
      </c>
      <c r="S29" s="2"/>
      <c r="T29" s="6">
        <v>57784.5</v>
      </c>
      <c r="U29" s="2"/>
      <c r="V29" s="7">
        <f t="shared" si="13"/>
        <v>0</v>
      </c>
      <c r="W29" s="2"/>
      <c r="X29" s="6">
        <f t="shared" si="14"/>
        <v>-734.40000000000146</v>
      </c>
      <c r="Y29" s="2"/>
      <c r="Z29" s="7">
        <f t="shared" si="15"/>
        <v>-1.270929055369522E-2</v>
      </c>
    </row>
    <row r="30" spans="1:26" s="23" customFormat="1" hidden="1" outlineLevel="2" x14ac:dyDescent="0.25">
      <c r="A30" s="27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0</v>
      </c>
      <c r="Q31" s="2"/>
      <c r="R31" s="7">
        <f t="shared" si="12"/>
        <v>0</v>
      </c>
      <c r="S31" s="2"/>
      <c r="T31" s="6">
        <v>41753.5</v>
      </c>
      <c r="U31" s="2"/>
      <c r="V31" s="7">
        <f t="shared" si="13"/>
        <v>0</v>
      </c>
      <c r="W31" s="2"/>
      <c r="X31" s="6">
        <f t="shared" si="14"/>
        <v>-41753.5</v>
      </c>
      <c r="Y31" s="2"/>
      <c r="Z31" s="7">
        <f t="shared" si="15"/>
        <v>-1</v>
      </c>
    </row>
    <row r="32" spans="1:26" s="23" customFormat="1" hidden="1" outlineLevel="2" x14ac:dyDescent="0.25">
      <c r="A32" s="27"/>
      <c r="B32" s="10" t="str">
        <f>CONCATENATE("          ", "6008", " - ", "STUDENT HOURLY-FICA EXEMPT")</f>
        <v xml:space="preserve">          6008 - STUDENT HOURLY-FICA EXEMPT</v>
      </c>
      <c r="C32" s="10"/>
      <c r="D32" s="6">
        <v>1294.06</v>
      </c>
      <c r="E32" s="2"/>
      <c r="F32" s="7">
        <f t="shared" si="8"/>
        <v>0</v>
      </c>
      <c r="G32" s="2"/>
      <c r="H32" s="6">
        <v>1294.06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>
        <v>14763.91</v>
      </c>
      <c r="Q32" s="2"/>
      <c r="R32" s="7">
        <f t="shared" si="12"/>
        <v>0</v>
      </c>
      <c r="S32" s="2"/>
      <c r="T32" s="6">
        <v>11194.89</v>
      </c>
      <c r="U32" s="2"/>
      <c r="V32" s="7">
        <f t="shared" si="13"/>
        <v>0</v>
      </c>
      <c r="W32" s="2"/>
      <c r="X32" s="6">
        <f t="shared" si="14"/>
        <v>3569.0200000000004</v>
      </c>
      <c r="Y32" s="2"/>
      <c r="Z32" s="7">
        <f t="shared" si="15"/>
        <v>0.31880795612998436</v>
      </c>
    </row>
    <row r="33" spans="1:26" s="26" customFormat="1" outlineLevel="1" collapsed="1" x14ac:dyDescent="0.25">
      <c r="A33" s="25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173.21</v>
      </c>
      <c r="E33" s="1"/>
      <c r="F33" s="5">
        <f t="shared" ref="F33:F43" si="16">IF(D$12=0,0,D33/D$12)</f>
        <v>0</v>
      </c>
      <c r="G33" s="1"/>
      <c r="H33" s="1">
        <f>SUM(OSRRefH22_2x_0)</f>
        <v>173.21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0</v>
      </c>
      <c r="M33" s="1"/>
      <c r="N33" s="5">
        <f t="shared" ref="N33:N43" si="19">IF(H33=0,0,L33/H33)</f>
        <v>0</v>
      </c>
      <c r="O33" s="12"/>
      <c r="P33" s="1">
        <f>SUM(OSRRefP22_2x_0)</f>
        <v>1732.1</v>
      </c>
      <c r="Q33" s="1"/>
      <c r="R33" s="5">
        <f t="shared" ref="R33:R43" si="20">IF(P$12=0,0,P33/P$12)</f>
        <v>0</v>
      </c>
      <c r="S33" s="1"/>
      <c r="T33" s="1">
        <f>SUM(OSRRefT22_2x_0)</f>
        <v>-45889.99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47622.09</v>
      </c>
      <c r="Y33" s="1"/>
      <c r="Z33" s="5">
        <f t="shared" ref="Z33:Z43" si="23">IF(T33=0,0,X33/T33)</f>
        <v>-1.0377446148931391</v>
      </c>
    </row>
    <row r="34" spans="1:26" s="23" customFormat="1" hidden="1" outlineLevel="2" x14ac:dyDescent="0.25">
      <c r="A34" s="27"/>
      <c r="B34" s="10" t="str">
        <f>CONCATENATE("          ", "6362", " - ", "ADVERTISING EXPENSE")</f>
        <v xml:space="preserve">          6362 - ADVERTISING EXPENSE</v>
      </c>
      <c r="C34" s="10"/>
      <c r="D34" s="6">
        <v>173.21</v>
      </c>
      <c r="E34" s="2"/>
      <c r="F34" s="7">
        <f t="shared" si="16"/>
        <v>0</v>
      </c>
      <c r="G34" s="2"/>
      <c r="H34" s="6">
        <v>173.21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0"/>
      <c r="P34" s="6">
        <v>1732.1</v>
      </c>
      <c r="Q34" s="2"/>
      <c r="R34" s="7">
        <f t="shared" si="20"/>
        <v>0</v>
      </c>
      <c r="S34" s="2"/>
      <c r="T34" s="6">
        <v>-45889.99</v>
      </c>
      <c r="U34" s="2"/>
      <c r="V34" s="7">
        <f t="shared" si="21"/>
        <v>0</v>
      </c>
      <c r="W34" s="2"/>
      <c r="X34" s="6">
        <f t="shared" si="22"/>
        <v>47622.09</v>
      </c>
      <c r="Y34" s="2"/>
      <c r="Z34" s="7">
        <f t="shared" si="23"/>
        <v>-1.0377446148931391</v>
      </c>
    </row>
    <row r="35" spans="1:26" s="26" customFormat="1" outlineLevel="1" collapsed="1" x14ac:dyDescent="0.25">
      <c r="A35" s="25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271.27</v>
      </c>
      <c r="I35" s="1"/>
      <c r="J35" s="5">
        <f t="shared" si="17"/>
        <v>0</v>
      </c>
      <c r="K35" s="1"/>
      <c r="L35" s="1">
        <f t="shared" si="18"/>
        <v>-271.27</v>
      </c>
      <c r="M35" s="1"/>
      <c r="N35" s="5">
        <f t="shared" si="19"/>
        <v>-1</v>
      </c>
      <c r="O35" s="12"/>
      <c r="P35" s="1">
        <f>SUM(OSRRefP22_3x_0)</f>
        <v>1898.94</v>
      </c>
      <c r="Q35" s="1"/>
      <c r="R35" s="5">
        <f t="shared" si="20"/>
        <v>0</v>
      </c>
      <c r="S35" s="1"/>
      <c r="T35" s="1">
        <f>SUM(OSRRefT22_3x_0)</f>
        <v>3203.61</v>
      </c>
      <c r="U35" s="1"/>
      <c r="V35" s="5">
        <f t="shared" si="21"/>
        <v>0</v>
      </c>
      <c r="W35" s="1"/>
      <c r="X35" s="1">
        <f t="shared" si="22"/>
        <v>-1304.67</v>
      </c>
      <c r="Y35" s="1"/>
      <c r="Z35" s="5">
        <f t="shared" si="23"/>
        <v>-0.40724994615449445</v>
      </c>
    </row>
    <row r="36" spans="1:26" s="23" customFormat="1" hidden="1" outlineLevel="2" x14ac:dyDescent="0.25">
      <c r="A36" s="27"/>
      <c r="B36" s="10" t="str">
        <f>CONCATENATE("          ", "6322", " - ", "EQUIPMENT DEPRECIATION EXPENSE")</f>
        <v xml:space="preserve">          6322 - EQUIPMENT DEPRECIATION EXPENSE</v>
      </c>
      <c r="C36" s="10"/>
      <c r="D36" s="6"/>
      <c r="E36" s="2"/>
      <c r="F36" s="7">
        <f t="shared" si="16"/>
        <v>0</v>
      </c>
      <c r="G36" s="2"/>
      <c r="H36" s="6">
        <v>271.27</v>
      </c>
      <c r="I36" s="2"/>
      <c r="J36" s="7">
        <f t="shared" si="17"/>
        <v>0</v>
      </c>
      <c r="K36" s="2"/>
      <c r="L36" s="6">
        <f t="shared" si="18"/>
        <v>-271.27</v>
      </c>
      <c r="M36" s="2"/>
      <c r="N36" s="7">
        <f t="shared" si="19"/>
        <v>-1</v>
      </c>
      <c r="O36" s="10"/>
      <c r="P36" s="6">
        <v>1898.94</v>
      </c>
      <c r="Q36" s="2"/>
      <c r="R36" s="7">
        <f t="shared" si="20"/>
        <v>0</v>
      </c>
      <c r="S36" s="2"/>
      <c r="T36" s="6">
        <v>3203.61</v>
      </c>
      <c r="U36" s="2"/>
      <c r="V36" s="7">
        <f t="shared" si="21"/>
        <v>0</v>
      </c>
      <c r="W36" s="2"/>
      <c r="X36" s="6">
        <f t="shared" si="22"/>
        <v>-1304.67</v>
      </c>
      <c r="Y36" s="2"/>
      <c r="Z36" s="7">
        <f t="shared" si="23"/>
        <v>-0.40724994615449445</v>
      </c>
    </row>
    <row r="37" spans="1:26" s="26" customFormat="1" outlineLevel="1" collapsed="1" x14ac:dyDescent="0.25">
      <c r="A37" s="25"/>
      <c r="B37" s="12" t="str">
        <f>CONCATENATE("     ","Employees' Appreciation                           ")</f>
        <v xml:space="preserve">     Employees' Appreciation                           </v>
      </c>
      <c r="C37" s="12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2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30.15</v>
      </c>
      <c r="U37" s="1"/>
      <c r="V37" s="5">
        <f t="shared" si="21"/>
        <v>0</v>
      </c>
      <c r="W37" s="1"/>
      <c r="X37" s="1">
        <f t="shared" si="22"/>
        <v>-30.15</v>
      </c>
      <c r="Y37" s="1"/>
      <c r="Z37" s="5">
        <f t="shared" si="23"/>
        <v>-1</v>
      </c>
    </row>
    <row r="38" spans="1:26" s="23" customFormat="1" hidden="1" outlineLevel="2" x14ac:dyDescent="0.25">
      <c r="A38" s="27"/>
      <c r="B38" s="10" t="str">
        <f>CONCATENATE("          ", "6277", " - ", "EMPLOYEE APPRECIATION")</f>
        <v xml:space="preserve">          6277 - EMPLOYEE APPRECIATION</v>
      </c>
      <c r="C38" s="10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0"/>
      <c r="P38" s="6"/>
      <c r="Q38" s="2"/>
      <c r="R38" s="7">
        <f t="shared" si="20"/>
        <v>0</v>
      </c>
      <c r="S38" s="2"/>
      <c r="T38" s="6">
        <v>30.15</v>
      </c>
      <c r="U38" s="2"/>
      <c r="V38" s="7">
        <f t="shared" si="21"/>
        <v>0</v>
      </c>
      <c r="W38" s="2"/>
      <c r="X38" s="6">
        <f t="shared" si="22"/>
        <v>-30.15</v>
      </c>
      <c r="Y38" s="2"/>
      <c r="Z38" s="7">
        <f t="shared" si="23"/>
        <v>-1</v>
      </c>
    </row>
    <row r="39" spans="1:26" s="26" customFormat="1" outlineLevel="1" collapsed="1" x14ac:dyDescent="0.25">
      <c r="A39" s="25"/>
      <c r="B39" s="12" t="str">
        <f>CONCATENATE("     ","General                                           ")</f>
        <v xml:space="preserve">     General                                           </v>
      </c>
      <c r="C39" s="12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1373.22</v>
      </c>
      <c r="U39" s="1"/>
      <c r="V39" s="5">
        <f t="shared" si="21"/>
        <v>0</v>
      </c>
      <c r="W39" s="1"/>
      <c r="X39" s="1">
        <f t="shared" si="22"/>
        <v>-1373.22</v>
      </c>
      <c r="Y39" s="1"/>
      <c r="Z39" s="5">
        <f t="shared" si="23"/>
        <v>-1</v>
      </c>
    </row>
    <row r="40" spans="1:26" s="23" customFormat="1" hidden="1" outlineLevel="2" x14ac:dyDescent="0.25">
      <c r="A40" s="27"/>
      <c r="B40" s="10" t="str">
        <f>CONCATENATE("          ", "6279", " - ", "GENERAL EXPENSE")</f>
        <v xml:space="preserve">          6279 - GENERAL EXPENSE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/>
      <c r="Q40" s="2"/>
      <c r="R40" s="7">
        <f t="shared" si="20"/>
        <v>0</v>
      </c>
      <c r="S40" s="2"/>
      <c r="T40" s="6">
        <v>1373.22</v>
      </c>
      <c r="U40" s="2"/>
      <c r="V40" s="7">
        <f t="shared" si="21"/>
        <v>0</v>
      </c>
      <c r="W40" s="2"/>
      <c r="X40" s="6">
        <f t="shared" si="22"/>
        <v>-1373.22</v>
      </c>
      <c r="Y40" s="2"/>
      <c r="Z40" s="7">
        <f t="shared" si="23"/>
        <v>-1</v>
      </c>
    </row>
    <row r="41" spans="1:26" s="26" customFormat="1" outlineLevel="1" collapsed="1" x14ac:dyDescent="0.25">
      <c r="A41" s="25"/>
      <c r="B41" s="12" t="str">
        <f>CONCATENATE("     ","Supplies                                          ")</f>
        <v xml:space="preserve">     Supplies                                          </v>
      </c>
      <c r="C41" s="12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2193.56</v>
      </c>
      <c r="U41" s="1"/>
      <c r="V41" s="5">
        <f t="shared" si="21"/>
        <v>0</v>
      </c>
      <c r="W41" s="1"/>
      <c r="X41" s="1">
        <f t="shared" si="22"/>
        <v>-2193.56</v>
      </c>
      <c r="Y41" s="1"/>
      <c r="Z41" s="5">
        <f t="shared" si="23"/>
        <v>-1</v>
      </c>
    </row>
    <row r="42" spans="1:26" s="23" customFormat="1" hidden="1" outlineLevel="2" x14ac:dyDescent="0.25">
      <c r="A42" s="27"/>
      <c r="B42" s="10" t="str">
        <f>CONCATENATE("          ", "6241", " - ", "OFFICE EXPENSE")</f>
        <v xml:space="preserve">          6241 - OFFICE EXPENSE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/>
      <c r="Q42" s="2"/>
      <c r="R42" s="7">
        <f t="shared" si="20"/>
        <v>0</v>
      </c>
      <c r="S42" s="2"/>
      <c r="T42" s="6">
        <v>1847.14</v>
      </c>
      <c r="U42" s="2"/>
      <c r="V42" s="7">
        <f t="shared" si="21"/>
        <v>0</v>
      </c>
      <c r="W42" s="2"/>
      <c r="X42" s="6">
        <f t="shared" si="22"/>
        <v>-1847.14</v>
      </c>
      <c r="Y42" s="2"/>
      <c r="Z42" s="7">
        <f t="shared" si="23"/>
        <v>-1</v>
      </c>
    </row>
    <row r="43" spans="1:26" s="23" customFormat="1" hidden="1" outlineLevel="2" x14ac:dyDescent="0.25">
      <c r="A43" s="27"/>
      <c r="B43" s="10" t="str">
        <f>CONCATENATE("          ", "6245", " - ", "PRINTING")</f>
        <v xml:space="preserve">          6245 - PRINTING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346.42</v>
      </c>
      <c r="U43" s="2"/>
      <c r="V43" s="7">
        <f t="shared" si="21"/>
        <v>0</v>
      </c>
      <c r="W43" s="2"/>
      <c r="X43" s="6">
        <f t="shared" si="22"/>
        <v>-346.42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36</v>
      </c>
      <c r="E44" s="1"/>
      <c r="F44" s="5">
        <f t="shared" ref="F44:F47" si="24">IF(D$12=0,0,D44/D$12)</f>
        <v>0</v>
      </c>
      <c r="G44" s="1"/>
      <c r="H44" s="1">
        <f>SUM(OSRRefH22_7x_0)</f>
        <v>36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0</v>
      </c>
      <c r="M44" s="1"/>
      <c r="N44" s="5">
        <f t="shared" ref="N44:N47" si="27">IF(H44=0,0,L44/H44)</f>
        <v>0</v>
      </c>
      <c r="O44" s="12"/>
      <c r="P44" s="1">
        <f>SUM(OSRRefP22_7x_0)</f>
        <v>360.15</v>
      </c>
      <c r="Q44" s="1"/>
      <c r="R44" s="5">
        <f t="shared" ref="R44:R47" si="28">IF(P$12=0,0,P44/P$12)</f>
        <v>0</v>
      </c>
      <c r="S44" s="1"/>
      <c r="T44" s="1">
        <f>SUM(OSRRefT22_7x_0)</f>
        <v>696.38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-336.23</v>
      </c>
      <c r="Y44" s="1"/>
      <c r="Z44" s="5">
        <f t="shared" ref="Z44:Z47" si="31">IF(T44=0,0,X44/T44)</f>
        <v>-0.48282546885321237</v>
      </c>
    </row>
    <row r="45" spans="1:26" s="23" customFormat="1" hidden="1" outlineLevel="2" x14ac:dyDescent="0.25">
      <c r="A45" s="27"/>
      <c r="B45" s="10" t="str">
        <f>CONCATENATE("          ", "6309", " - ", "TELEPHONE")</f>
        <v xml:space="preserve">          6309 - TELEPHONE</v>
      </c>
      <c r="C45" s="10"/>
      <c r="D45" s="6">
        <v>36</v>
      </c>
      <c r="E45" s="2"/>
      <c r="F45" s="7">
        <f t="shared" si="24"/>
        <v>0</v>
      </c>
      <c r="G45" s="2"/>
      <c r="H45" s="6">
        <v>36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>
        <v>360.15</v>
      </c>
      <c r="Q45" s="2"/>
      <c r="R45" s="7">
        <f t="shared" si="28"/>
        <v>0</v>
      </c>
      <c r="S45" s="2"/>
      <c r="T45" s="6">
        <v>696.38</v>
      </c>
      <c r="U45" s="2"/>
      <c r="V45" s="7">
        <f t="shared" si="29"/>
        <v>0</v>
      </c>
      <c r="W45" s="2"/>
      <c r="X45" s="6">
        <f t="shared" si="30"/>
        <v>-336.23</v>
      </c>
      <c r="Y45" s="2"/>
      <c r="Z45" s="7">
        <f t="shared" si="31"/>
        <v>-0.48282546885321237</v>
      </c>
    </row>
    <row r="46" spans="1:26" s="26" customFormat="1" outlineLevel="1" collapsed="1" x14ac:dyDescent="0.25">
      <c r="A46" s="25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3921.38</v>
      </c>
      <c r="U46" s="1"/>
      <c r="V46" s="5">
        <f t="shared" si="29"/>
        <v>0</v>
      </c>
      <c r="W46" s="1"/>
      <c r="X46" s="1">
        <f t="shared" si="30"/>
        <v>-3921.38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3921.38</v>
      </c>
      <c r="U47" s="2"/>
      <c r="V47" s="7">
        <f t="shared" si="29"/>
        <v>0</v>
      </c>
      <c r="W47" s="2"/>
      <c r="X47" s="6">
        <f t="shared" si="30"/>
        <v>-3921.38</v>
      </c>
      <c r="Y47" s="2"/>
      <c r="Z47" s="7">
        <f t="shared" si="31"/>
        <v>-1</v>
      </c>
    </row>
    <row r="48" spans="1:26" s="57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0">
        <f>+D16-D18+D49</f>
        <v>-8033.21</v>
      </c>
      <c r="E51" s="14"/>
      <c r="F51" s="21">
        <f>IF(D$12=0,0,D51/D$12)</f>
        <v>0</v>
      </c>
      <c r="G51" s="14"/>
      <c r="H51" s="20">
        <f>+H16-H18+H49</f>
        <v>-8403.91</v>
      </c>
      <c r="I51" s="14"/>
      <c r="J51" s="21">
        <f>IF(H$12=0,0,H51/H$12)</f>
        <v>0</v>
      </c>
      <c r="K51" s="15"/>
      <c r="L51" s="20">
        <f>+D51-H51</f>
        <v>370.69999999999982</v>
      </c>
      <c r="M51" s="15"/>
      <c r="N51" s="21">
        <f>IF(H51=0,0,L51/H51)</f>
        <v>-4.4110420030676174E-2</v>
      </c>
      <c r="O51" s="29"/>
      <c r="P51" s="20">
        <f>+P16-P18+P49</f>
        <v>-95898.010000000009</v>
      </c>
      <c r="Q51" s="14"/>
      <c r="R51" s="21">
        <f>IF(P$12=0,0,P51/P$12)</f>
        <v>0</v>
      </c>
      <c r="S51" s="14"/>
      <c r="T51" s="20">
        <f>+T16-T18+T49</f>
        <v>-98248.74</v>
      </c>
      <c r="U51" s="14"/>
      <c r="V51" s="21">
        <f>IF(T$12=0,0,T51/T$12)</f>
        <v>0</v>
      </c>
      <c r="W51" s="15"/>
      <c r="X51" s="20">
        <f>+P51-T51</f>
        <v>2350.7299999999959</v>
      </c>
      <c r="Y51" s="15"/>
      <c r="Z51" s="21">
        <f>IF(T51=0,0,X51/T51)</f>
        <v>-2.3926311930310716E-2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5">
        <f>+D51-D53</f>
        <v>-8033.21</v>
      </c>
      <c r="E55" s="14"/>
      <c r="F55" s="36">
        <f>IF(D$12=0,0,D55/D$12)</f>
        <v>0</v>
      </c>
      <c r="G55" s="14"/>
      <c r="H55" s="35">
        <f>+H51-H53</f>
        <v>-8403.91</v>
      </c>
      <c r="I55" s="14"/>
      <c r="J55" s="36">
        <f>IF(H$12=0,0,H55/H$12)</f>
        <v>0</v>
      </c>
      <c r="K55" s="15"/>
      <c r="L55" s="35">
        <f>D55-H55</f>
        <v>370.69999999999982</v>
      </c>
      <c r="M55" s="15"/>
      <c r="N55" s="36">
        <f>IF(H55=0,0,L55/H55)</f>
        <v>-4.4110420030676174E-2</v>
      </c>
      <c r="O55" s="29"/>
      <c r="P55" s="35">
        <f>+P51-P53</f>
        <v>-95898.010000000009</v>
      </c>
      <c r="Q55" s="14"/>
      <c r="R55" s="36">
        <f>IF(P$12=0,0,P55/P$12)</f>
        <v>0</v>
      </c>
      <c r="S55" s="14"/>
      <c r="T55" s="35">
        <f>+T51-T53</f>
        <v>-98248.74</v>
      </c>
      <c r="U55" s="14"/>
      <c r="V55" s="36">
        <f>IF(T$12=0,0,T55/T$12)</f>
        <v>0</v>
      </c>
      <c r="W55" s="15"/>
      <c r="X55" s="35">
        <f>P55-T55</f>
        <v>2350.7299999999959</v>
      </c>
      <c r="Y55" s="15"/>
      <c r="Z55" s="36">
        <f>IF(T55=0,0,X55/T55)</f>
        <v>-2.3926311930310716E-2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0">
        <f>SUM(D55:D57)</f>
        <v>-8033.21</v>
      </c>
      <c r="E58" s="14"/>
      <c r="F58" s="31">
        <f>IF(D$12=0,0,D58/D$12)</f>
        <v>0</v>
      </c>
      <c r="G58" s="14"/>
      <c r="H58" s="30">
        <f>SUM(H55:H57)</f>
        <v>-8403.91</v>
      </c>
      <c r="I58" s="14"/>
      <c r="J58" s="31">
        <f>IF(H$12=0,0,H58/H$12)</f>
        <v>0</v>
      </c>
      <c r="K58" s="15"/>
      <c r="L58" s="30">
        <f>+D58-H58</f>
        <v>370.69999999999982</v>
      </c>
      <c r="M58" s="15"/>
      <c r="N58" s="31">
        <f>IF(H58=0,0,L58/H58)</f>
        <v>-4.4110420030676174E-2</v>
      </c>
      <c r="O58" s="29"/>
      <c r="P58" s="30">
        <f>SUM(P55:P57)</f>
        <v>-95898.010000000009</v>
      </c>
      <c r="Q58" s="14"/>
      <c r="R58" s="31">
        <f>IF(P$12=0,0,P58/P$12)</f>
        <v>0</v>
      </c>
      <c r="S58" s="14"/>
      <c r="T58" s="30">
        <f>SUM(T55:T57)</f>
        <v>-98248.74</v>
      </c>
      <c r="U58" s="14"/>
      <c r="V58" s="31">
        <f>IF(T$12=0,0,T58/T$12)</f>
        <v>0</v>
      </c>
      <c r="W58" s="15"/>
      <c r="X58" s="30">
        <f>+P58-T58</f>
        <v>2350.7299999999959</v>
      </c>
      <c r="Y58" s="15"/>
      <c r="Z58" s="31">
        <f>IF(T58=0,0,X58/T58)</f>
        <v>-2.3926311930310716E-2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>
        <v>44356.893348032405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2" t="s">
        <v>56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4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106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506766.3400000002</v>
      </c>
      <c r="E12" s="4"/>
      <c r="F12" s="13"/>
      <c r="G12" s="4"/>
      <c r="H12" s="4">
        <f>SUM(OSRRefH13x_0)</f>
        <v>263658.58999999985</v>
      </c>
      <c r="I12" s="4"/>
      <c r="J12" s="13"/>
      <c r="K12" s="4"/>
      <c r="L12" s="4">
        <f t="shared" ref="L12:L114" si="0">+D12-H12</f>
        <v>243107.75000000035</v>
      </c>
      <c r="M12" s="4"/>
      <c r="N12" s="13">
        <f t="shared" ref="N12:N114" si="1">IF(H12=0,0,L12/H12)</f>
        <v>0.92205510922287981</v>
      </c>
      <c r="O12" s="11"/>
      <c r="P12" s="4">
        <f>SUM(OSRRefP13x_0)</f>
        <v>5212278.6800000006</v>
      </c>
      <c r="Q12" s="4"/>
      <c r="R12" s="13"/>
      <c r="S12" s="4"/>
      <c r="T12" s="4">
        <f>SUM(OSRRefT13x_0)</f>
        <v>11391364.060000006</v>
      </c>
      <c r="U12" s="4"/>
      <c r="V12" s="13"/>
      <c r="W12" s="4"/>
      <c r="X12" s="4">
        <f t="shared" ref="X12:X114" si="2">+P12-T12</f>
        <v>-6179085.3800000055</v>
      </c>
      <c r="Y12" s="4"/>
      <c r="Z12" s="13">
        <f t="shared" ref="Z12:Z114" si="3">IF(T12=0,0,X12/T12)</f>
        <v>-0.54243594950120511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-11353.84</f>
        <v>-11353.84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-11353.84</v>
      </c>
      <c r="M13" s="2"/>
      <c r="N13" s="19">
        <f t="shared" si="1"/>
        <v>0</v>
      </c>
      <c r="O13" s="10"/>
      <c r="P13" s="2">
        <f>-144449.03</f>
        <v>-144449.03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-144449.03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--35278.2</f>
        <v>35278.199999999997</v>
      </c>
      <c r="E14" s="2"/>
      <c r="F14" s="19"/>
      <c r="G14" s="2"/>
      <c r="H14" s="2">
        <f>--37281.91</f>
        <v>37281.910000000003</v>
      </c>
      <c r="I14" s="2"/>
      <c r="J14" s="19"/>
      <c r="K14" s="2"/>
      <c r="L14" s="2">
        <f t="shared" si="0"/>
        <v>-2003.7100000000064</v>
      </c>
      <c r="M14" s="2"/>
      <c r="N14" s="19">
        <f t="shared" si="1"/>
        <v>-5.3744832279247659E-2</v>
      </c>
      <c r="O14" s="10"/>
      <c r="P14" s="2">
        <f>--1299088.56</f>
        <v>1299088.56</v>
      </c>
      <c r="Q14" s="2"/>
      <c r="R14" s="19"/>
      <c r="S14" s="2"/>
      <c r="T14" s="2">
        <f>--2435259.64</f>
        <v>2435259.64</v>
      </c>
      <c r="U14" s="2"/>
      <c r="V14" s="19"/>
      <c r="W14" s="2"/>
      <c r="X14" s="2">
        <f t="shared" si="2"/>
        <v>-1136171.08</v>
      </c>
      <c r="Y14" s="2"/>
      <c r="Z14" s="19">
        <f t="shared" si="3"/>
        <v>-0.4665502853732672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--11501.84</f>
        <v>11501.84</v>
      </c>
      <c r="E15" s="2"/>
      <c r="F15" s="19"/>
      <c r="G15" s="2"/>
      <c r="H15" s="2">
        <f>--11509.55</f>
        <v>11509.55</v>
      </c>
      <c r="I15" s="2"/>
      <c r="J15" s="19"/>
      <c r="K15" s="2"/>
      <c r="L15" s="2">
        <f t="shared" si="0"/>
        <v>-7.7099999999991269</v>
      </c>
      <c r="M15" s="2"/>
      <c r="N15" s="19">
        <f t="shared" si="1"/>
        <v>-6.6987849220856834E-4</v>
      </c>
      <c r="O15" s="10"/>
      <c r="P15" s="2">
        <f>--590270.47</f>
        <v>590270.47</v>
      </c>
      <c r="Q15" s="2"/>
      <c r="R15" s="19"/>
      <c r="S15" s="2"/>
      <c r="T15" s="2">
        <f>--1256426.74</f>
        <v>1256426.74</v>
      </c>
      <c r="U15" s="2"/>
      <c r="V15" s="19"/>
      <c r="W15" s="2"/>
      <c r="X15" s="2">
        <f t="shared" si="2"/>
        <v>-666156.27</v>
      </c>
      <c r="Y15" s="2"/>
      <c r="Z15" s="19">
        <f t="shared" si="3"/>
        <v>-0.53019905482113505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--35.38</f>
        <v>35.380000000000003</v>
      </c>
      <c r="E22" s="2"/>
      <c r="F22" s="19"/>
      <c r="G22" s="2"/>
      <c r="H22" s="2">
        <f>--24.99</f>
        <v>24.99</v>
      </c>
      <c r="I22" s="2"/>
      <c r="J22" s="19"/>
      <c r="K22" s="2"/>
      <c r="L22" s="2">
        <f t="shared" si="0"/>
        <v>10.390000000000004</v>
      </c>
      <c r="M22" s="2"/>
      <c r="N22" s="19">
        <f t="shared" si="1"/>
        <v>0.41576630652260921</v>
      </c>
      <c r="O22" s="10"/>
      <c r="P22" s="2">
        <f>--508.48</f>
        <v>508.48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-3670.82</v>
      </c>
      <c r="Y22" s="2"/>
      <c r="Z22" s="19">
        <f t="shared" si="3"/>
        <v>-0.87833369224511282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6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7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6"/>
        <v>0</v>
      </c>
      <c r="E24" s="2"/>
      <c r="F24" s="19"/>
      <c r="G24" s="2"/>
      <c r="H24" s="2">
        <f>--17.25</f>
        <v>17.25</v>
      </c>
      <c r="I24" s="2"/>
      <c r="J24" s="19"/>
      <c r="K24" s="2"/>
      <c r="L24" s="2">
        <f t="shared" si="0"/>
        <v>-17.25</v>
      </c>
      <c r="M24" s="2"/>
      <c r="N24" s="19">
        <f t="shared" si="1"/>
        <v>-1</v>
      </c>
      <c r="O24" s="10"/>
      <c r="P24" s="2">
        <f t="shared" si="7"/>
        <v>0</v>
      </c>
      <c r="Q24" s="2"/>
      <c r="R24" s="19"/>
      <c r="S24" s="2"/>
      <c r="T24" s="2">
        <f>--54720.11</f>
        <v>54720.11</v>
      </c>
      <c r="U24" s="2"/>
      <c r="V24" s="19"/>
      <c r="W24" s="2"/>
      <c r="X24" s="2">
        <f t="shared" si="2"/>
        <v>-54720.11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--36.37</f>
        <v>36.369999999999997</v>
      </c>
      <c r="E25" s="2"/>
      <c r="F25" s="19"/>
      <c r="G25" s="2"/>
      <c r="H25" s="2">
        <f>--859.78</f>
        <v>859.78</v>
      </c>
      <c r="I25" s="2"/>
      <c r="J25" s="19"/>
      <c r="K25" s="2"/>
      <c r="L25" s="2">
        <f t="shared" si="0"/>
        <v>-823.41</v>
      </c>
      <c r="M25" s="2"/>
      <c r="N25" s="19">
        <f t="shared" si="1"/>
        <v>-0.95769848100676913</v>
      </c>
      <c r="O25" s="10"/>
      <c r="P25" s="2">
        <f>--522.54</f>
        <v>522.54</v>
      </c>
      <c r="Q25" s="2"/>
      <c r="R25" s="19"/>
      <c r="S25" s="2"/>
      <c r="T25" s="2">
        <f>--80809.49</f>
        <v>80809.490000000005</v>
      </c>
      <c r="U25" s="2"/>
      <c r="V25" s="19"/>
      <c r="W25" s="2"/>
      <c r="X25" s="2">
        <f t="shared" si="2"/>
        <v>-80286.950000000012</v>
      </c>
      <c r="Y25" s="2"/>
      <c r="Z25" s="19">
        <f t="shared" si="3"/>
        <v>-0.99353368026453337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--6033.32</f>
        <v>6033.32</v>
      </c>
      <c r="E26" s="2"/>
      <c r="F26" s="19"/>
      <c r="G26" s="2"/>
      <c r="H26" s="2">
        <f>--5530.51</f>
        <v>5530.51</v>
      </c>
      <c r="I26" s="2"/>
      <c r="J26" s="19"/>
      <c r="K26" s="2"/>
      <c r="L26" s="2">
        <f t="shared" si="0"/>
        <v>502.80999999999949</v>
      </c>
      <c r="M26" s="2"/>
      <c r="N26" s="19">
        <f t="shared" si="1"/>
        <v>9.091566600548584E-2</v>
      </c>
      <c r="O26" s="10"/>
      <c r="P26" s="2">
        <f>--70104.29</f>
        <v>70104.289999999994</v>
      </c>
      <c r="Q26" s="2"/>
      <c r="R26" s="19"/>
      <c r="S26" s="2"/>
      <c r="T26" s="2">
        <f>--276777.07</f>
        <v>276777.07</v>
      </c>
      <c r="U26" s="2"/>
      <c r="V26" s="19"/>
      <c r="W26" s="2"/>
      <c r="X26" s="2">
        <f t="shared" si="2"/>
        <v>-206672.78000000003</v>
      </c>
      <c r="Y26" s="2"/>
      <c r="Z26" s="19">
        <f t="shared" si="3"/>
        <v>-0.74671207408908558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--1495.15</f>
        <v>1495.15</v>
      </c>
      <c r="E27" s="2"/>
      <c r="F27" s="19"/>
      <c r="G27" s="2"/>
      <c r="H27" s="2">
        <f>--425.18</f>
        <v>425.18</v>
      </c>
      <c r="I27" s="2"/>
      <c r="J27" s="19"/>
      <c r="K27" s="2"/>
      <c r="L27" s="2">
        <f t="shared" si="0"/>
        <v>1069.97</v>
      </c>
      <c r="M27" s="2"/>
      <c r="N27" s="19">
        <f t="shared" si="1"/>
        <v>2.5165106543111153</v>
      </c>
      <c r="O27" s="10"/>
      <c r="P27" s="2">
        <f>--48395.32</f>
        <v>48395.32</v>
      </c>
      <c r="Q27" s="2"/>
      <c r="R27" s="19"/>
      <c r="S27" s="2"/>
      <c r="T27" s="2">
        <f>--293191.05</f>
        <v>293191.05</v>
      </c>
      <c r="U27" s="2"/>
      <c r="V27" s="19"/>
      <c r="W27" s="2"/>
      <c r="X27" s="2">
        <f t="shared" si="2"/>
        <v>-244795.72999999998</v>
      </c>
      <c r="Y27" s="2"/>
      <c r="Z27" s="19">
        <f t="shared" si="3"/>
        <v>-0.83493588907301231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--490.12</f>
        <v>490.12</v>
      </c>
      <c r="E28" s="2"/>
      <c r="F28" s="19"/>
      <c r="G28" s="2"/>
      <c r="H28" s="2">
        <f t="shared" ref="H28:H33" si="8">0</f>
        <v>0</v>
      </c>
      <c r="I28" s="2"/>
      <c r="J28" s="19"/>
      <c r="K28" s="2"/>
      <c r="L28" s="2">
        <f t="shared" si="0"/>
        <v>490.12</v>
      </c>
      <c r="M28" s="2"/>
      <c r="N28" s="19">
        <f t="shared" si="1"/>
        <v>0</v>
      </c>
      <c r="O28" s="10"/>
      <c r="P28" s="2">
        <f>--4700.71</f>
        <v>4700.71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4214.37</v>
      </c>
      <c r="Y28" s="2"/>
      <c r="Z28" s="19">
        <f t="shared" si="3"/>
        <v>8.6654809392606005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0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0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--187399.42</f>
        <v>187399.42</v>
      </c>
      <c r="E34" s="2"/>
      <c r="F34" s="19"/>
      <c r="G34" s="2"/>
      <c r="H34" s="2">
        <f>--50806.72</f>
        <v>50806.720000000001</v>
      </c>
      <c r="I34" s="2"/>
      <c r="J34" s="19"/>
      <c r="K34" s="2"/>
      <c r="L34" s="2">
        <f t="shared" si="0"/>
        <v>136592.70000000001</v>
      </c>
      <c r="M34" s="2"/>
      <c r="N34" s="19">
        <f t="shared" si="1"/>
        <v>2.6884770361086092</v>
      </c>
      <c r="O34" s="10"/>
      <c r="P34" s="2">
        <f>--1100580.15</f>
        <v>1100580.1499999999</v>
      </c>
      <c r="Q34" s="2"/>
      <c r="R34" s="19"/>
      <c r="S34" s="2"/>
      <c r="T34" s="2">
        <f>--1894910.12</f>
        <v>1894910.12</v>
      </c>
      <c r="U34" s="2"/>
      <c r="V34" s="19"/>
      <c r="W34" s="2"/>
      <c r="X34" s="2">
        <f t="shared" si="2"/>
        <v>-794329.9700000002</v>
      </c>
      <c r="Y34" s="2"/>
      <c r="Z34" s="19">
        <f t="shared" si="3"/>
        <v>-0.41919137040652893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--191315.61</f>
        <v>191315.61</v>
      </c>
      <c r="E35" s="2"/>
      <c r="F35" s="19"/>
      <c r="G35" s="2"/>
      <c r="H35" s="2">
        <f>--45499.27</f>
        <v>45499.27</v>
      </c>
      <c r="I35" s="2"/>
      <c r="J35" s="19"/>
      <c r="K35" s="2"/>
      <c r="L35" s="2">
        <f t="shared" si="0"/>
        <v>145816.34</v>
      </c>
      <c r="M35" s="2"/>
      <c r="N35" s="19">
        <f t="shared" si="1"/>
        <v>3.2048061430436139</v>
      </c>
      <c r="O35" s="10"/>
      <c r="P35" s="2">
        <f>--631772.59</f>
        <v>631772.59</v>
      </c>
      <c r="Q35" s="2"/>
      <c r="R35" s="19"/>
      <c r="S35" s="2"/>
      <c r="T35" s="2">
        <f>--526632.56</f>
        <v>526632.56000000006</v>
      </c>
      <c r="U35" s="2"/>
      <c r="V35" s="19"/>
      <c r="W35" s="2"/>
      <c r="X35" s="2">
        <f t="shared" si="2"/>
        <v>105140.02999999991</v>
      </c>
      <c r="Y35" s="2"/>
      <c r="Z35" s="19">
        <f t="shared" si="3"/>
        <v>0.19964589732165422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--8228.03</f>
        <v>8228.0300000000007</v>
      </c>
      <c r="E36" s="2"/>
      <c r="F36" s="19"/>
      <c r="G36" s="2"/>
      <c r="H36" s="2">
        <f>--3419.02</f>
        <v>3419.02</v>
      </c>
      <c r="I36" s="2"/>
      <c r="J36" s="19"/>
      <c r="K36" s="2"/>
      <c r="L36" s="2">
        <f t="shared" si="0"/>
        <v>4809.01</v>
      </c>
      <c r="M36" s="2"/>
      <c r="N36" s="19">
        <f t="shared" si="1"/>
        <v>1.4065463202906097</v>
      </c>
      <c r="O36" s="10"/>
      <c r="P36" s="2">
        <f>--108906.55</f>
        <v>108906.55</v>
      </c>
      <c r="Q36" s="2"/>
      <c r="R36" s="19"/>
      <c r="S36" s="2"/>
      <c r="T36" s="2">
        <f>--282721.2</f>
        <v>282721.2</v>
      </c>
      <c r="U36" s="2"/>
      <c r="V36" s="19"/>
      <c r="W36" s="2"/>
      <c r="X36" s="2">
        <f t="shared" si="2"/>
        <v>-173814.65000000002</v>
      </c>
      <c r="Y36" s="2"/>
      <c r="Z36" s="19">
        <f t="shared" si="3"/>
        <v>-0.61479170999557164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--7218.29</f>
        <v>7218.29</v>
      </c>
      <c r="E37" s="2"/>
      <c r="F37" s="19"/>
      <c r="G37" s="2"/>
      <c r="H37" s="2">
        <f>--49.95</f>
        <v>49.95</v>
      </c>
      <c r="I37" s="2"/>
      <c r="J37" s="19"/>
      <c r="K37" s="2"/>
      <c r="L37" s="2">
        <f t="shared" si="0"/>
        <v>7168.34</v>
      </c>
      <c r="M37" s="2"/>
      <c r="N37" s="19">
        <f t="shared" si="1"/>
        <v>143.5103103103103</v>
      </c>
      <c r="O37" s="10"/>
      <c r="P37" s="2">
        <f>--144077.67</f>
        <v>144077.67000000001</v>
      </c>
      <c r="Q37" s="2"/>
      <c r="R37" s="19"/>
      <c r="S37" s="2"/>
      <c r="T37" s="2">
        <f>--77269.18</f>
        <v>77269.179999999993</v>
      </c>
      <c r="U37" s="2"/>
      <c r="V37" s="19"/>
      <c r="W37" s="2"/>
      <c r="X37" s="2">
        <f t="shared" si="2"/>
        <v>66808.49000000002</v>
      </c>
      <c r="Y37" s="2"/>
      <c r="Z37" s="19">
        <f t="shared" si="3"/>
        <v>0.8646201499744145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--5024.1</f>
        <v>5024.1000000000004</v>
      </c>
      <c r="E38" s="2"/>
      <c r="F38" s="19"/>
      <c r="G38" s="2"/>
      <c r="H38" s="2">
        <f>--3915.24</f>
        <v>3915.24</v>
      </c>
      <c r="I38" s="2"/>
      <c r="J38" s="19"/>
      <c r="K38" s="2"/>
      <c r="L38" s="2">
        <f t="shared" si="0"/>
        <v>1108.8600000000006</v>
      </c>
      <c r="M38" s="2"/>
      <c r="N38" s="19">
        <f t="shared" si="1"/>
        <v>0.28321635455297778</v>
      </c>
      <c r="O38" s="10"/>
      <c r="P38" s="2">
        <f>--41116.33</f>
        <v>41116.33</v>
      </c>
      <c r="Q38" s="2"/>
      <c r="R38" s="19"/>
      <c r="S38" s="2"/>
      <c r="T38" s="2">
        <f>--71255.76</f>
        <v>71255.759999999995</v>
      </c>
      <c r="U38" s="2"/>
      <c r="V38" s="19"/>
      <c r="W38" s="2"/>
      <c r="X38" s="2">
        <f t="shared" si="2"/>
        <v>-30139.429999999993</v>
      </c>
      <c r="Y38" s="2"/>
      <c r="Z38" s="19">
        <f t="shared" si="3"/>
        <v>-0.42297534964190958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--26335.59</f>
        <v>26335.59</v>
      </c>
      <c r="E39" s="2"/>
      <c r="F39" s="19"/>
      <c r="G39" s="2"/>
      <c r="H39" s="2">
        <f>--13525.59</f>
        <v>13525.59</v>
      </c>
      <c r="I39" s="2"/>
      <c r="J39" s="19"/>
      <c r="K39" s="2"/>
      <c r="L39" s="2">
        <f t="shared" si="0"/>
        <v>12810</v>
      </c>
      <c r="M39" s="2"/>
      <c r="N39" s="19">
        <f t="shared" si="1"/>
        <v>0.947093620315269</v>
      </c>
      <c r="O39" s="10"/>
      <c r="P39" s="2">
        <f>--233577.93</f>
        <v>233577.93</v>
      </c>
      <c r="Q39" s="2"/>
      <c r="R39" s="19"/>
      <c r="S39" s="2"/>
      <c r="T39" s="2">
        <f>--96839.56</f>
        <v>96839.56</v>
      </c>
      <c r="U39" s="2"/>
      <c r="V39" s="19"/>
      <c r="W39" s="2"/>
      <c r="X39" s="2">
        <f t="shared" si="2"/>
        <v>136738.37</v>
      </c>
      <c r="Y39" s="2"/>
      <c r="Z39" s="19">
        <f t="shared" si="3"/>
        <v>1.4120094102038465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6" si="11">0</f>
        <v>0</v>
      </c>
      <c r="E40" s="2"/>
      <c r="F40" s="19"/>
      <c r="G40" s="2"/>
      <c r="H40" s="2">
        <f t="shared" ref="H40:H45" si="12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ref="P40:P41" si="13"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 t="shared" si="11"/>
        <v>0</v>
      </c>
      <c r="E41" s="2"/>
      <c r="F41" s="19"/>
      <c r="G41" s="2"/>
      <c r="H41" s="2">
        <f t="shared" si="12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3"/>
        <v>0</v>
      </c>
      <c r="Q41" s="2"/>
      <c r="R41" s="19"/>
      <c r="S41" s="2"/>
      <c r="T41" s="2">
        <f>--149404.53</f>
        <v>149404.53</v>
      </c>
      <c r="U41" s="2"/>
      <c r="V41" s="19"/>
      <c r="W41" s="2"/>
      <c r="X41" s="2">
        <f t="shared" si="2"/>
        <v>-149404.53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"4081", " - ", "TAXABLE SALES-ELECTRONICS")</f>
        <v xml:space="preserve">          4081 - TAXABLE SALES-ELECTRONICS</v>
      </c>
      <c r="C42" s="10"/>
      <c r="D42" s="2">
        <f t="shared" si="11"/>
        <v>0</v>
      </c>
      <c r="E42" s="2"/>
      <c r="F42" s="19"/>
      <c r="G42" s="2"/>
      <c r="H42" s="2">
        <f t="shared" si="12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--71.95</f>
        <v>71.95</v>
      </c>
      <c r="Q42" s="2"/>
      <c r="R42" s="19"/>
      <c r="S42" s="2"/>
      <c r="T42" s="2">
        <f>--3174.93</f>
        <v>3174.93</v>
      </c>
      <c r="U42" s="2"/>
      <c r="V42" s="19"/>
      <c r="W42" s="2"/>
      <c r="X42" s="2">
        <f t="shared" si="2"/>
        <v>-3102.98</v>
      </c>
      <c r="Y42" s="2"/>
      <c r="Z42" s="19">
        <f t="shared" si="3"/>
        <v>-0.97733808304435066</v>
      </c>
    </row>
    <row r="43" spans="1:26" s="23" customFormat="1" hidden="1" outlineLevel="1" x14ac:dyDescent="0.25">
      <c r="A43" s="44"/>
      <c r="B43" s="10" t="str">
        <f>CONCATENATE("          ", "4082", " - ", "TAXABLE SALES-COMPUTER HARDWAR")</f>
        <v xml:space="preserve">          4082 - TAXABLE SALES-COMPUTER HARDWAR</v>
      </c>
      <c r="C43" s="10"/>
      <c r="D43" s="2">
        <f t="shared" si="11"/>
        <v>0</v>
      </c>
      <c r="E43" s="2"/>
      <c r="F43" s="19"/>
      <c r="G43" s="2"/>
      <c r="H43" s="2">
        <f t="shared" si="12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0</f>
        <v>0</v>
      </c>
      <c r="Q43" s="2"/>
      <c r="R43" s="19"/>
      <c r="S43" s="2"/>
      <c r="T43" s="2">
        <f>--363.94</f>
        <v>363.94</v>
      </c>
      <c r="U43" s="2"/>
      <c r="V43" s="19"/>
      <c r="W43" s="2"/>
      <c r="X43" s="2">
        <f t="shared" si="2"/>
        <v>-363.94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"4083", " - ", "TAXABLE SALES-COMPUTER EQUIPME")</f>
        <v xml:space="preserve">          4083 - TAXABLE SALES-COMPUTER EQUIPME</v>
      </c>
      <c r="C44" s="10"/>
      <c r="D44" s="2">
        <f t="shared" si="11"/>
        <v>0</v>
      </c>
      <c r="E44" s="2"/>
      <c r="F44" s="19"/>
      <c r="G44" s="2"/>
      <c r="H44" s="2">
        <f t="shared" si="12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--9.99</f>
        <v>9.99</v>
      </c>
      <c r="Q44" s="2"/>
      <c r="R44" s="19"/>
      <c r="S44" s="2"/>
      <c r="T44" s="2">
        <f>--914.33</f>
        <v>914.33</v>
      </c>
      <c r="U44" s="2"/>
      <c r="V44" s="19"/>
      <c r="W44" s="2"/>
      <c r="X44" s="2">
        <f t="shared" si="2"/>
        <v>-904.34</v>
      </c>
      <c r="Y44" s="2"/>
      <c r="Z44" s="19">
        <f t="shared" si="3"/>
        <v>-0.98907396672973646</v>
      </c>
    </row>
    <row r="45" spans="1:26" s="23" customFormat="1" hidden="1" outlineLevel="1" x14ac:dyDescent="0.25">
      <c r="A45" s="44"/>
      <c r="B45" s="10" t="str">
        <f>CONCATENATE("          ", "4086", " - ", "TAXABLE SALES-COMPUTER SUPPLIE")</f>
        <v xml:space="preserve">          4086 - TAXABLE SALES-COMPUTER SUPPLIE</v>
      </c>
      <c r="C45" s="10"/>
      <c r="D45" s="2">
        <f t="shared" si="11"/>
        <v>0</v>
      </c>
      <c r="E45" s="2"/>
      <c r="F45" s="19"/>
      <c r="G45" s="2"/>
      <c r="H45" s="2">
        <f t="shared" si="12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 t="shared" ref="P45:P46" si="14">0</f>
        <v>0</v>
      </c>
      <c r="Q45" s="2"/>
      <c r="R45" s="19"/>
      <c r="S45" s="2"/>
      <c r="T45" s="2">
        <f>--813.74</f>
        <v>813.74</v>
      </c>
      <c r="U45" s="2"/>
      <c r="V45" s="19"/>
      <c r="W45" s="2"/>
      <c r="X45" s="2">
        <f t="shared" si="2"/>
        <v>-813.74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"4092", " - ", "TAXABLE SALES-GRAD MERCH")</f>
        <v xml:space="preserve">          4092 - TAXABLE SALES-GRAD MERCH</v>
      </c>
      <c r="C46" s="10"/>
      <c r="D46" s="2">
        <f t="shared" si="11"/>
        <v>0</v>
      </c>
      <c r="E46" s="2"/>
      <c r="F46" s="19"/>
      <c r="G46" s="2"/>
      <c r="H46" s="2">
        <f>--13527.29</f>
        <v>13527.29</v>
      </c>
      <c r="I46" s="2"/>
      <c r="J46" s="19"/>
      <c r="K46" s="2"/>
      <c r="L46" s="2">
        <f t="shared" si="0"/>
        <v>-13527.29</v>
      </c>
      <c r="M46" s="2"/>
      <c r="N46" s="19">
        <f t="shared" si="1"/>
        <v>-1</v>
      </c>
      <c r="O46" s="10"/>
      <c r="P46" s="2">
        <f t="shared" si="14"/>
        <v>0</v>
      </c>
      <c r="Q46" s="2"/>
      <c r="R46" s="19"/>
      <c r="S46" s="2"/>
      <c r="T46" s="2">
        <f>--35353.71</f>
        <v>35353.71</v>
      </c>
      <c r="U46" s="2"/>
      <c r="V46" s="19"/>
      <c r="W46" s="2"/>
      <c r="X46" s="2">
        <f t="shared" si="2"/>
        <v>-35353.71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"4095", " - ", "TAXABLE SALES-CUSTOMER SERVICE")</f>
        <v xml:space="preserve">          4095 - TAXABLE SALES-CUSTOMER SERVICE</v>
      </c>
      <c r="C47" s="10"/>
      <c r="D47" s="2">
        <f>--10891.24</f>
        <v>10891.24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10891.24</v>
      </c>
      <c r="M47" s="2"/>
      <c r="N47" s="19">
        <f t="shared" si="1"/>
        <v>0</v>
      </c>
      <c r="O47" s="10"/>
      <c r="P47" s="2">
        <f>--13925.83</f>
        <v>13925.83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13616.57</v>
      </c>
      <c r="Y47" s="2"/>
      <c r="Z47" s="19">
        <f t="shared" si="3"/>
        <v>44.029522084977039</v>
      </c>
    </row>
    <row r="48" spans="1:26" s="23" customFormat="1" hidden="1" outlineLevel="1" x14ac:dyDescent="0.25">
      <c r="A48" s="44"/>
      <c r="B48" s="10" t="str">
        <f>CONCATENATE("          ", "4100", " - ", "NON-TAXABLE SALES")</f>
        <v xml:space="preserve">          4100 - NON-TAXABLE SALES</v>
      </c>
      <c r="C48" s="10"/>
      <c r="D48" s="2">
        <f>--3546.21</f>
        <v>3546.21</v>
      </c>
      <c r="E48" s="2"/>
      <c r="F48" s="19"/>
      <c r="G48" s="2"/>
      <c r="H48" s="2">
        <f>--5210.55</f>
        <v>5210.55</v>
      </c>
      <c r="I48" s="2"/>
      <c r="J48" s="19"/>
      <c r="K48" s="2"/>
      <c r="L48" s="2">
        <f t="shared" si="0"/>
        <v>-1664.3400000000001</v>
      </c>
      <c r="M48" s="2"/>
      <c r="N48" s="19">
        <f t="shared" si="1"/>
        <v>-0.31941733598180616</v>
      </c>
      <c r="O48" s="10"/>
      <c r="P48" s="2">
        <f>--277384.98</f>
        <v>277384.98</v>
      </c>
      <c r="Q48" s="2"/>
      <c r="R48" s="19"/>
      <c r="S48" s="2"/>
      <c r="T48" s="2">
        <f>--607447.02</f>
        <v>607447.02</v>
      </c>
      <c r="U48" s="2"/>
      <c r="V48" s="19"/>
      <c r="W48" s="2"/>
      <c r="X48" s="2">
        <f t="shared" si="2"/>
        <v>-330062.04000000004</v>
      </c>
      <c r="Y48" s="2"/>
      <c r="Z48" s="19">
        <f t="shared" si="3"/>
        <v>-0.54335938630499825</v>
      </c>
    </row>
    <row r="49" spans="1:26" s="23" customFormat="1" hidden="1" outlineLevel="1" x14ac:dyDescent="0.25">
      <c r="A49" s="44"/>
      <c r="B49" s="10" t="str">
        <f>CONCATENATE("          ", "4101", " - ", "NON-TAXABLE SALES-NEW TEXT")</f>
        <v xml:space="preserve">          4101 - NON-TAXABLE SALES-NEW TEXT</v>
      </c>
      <c r="C49" s="10"/>
      <c r="D49" s="2">
        <f>--6450.33</f>
        <v>6450.33</v>
      </c>
      <c r="E49" s="2"/>
      <c r="F49" s="19"/>
      <c r="G49" s="2"/>
      <c r="H49" s="2">
        <f>--7118.9</f>
        <v>7118.9</v>
      </c>
      <c r="I49" s="2"/>
      <c r="J49" s="19"/>
      <c r="K49" s="2"/>
      <c r="L49" s="2">
        <f t="shared" si="0"/>
        <v>-668.56999999999971</v>
      </c>
      <c r="M49" s="2"/>
      <c r="N49" s="19">
        <f t="shared" si="1"/>
        <v>-9.3914790206352072E-2</v>
      </c>
      <c r="O49" s="10"/>
      <c r="P49" s="2">
        <f>--119247.07</f>
        <v>119247.07</v>
      </c>
      <c r="Q49" s="2"/>
      <c r="R49" s="19"/>
      <c r="S49" s="2"/>
      <c r="T49" s="2">
        <f>--151282.34</f>
        <v>151282.34</v>
      </c>
      <c r="U49" s="2"/>
      <c r="V49" s="19"/>
      <c r="W49" s="2"/>
      <c r="X49" s="2">
        <f t="shared" si="2"/>
        <v>-32035.26999999999</v>
      </c>
      <c r="Y49" s="2"/>
      <c r="Z49" s="19">
        <f t="shared" si="3"/>
        <v>-0.2117581602717144</v>
      </c>
    </row>
    <row r="50" spans="1:26" s="23" customFormat="1" hidden="1" outlineLevel="1" x14ac:dyDescent="0.25">
      <c r="A50" s="44"/>
      <c r="B50" s="10" t="str">
        <f>CONCATENATE("          ", "4102", " - ", "NON-TAXABLE SALES-USED TEXT")</f>
        <v xml:space="preserve">          4102 - NON-TAXABLE SALES-USED TEXT</v>
      </c>
      <c r="C50" s="10"/>
      <c r="D50" s="2">
        <f>--2343.31</f>
        <v>2343.31</v>
      </c>
      <c r="E50" s="2"/>
      <c r="F50" s="19"/>
      <c r="G50" s="2"/>
      <c r="H50" s="2">
        <f>--565.56</f>
        <v>565.55999999999995</v>
      </c>
      <c r="I50" s="2"/>
      <c r="J50" s="19"/>
      <c r="K50" s="2"/>
      <c r="L50" s="2">
        <f t="shared" si="0"/>
        <v>1777.75</v>
      </c>
      <c r="M50" s="2"/>
      <c r="N50" s="19">
        <f t="shared" si="1"/>
        <v>3.1433446495508881</v>
      </c>
      <c r="O50" s="10"/>
      <c r="P50" s="2">
        <f>--51046.73</f>
        <v>51046.73</v>
      </c>
      <c r="Q50" s="2"/>
      <c r="R50" s="19"/>
      <c r="S50" s="2"/>
      <c r="T50" s="2">
        <f>--70225.46</f>
        <v>70225.460000000006</v>
      </c>
      <c r="U50" s="2"/>
      <c r="V50" s="19"/>
      <c r="W50" s="2"/>
      <c r="X50" s="2">
        <f t="shared" si="2"/>
        <v>-19178.730000000003</v>
      </c>
      <c r="Y50" s="2"/>
      <c r="Z50" s="19">
        <f t="shared" si="3"/>
        <v>-0.2731022338621919</v>
      </c>
    </row>
    <row r="51" spans="1:26" s="23" customFormat="1" hidden="1" outlineLevel="1" x14ac:dyDescent="0.25">
      <c r="A51" s="44"/>
      <c r="B51" s="10" t="str">
        <f>CONCATENATE("          ", "4103", " - ", "NON-TAXABLE SALES-RENTAL TEXT")</f>
        <v xml:space="preserve">          4103 - NON-TAXABLE SALES-RENTAL TEXT</v>
      </c>
      <c r="C51" s="10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3" customFormat="1" hidden="1" outlineLevel="1" x14ac:dyDescent="0.25">
      <c r="A52" s="44"/>
      <c r="B52" s="10" t="str">
        <f>CONCATENATE("          ", "4104", " - ", "NON-TAXABLE SALES-DIGITAL TEXT")</f>
        <v xml:space="preserve">          4104 - NON-TAXABLE SALES-DIGITAL TEXT</v>
      </c>
      <c r="C52" s="10"/>
      <c r="D52" s="2">
        <f>--10484.56</f>
        <v>10484.56</v>
      </c>
      <c r="E52" s="2"/>
      <c r="F52" s="19"/>
      <c r="G52" s="2"/>
      <c r="H52" s="2">
        <f>--4949.29</f>
        <v>4949.29</v>
      </c>
      <c r="I52" s="2"/>
      <c r="J52" s="19"/>
      <c r="K52" s="2"/>
      <c r="L52" s="2">
        <f t="shared" si="0"/>
        <v>5535.2699999999995</v>
      </c>
      <c r="M52" s="2"/>
      <c r="N52" s="19">
        <f t="shared" si="1"/>
        <v>1.1183967801442227</v>
      </c>
      <c r="O52" s="10"/>
      <c r="P52" s="2">
        <f>--490887.73</f>
        <v>490887.73</v>
      </c>
      <c r="Q52" s="2"/>
      <c r="R52" s="19"/>
      <c r="S52" s="2"/>
      <c r="T52" s="2">
        <f>--531803.38</f>
        <v>531803.38</v>
      </c>
      <c r="U52" s="2"/>
      <c r="V52" s="19"/>
      <c r="W52" s="2"/>
      <c r="X52" s="2">
        <f t="shared" si="2"/>
        <v>-40915.650000000023</v>
      </c>
      <c r="Y52" s="2"/>
      <c r="Z52" s="19">
        <f t="shared" si="3"/>
        <v>-7.6937551619171776E-2</v>
      </c>
    </row>
    <row r="53" spans="1:26" s="23" customFormat="1" hidden="1" outlineLevel="1" x14ac:dyDescent="0.25">
      <c r="A53" s="44"/>
      <c r="B53" s="10" t="str">
        <f>CONCATENATE("          ", "4111", " - ", "NON-TAXABLE SALES-NO VALUE TEX")</f>
        <v xml:space="preserve">          4111 - NON-TAXABLE SALES-NO VALUE TEX</v>
      </c>
      <c r="C53" s="10"/>
      <c r="D53" s="2">
        <f t="shared" ref="D53:D58" si="15">0</f>
        <v>0</v>
      </c>
      <c r="E53" s="2"/>
      <c r="F53" s="19"/>
      <c r="G53" s="2"/>
      <c r="H53" s="2">
        <f>--340.46</f>
        <v>340.46</v>
      </c>
      <c r="I53" s="2"/>
      <c r="J53" s="19"/>
      <c r="K53" s="2"/>
      <c r="L53" s="2">
        <f t="shared" si="0"/>
        <v>-340.46</v>
      </c>
      <c r="M53" s="2"/>
      <c r="N53" s="19">
        <f t="shared" si="1"/>
        <v>-1</v>
      </c>
      <c r="O53" s="10"/>
      <c r="P53" s="2">
        <f>0</f>
        <v>0</v>
      </c>
      <c r="Q53" s="2"/>
      <c r="R53" s="19"/>
      <c r="S53" s="2"/>
      <c r="T53" s="2">
        <f>--15663.46</f>
        <v>15663.46</v>
      </c>
      <c r="U53" s="2"/>
      <c r="V53" s="19"/>
      <c r="W53" s="2"/>
      <c r="X53" s="2">
        <f t="shared" si="2"/>
        <v>-15663.46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"4113", " - ", "NON-TAXABLE SALES-TRADE BOOKS")</f>
        <v xml:space="preserve">          4113 - NON-TAXABLE SALES-TRADE BOOKS</v>
      </c>
      <c r="C54" s="10"/>
      <c r="D54" s="2">
        <f t="shared" si="15"/>
        <v>0</v>
      </c>
      <c r="E54" s="2"/>
      <c r="F54" s="19"/>
      <c r="G54" s="2"/>
      <c r="H54" s="2">
        <f>--24.24</f>
        <v>24.24</v>
      </c>
      <c r="I54" s="2"/>
      <c r="J54" s="19"/>
      <c r="K54" s="2"/>
      <c r="L54" s="2">
        <f t="shared" si="0"/>
        <v>-24.24</v>
      </c>
      <c r="M54" s="2"/>
      <c r="N54" s="19">
        <f t="shared" si="1"/>
        <v>-1</v>
      </c>
      <c r="O54" s="10"/>
      <c r="P54" s="2">
        <f>--12127.25</f>
        <v>12127.25</v>
      </c>
      <c r="Q54" s="2"/>
      <c r="R54" s="19"/>
      <c r="S54" s="2"/>
      <c r="T54" s="2">
        <f>--8266.16</f>
        <v>8266.16</v>
      </c>
      <c r="U54" s="2"/>
      <c r="V54" s="19"/>
      <c r="W54" s="2"/>
      <c r="X54" s="2">
        <f t="shared" si="2"/>
        <v>3861.09</v>
      </c>
      <c r="Y54" s="2"/>
      <c r="Z54" s="19">
        <f t="shared" si="3"/>
        <v>0.46709596717218155</v>
      </c>
    </row>
    <row r="55" spans="1:26" s="23" customFormat="1" hidden="1" outlineLevel="1" x14ac:dyDescent="0.25">
      <c r="A55" s="44"/>
      <c r="B55" s="10" t="str">
        <f>CONCATENATE("          ", "4114", " - ", "NON-TAXABLE SALES-REMAINDERS")</f>
        <v xml:space="preserve">          4114 - NON-TAXABLE SALES-REMAINDERS</v>
      </c>
      <c r="C55" s="10"/>
      <c r="D55" s="2">
        <f t="shared" si="15"/>
        <v>0</v>
      </c>
      <c r="E55" s="2"/>
      <c r="F55" s="19"/>
      <c r="G55" s="2"/>
      <c r="H55" s="2">
        <f>--3.19</f>
        <v>3.19</v>
      </c>
      <c r="I55" s="2"/>
      <c r="J55" s="19"/>
      <c r="K55" s="2"/>
      <c r="L55" s="2">
        <f t="shared" si="0"/>
        <v>-3.19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--3.19</f>
        <v>3.19</v>
      </c>
      <c r="U55" s="2"/>
      <c r="V55" s="19"/>
      <c r="W55" s="2"/>
      <c r="X55" s="2">
        <f t="shared" si="2"/>
        <v>-3.19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"4118", " - ", "NON-TAXABLE SALES-STUDY GUIDES")</f>
        <v xml:space="preserve">          4118 - NON-TAXABLE SALES-STUDY GUIDES</v>
      </c>
      <c r="C56" s="10"/>
      <c r="D56" s="2">
        <f t="shared" si="15"/>
        <v>0</v>
      </c>
      <c r="E56" s="2"/>
      <c r="F56" s="19"/>
      <c r="G56" s="2"/>
      <c r="H56" s="2">
        <f>--40</f>
        <v>40</v>
      </c>
      <c r="I56" s="2"/>
      <c r="J56" s="19"/>
      <c r="K56" s="2"/>
      <c r="L56" s="2">
        <f t="shared" si="0"/>
        <v>-40</v>
      </c>
      <c r="M56" s="2"/>
      <c r="N56" s="19">
        <f t="shared" si="1"/>
        <v>-1</v>
      </c>
      <c r="O56" s="10"/>
      <c r="P56" s="2">
        <f>--771.73</f>
        <v>771.73</v>
      </c>
      <c r="Q56" s="2"/>
      <c r="R56" s="19"/>
      <c r="S56" s="2"/>
      <c r="T56" s="2">
        <f>--115.94</f>
        <v>115.94</v>
      </c>
      <c r="U56" s="2"/>
      <c r="V56" s="19"/>
      <c r="W56" s="2"/>
      <c r="X56" s="2">
        <f t="shared" si="2"/>
        <v>655.79</v>
      </c>
      <c r="Y56" s="2"/>
      <c r="Z56" s="19">
        <f t="shared" si="3"/>
        <v>5.6562877350353631</v>
      </c>
    </row>
    <row r="57" spans="1:26" s="23" customFormat="1" hidden="1" outlineLevel="1" x14ac:dyDescent="0.25">
      <c r="A57" s="44"/>
      <c r="B57" s="10" t="str">
        <f>CONCATENATE("          ", "4125", " - ", "NON-TAXABLE SALES-TEST FORMS")</f>
        <v xml:space="preserve">          4125 - NON-TAXABLE SALES-TEST FORMS</v>
      </c>
      <c r="C57" s="10"/>
      <c r="D57" s="2">
        <f t="shared" si="15"/>
        <v>0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0"/>
      <c r="P57" s="2">
        <f>0</f>
        <v>0</v>
      </c>
      <c r="Q57" s="2"/>
      <c r="R57" s="19"/>
      <c r="S57" s="2"/>
      <c r="T57" s="2">
        <f>--267.61</f>
        <v>267.61</v>
      </c>
      <c r="U57" s="2"/>
      <c r="V57" s="19"/>
      <c r="W57" s="2"/>
      <c r="X57" s="2">
        <f t="shared" si="2"/>
        <v>-267.61</v>
      </c>
      <c r="Y57" s="2"/>
      <c r="Z57" s="19">
        <f t="shared" si="3"/>
        <v>-1</v>
      </c>
    </row>
    <row r="58" spans="1:26" s="23" customFormat="1" hidden="1" outlineLevel="1" x14ac:dyDescent="0.25">
      <c r="A58" s="44"/>
      <c r="B58" s="10" t="str">
        <f>CONCATENATE("          ", "4126", " - ", "NON-TAXABLE SALES-WRITING INST")</f>
        <v xml:space="preserve">          4126 - NON-TAXABLE SALES-WRITING INST</v>
      </c>
      <c r="C58" s="10"/>
      <c r="D58" s="2">
        <f t="shared" si="15"/>
        <v>0</v>
      </c>
      <c r="E58" s="2"/>
      <c r="F58" s="19"/>
      <c r="G58" s="2"/>
      <c r="H58" s="2">
        <f>--110.56</f>
        <v>110.56</v>
      </c>
      <c r="I58" s="2"/>
      <c r="J58" s="19"/>
      <c r="K58" s="2"/>
      <c r="L58" s="2">
        <f t="shared" si="0"/>
        <v>-110.56</v>
      </c>
      <c r="M58" s="2"/>
      <c r="N58" s="19">
        <f t="shared" si="1"/>
        <v>-1</v>
      </c>
      <c r="O58" s="10"/>
      <c r="P58" s="2">
        <f>--52.68</f>
        <v>52.68</v>
      </c>
      <c r="Q58" s="2"/>
      <c r="R58" s="19"/>
      <c r="S58" s="2"/>
      <c r="T58" s="2">
        <f>--3133.42</f>
        <v>3133.42</v>
      </c>
      <c r="U58" s="2"/>
      <c r="V58" s="19"/>
      <c r="W58" s="2"/>
      <c r="X58" s="2">
        <f t="shared" si="2"/>
        <v>-3080.7400000000002</v>
      </c>
      <c r="Y58" s="2"/>
      <c r="Z58" s="19">
        <f t="shared" si="3"/>
        <v>-0.98318769906364301</v>
      </c>
    </row>
    <row r="59" spans="1:26" s="23" customFormat="1" hidden="1" outlineLevel="1" x14ac:dyDescent="0.25">
      <c r="A59" s="44"/>
      <c r="B59" s="10" t="str">
        <f>CONCATENATE("          ", "4127", " - ", "NON-TAXABLE SALES-SCHOOL SUPPL")</f>
        <v xml:space="preserve">          4127 - NON-TAXABLE SALES-SCHOOL SUPPL</v>
      </c>
      <c r="C59" s="10"/>
      <c r="D59" s="2">
        <f>--548.05</f>
        <v>548.04999999999995</v>
      </c>
      <c r="E59" s="2"/>
      <c r="F59" s="19"/>
      <c r="G59" s="2"/>
      <c r="H59" s="2">
        <f>--226.84</f>
        <v>226.84</v>
      </c>
      <c r="I59" s="2"/>
      <c r="J59" s="19"/>
      <c r="K59" s="2"/>
      <c r="L59" s="2">
        <f t="shared" si="0"/>
        <v>321.20999999999992</v>
      </c>
      <c r="M59" s="2"/>
      <c r="N59" s="19">
        <f t="shared" si="1"/>
        <v>1.4160201022747307</v>
      </c>
      <c r="O59" s="10"/>
      <c r="P59" s="2">
        <f>--7648.73</f>
        <v>7648.73</v>
      </c>
      <c r="Q59" s="2"/>
      <c r="R59" s="19"/>
      <c r="S59" s="2"/>
      <c r="T59" s="2">
        <f>--6373.71</f>
        <v>6373.71</v>
      </c>
      <c r="U59" s="2"/>
      <c r="V59" s="19"/>
      <c r="W59" s="2"/>
      <c r="X59" s="2">
        <f t="shared" si="2"/>
        <v>1275.0199999999995</v>
      </c>
      <c r="Y59" s="2"/>
      <c r="Z59" s="19">
        <f t="shared" si="3"/>
        <v>0.20004361666909845</v>
      </c>
    </row>
    <row r="60" spans="1:26" s="23" customFormat="1" hidden="1" outlineLevel="1" x14ac:dyDescent="0.25">
      <c r="A60" s="44"/>
      <c r="B60" s="10" t="str">
        <f>CONCATENATE("          ", "4128", " - ", "NON-TAXABLE SALES-ART/TECH")</f>
        <v xml:space="preserve">          4128 - NON-TAXABLE SALES-ART/TECH</v>
      </c>
      <c r="C60" s="10"/>
      <c r="D60" s="2">
        <f>--45.96</f>
        <v>45.96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45.96</v>
      </c>
      <c r="M60" s="2"/>
      <c r="N60" s="19">
        <f t="shared" si="1"/>
        <v>0</v>
      </c>
      <c r="O60" s="10"/>
      <c r="P60" s="2">
        <f>--115.91</f>
        <v>115.91</v>
      </c>
      <c r="Q60" s="2"/>
      <c r="R60" s="19"/>
      <c r="S60" s="2"/>
      <c r="T60" s="2">
        <f>--730.62</f>
        <v>730.62</v>
      </c>
      <c r="U60" s="2"/>
      <c r="V60" s="19"/>
      <c r="W60" s="2"/>
      <c r="X60" s="2">
        <f t="shared" si="2"/>
        <v>-614.71</v>
      </c>
      <c r="Y60" s="2"/>
      <c r="Z60" s="19">
        <f t="shared" si="3"/>
        <v>-0.841353918589691</v>
      </c>
    </row>
    <row r="61" spans="1:26" s="23" customFormat="1" hidden="1" outlineLevel="1" x14ac:dyDescent="0.25">
      <c r="A61" s="44"/>
      <c r="B61" s="10" t="str">
        <f>CONCATENATE("          ", "4131", " - ", "NON-TAXABLE SALES-FOOD")</f>
        <v xml:space="preserve">          4131 - NON-TAXABLE SALES-FOOD</v>
      </c>
      <c r="C61" s="10"/>
      <c r="D61" s="2">
        <f>--775.78</f>
        <v>775.78</v>
      </c>
      <c r="E61" s="2"/>
      <c r="F61" s="19"/>
      <c r="G61" s="2"/>
      <c r="H61" s="2">
        <f>--8.64</f>
        <v>8.64</v>
      </c>
      <c r="I61" s="2"/>
      <c r="J61" s="19"/>
      <c r="K61" s="2"/>
      <c r="L61" s="2">
        <f t="shared" si="0"/>
        <v>767.14</v>
      </c>
      <c r="M61" s="2"/>
      <c r="N61" s="19">
        <f t="shared" si="1"/>
        <v>88.789351851851848</v>
      </c>
      <c r="O61" s="10"/>
      <c r="P61" s="2">
        <f>--12156.14</f>
        <v>12156.14</v>
      </c>
      <c r="Q61" s="2"/>
      <c r="R61" s="19"/>
      <c r="S61" s="2"/>
      <c r="T61" s="2">
        <f>--57896.18</f>
        <v>57896.18</v>
      </c>
      <c r="U61" s="2"/>
      <c r="V61" s="19"/>
      <c r="W61" s="2"/>
      <c r="X61" s="2">
        <f t="shared" si="2"/>
        <v>-45740.04</v>
      </c>
      <c r="Y61" s="2"/>
      <c r="Z61" s="19">
        <f t="shared" si="3"/>
        <v>-0.79003554293219347</v>
      </c>
    </row>
    <row r="62" spans="1:26" s="23" customFormat="1" hidden="1" outlineLevel="1" x14ac:dyDescent="0.25">
      <c r="A62" s="44"/>
      <c r="B62" s="10" t="str">
        <f>CONCATENATE("          ", "4132", " - ", "NON-TAXABLE SALES-JUICE")</f>
        <v xml:space="preserve">          4132 - NON-TAXABLE SALES-JUICE</v>
      </c>
      <c r="C62" s="10"/>
      <c r="D62" s="2">
        <f t="shared" ref="D62:D66" si="16"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0"/>
      <c r="P62" s="2">
        <f>--2054.37</f>
        <v>2054.37</v>
      </c>
      <c r="Q62" s="2"/>
      <c r="R62" s="19"/>
      <c r="S62" s="2"/>
      <c r="T62" s="2">
        <f>--1109977.78</f>
        <v>1109977.78</v>
      </c>
      <c r="U62" s="2"/>
      <c r="V62" s="19"/>
      <c r="W62" s="2"/>
      <c r="X62" s="2">
        <f t="shared" si="2"/>
        <v>-1107923.4099999999</v>
      </c>
      <c r="Y62" s="2"/>
      <c r="Z62" s="19">
        <f t="shared" si="3"/>
        <v>-0.99814917916645129</v>
      </c>
    </row>
    <row r="63" spans="1:26" s="23" customFormat="1" hidden="1" outlineLevel="1" x14ac:dyDescent="0.25">
      <c r="A63" s="44"/>
      <c r="B63" s="10" t="str">
        <f>CONCATENATE("          ", "4133", " - ", "NON-TAXABLE SALES-CANDY")</f>
        <v xml:space="preserve">          4133 - NON-TAXABLE SALES-CANDY</v>
      </c>
      <c r="C63" s="10"/>
      <c r="D63" s="2">
        <f t="shared" si="16"/>
        <v>0</v>
      </c>
      <c r="E63" s="2"/>
      <c r="F63" s="19"/>
      <c r="G63" s="2"/>
      <c r="H63" s="2">
        <f>--48.27</f>
        <v>48.27</v>
      </c>
      <c r="I63" s="2"/>
      <c r="J63" s="19"/>
      <c r="K63" s="2"/>
      <c r="L63" s="2">
        <f t="shared" si="0"/>
        <v>-48.27</v>
      </c>
      <c r="M63" s="2"/>
      <c r="N63" s="19">
        <f t="shared" si="1"/>
        <v>-1</v>
      </c>
      <c r="O63" s="10"/>
      <c r="P63" s="2">
        <f>--80.71</f>
        <v>80.709999999999994</v>
      </c>
      <c r="Q63" s="2"/>
      <c r="R63" s="19"/>
      <c r="S63" s="2"/>
      <c r="T63" s="2">
        <f>--18138.32</f>
        <v>18138.32</v>
      </c>
      <c r="U63" s="2"/>
      <c r="V63" s="19"/>
      <c r="W63" s="2"/>
      <c r="X63" s="2">
        <f t="shared" si="2"/>
        <v>-18057.61</v>
      </c>
      <c r="Y63" s="2"/>
      <c r="Z63" s="19">
        <f t="shared" si="3"/>
        <v>-0.99555030454860216</v>
      </c>
    </row>
    <row r="64" spans="1:26" s="23" customFormat="1" hidden="1" outlineLevel="1" x14ac:dyDescent="0.25">
      <c r="A64" s="44"/>
      <c r="B64" s="10" t="str">
        <f>CONCATENATE("          ", "4134", " - ", "NON-TAXABLE SALES-SODA")</f>
        <v xml:space="preserve">          4134 - NON-TAXABLE SALES-SODA</v>
      </c>
      <c r="C64" s="10"/>
      <c r="D64" s="2">
        <f t="shared" si="16"/>
        <v>0</v>
      </c>
      <c r="E64" s="2"/>
      <c r="F64" s="19"/>
      <c r="G64" s="2"/>
      <c r="H64" s="2">
        <f>--23.64</f>
        <v>23.64</v>
      </c>
      <c r="I64" s="2"/>
      <c r="J64" s="19"/>
      <c r="K64" s="2"/>
      <c r="L64" s="2">
        <f t="shared" si="0"/>
        <v>-23.64</v>
      </c>
      <c r="M64" s="2"/>
      <c r="N64" s="19">
        <f t="shared" si="1"/>
        <v>-1</v>
      </c>
      <c r="O64" s="10"/>
      <c r="P64" s="2">
        <f>--45.53</f>
        <v>45.53</v>
      </c>
      <c r="Q64" s="2"/>
      <c r="R64" s="19"/>
      <c r="S64" s="2"/>
      <c r="T64" s="2">
        <f>--96.73</f>
        <v>96.73</v>
      </c>
      <c r="U64" s="2"/>
      <c r="V64" s="19"/>
      <c r="W64" s="2"/>
      <c r="X64" s="2">
        <f t="shared" si="2"/>
        <v>-51.2</v>
      </c>
      <c r="Y64" s="2"/>
      <c r="Z64" s="19">
        <f t="shared" si="3"/>
        <v>-0.52930838416210069</v>
      </c>
    </row>
    <row r="65" spans="1:26" s="23" customFormat="1" hidden="1" outlineLevel="1" x14ac:dyDescent="0.25">
      <c r="A65" s="44"/>
      <c r="B65" s="10" t="str">
        <f>CONCATENATE("          ", "4135", " - ", "NON-TAXABLE SALES")</f>
        <v xml:space="preserve">          4135 - NON-TAXABLE SALES</v>
      </c>
      <c r="C65" s="10"/>
      <c r="D65" s="2">
        <f t="shared" si="16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0</f>
        <v>0</v>
      </c>
      <c r="Q65" s="2"/>
      <c r="R65" s="19"/>
      <c r="S65" s="2"/>
      <c r="T65" s="2">
        <f>--161.4</f>
        <v>161.4</v>
      </c>
      <c r="U65" s="2"/>
      <c r="V65" s="19"/>
      <c r="W65" s="2"/>
      <c r="X65" s="2">
        <f t="shared" si="2"/>
        <v>-161.4</v>
      </c>
      <c r="Y65" s="2"/>
      <c r="Z65" s="19">
        <f t="shared" si="3"/>
        <v>-1</v>
      </c>
    </row>
    <row r="66" spans="1:26" s="23" customFormat="1" hidden="1" outlineLevel="1" x14ac:dyDescent="0.25">
      <c r="A66" s="44"/>
      <c r="B66" s="10" t="str">
        <f>CONCATENATE("          ", "4137", " - ", "NON-TAXABLE SALES-WATER")</f>
        <v xml:space="preserve">          4137 - NON-TAXABLE SALES-WATER</v>
      </c>
      <c r="C66" s="10"/>
      <c r="D66" s="2">
        <f t="shared" si="16"/>
        <v>0</v>
      </c>
      <c r="E66" s="2"/>
      <c r="F66" s="19"/>
      <c r="G66" s="2"/>
      <c r="H66" s="2">
        <f>--2.24</f>
        <v>2.2400000000000002</v>
      </c>
      <c r="I66" s="2"/>
      <c r="J66" s="19"/>
      <c r="K66" s="2"/>
      <c r="L66" s="2">
        <f t="shared" si="0"/>
        <v>-2.2400000000000002</v>
      </c>
      <c r="M66" s="2"/>
      <c r="N66" s="19">
        <f t="shared" si="1"/>
        <v>-1</v>
      </c>
      <c r="O66" s="10"/>
      <c r="P66" s="2">
        <f>--68.25</f>
        <v>68.25</v>
      </c>
      <c r="Q66" s="2"/>
      <c r="R66" s="19"/>
      <c r="S66" s="2"/>
      <c r="T66" s="2">
        <f>--10094.74</f>
        <v>10094.74</v>
      </c>
      <c r="U66" s="2"/>
      <c r="V66" s="19"/>
      <c r="W66" s="2"/>
      <c r="X66" s="2">
        <f t="shared" si="2"/>
        <v>-10026.49</v>
      </c>
      <c r="Y66" s="2"/>
      <c r="Z66" s="19">
        <f t="shared" si="3"/>
        <v>-0.99323905320988948</v>
      </c>
    </row>
    <row r="67" spans="1:26" s="23" customFormat="1" hidden="1" outlineLevel="1" x14ac:dyDescent="0.25">
      <c r="A67" s="44"/>
      <c r="B67" s="10" t="str">
        <f>CONCATENATE("          ", "4140", " - ", "NON-TAXABLE SALES-LOGO CLOTHIN")</f>
        <v xml:space="preserve">          4140 - NON-TAXABLE SALES-LOGO CLOTHIN</v>
      </c>
      <c r="C67" s="10"/>
      <c r="D67" s="2">
        <f>--16733.37</f>
        <v>16733.37</v>
      </c>
      <c r="E67" s="2"/>
      <c r="F67" s="19"/>
      <c r="G67" s="2"/>
      <c r="H67" s="2">
        <f>--56556.05</f>
        <v>56556.05</v>
      </c>
      <c r="I67" s="2"/>
      <c r="J67" s="19"/>
      <c r="K67" s="2"/>
      <c r="L67" s="2">
        <f t="shared" si="0"/>
        <v>-39822.680000000008</v>
      </c>
      <c r="M67" s="2"/>
      <c r="N67" s="19">
        <f t="shared" si="1"/>
        <v>-0.70412767511168139</v>
      </c>
      <c r="O67" s="10"/>
      <c r="P67" s="2">
        <f>--171525.76</f>
        <v>171525.76000000001</v>
      </c>
      <c r="Q67" s="2"/>
      <c r="R67" s="19"/>
      <c r="S67" s="2"/>
      <c r="T67" s="2">
        <f>--135480.76</f>
        <v>135480.76</v>
      </c>
      <c r="U67" s="2"/>
      <c r="V67" s="19"/>
      <c r="W67" s="2"/>
      <c r="X67" s="2">
        <f t="shared" si="2"/>
        <v>36045</v>
      </c>
      <c r="Y67" s="2"/>
      <c r="Z67" s="19">
        <f t="shared" si="3"/>
        <v>0.26605253764445963</v>
      </c>
    </row>
    <row r="68" spans="1:26" s="23" customFormat="1" hidden="1" outlineLevel="1" x14ac:dyDescent="0.25">
      <c r="A68" s="44"/>
      <c r="B68" s="10" t="str">
        <f>CONCATENATE("          ", "4141", " - ", "NON-TAXABLE SALES-LOGO GIFTS")</f>
        <v xml:space="preserve">          4141 - NON-TAXABLE SALES-LOGO GIFTS</v>
      </c>
      <c r="C68" s="10"/>
      <c r="D68" s="2">
        <f>--2359.22</f>
        <v>2359.2199999999998</v>
      </c>
      <c r="E68" s="2"/>
      <c r="F68" s="19"/>
      <c r="G68" s="2"/>
      <c r="H68" s="2">
        <f>--4184.98</f>
        <v>4184.9799999999996</v>
      </c>
      <c r="I68" s="2"/>
      <c r="J68" s="19"/>
      <c r="K68" s="2"/>
      <c r="L68" s="2">
        <f t="shared" si="0"/>
        <v>-1825.7599999999998</v>
      </c>
      <c r="M68" s="2"/>
      <c r="N68" s="19">
        <f t="shared" si="1"/>
        <v>-0.43626492838675451</v>
      </c>
      <c r="O68" s="10"/>
      <c r="P68" s="2">
        <f>--39156.03</f>
        <v>39156.03</v>
      </c>
      <c r="Q68" s="2"/>
      <c r="R68" s="19"/>
      <c r="S68" s="2"/>
      <c r="T68" s="2">
        <f>--16960.31</f>
        <v>16960.310000000001</v>
      </c>
      <c r="U68" s="2"/>
      <c r="V68" s="19"/>
      <c r="W68" s="2"/>
      <c r="X68" s="2">
        <f t="shared" si="2"/>
        <v>22195.719999999998</v>
      </c>
      <c r="Y68" s="2"/>
      <c r="Z68" s="19">
        <f t="shared" si="3"/>
        <v>1.3086859851028665</v>
      </c>
    </row>
    <row r="69" spans="1:26" s="23" customFormat="1" hidden="1" outlineLevel="1" x14ac:dyDescent="0.25">
      <c r="A69" s="44"/>
      <c r="B69" s="10" t="str">
        <f>CONCATENATE("          ", "4142", " - ", "NON-TAXABLE SALES-EVERYDAY GIF")</f>
        <v xml:space="preserve">          4142 - NON-TAXABLE SALES-EVERYDAY GIF</v>
      </c>
      <c r="C69" s="10"/>
      <c r="D69" s="2">
        <f>--16.35</f>
        <v>16.350000000000001</v>
      </c>
      <c r="E69" s="2"/>
      <c r="F69" s="19"/>
      <c r="G69" s="2"/>
      <c r="H69" s="2">
        <f>--1204.14</f>
        <v>1204.1400000000001</v>
      </c>
      <c r="I69" s="2"/>
      <c r="J69" s="19"/>
      <c r="K69" s="2"/>
      <c r="L69" s="2">
        <f t="shared" si="0"/>
        <v>-1187.7900000000002</v>
      </c>
      <c r="M69" s="2"/>
      <c r="N69" s="19">
        <f t="shared" si="1"/>
        <v>-0.98642184463600591</v>
      </c>
      <c r="O69" s="10"/>
      <c r="P69" s="2">
        <f>--2604.45</f>
        <v>2604.4499999999998</v>
      </c>
      <c r="Q69" s="2"/>
      <c r="R69" s="19"/>
      <c r="S69" s="2"/>
      <c r="T69" s="2">
        <f>--15332.22</f>
        <v>15332.22</v>
      </c>
      <c r="U69" s="2"/>
      <c r="V69" s="19"/>
      <c r="W69" s="2"/>
      <c r="X69" s="2">
        <f t="shared" si="2"/>
        <v>-12727.77</v>
      </c>
      <c r="Y69" s="2"/>
      <c r="Z69" s="19">
        <f t="shared" si="3"/>
        <v>-0.83013223134027569</v>
      </c>
    </row>
    <row r="70" spans="1:26" s="23" customFormat="1" hidden="1" outlineLevel="1" x14ac:dyDescent="0.25">
      <c r="A70" s="44"/>
      <c r="B70" s="10" t="str">
        <f>CONCATENATE("          ", "4143", " - ", "NON-TAXABLE SALES-CARDS")</f>
        <v xml:space="preserve">          4143 - NON-TAXABLE SALES-CARDS</v>
      </c>
      <c r="C70" s="10"/>
      <c r="D70" s="2">
        <f>--120.71</f>
        <v>120.71</v>
      </c>
      <c r="E70" s="2"/>
      <c r="F70" s="19"/>
      <c r="G70" s="2"/>
      <c r="H70" s="2">
        <f>--19.98</f>
        <v>19.98</v>
      </c>
      <c r="I70" s="2"/>
      <c r="J70" s="19"/>
      <c r="K70" s="2"/>
      <c r="L70" s="2">
        <f t="shared" si="0"/>
        <v>100.72999999999999</v>
      </c>
      <c r="M70" s="2"/>
      <c r="N70" s="19">
        <f t="shared" si="1"/>
        <v>5.041541541541541</v>
      </c>
      <c r="O70" s="10"/>
      <c r="P70" s="2">
        <f>--2552.16</f>
        <v>2552.16</v>
      </c>
      <c r="Q70" s="2"/>
      <c r="R70" s="19"/>
      <c r="S70" s="2"/>
      <c r="T70" s="2">
        <f>--19.98</f>
        <v>19.98</v>
      </c>
      <c r="U70" s="2"/>
      <c r="V70" s="19"/>
      <c r="W70" s="2"/>
      <c r="X70" s="2">
        <f t="shared" si="2"/>
        <v>2532.1799999999998</v>
      </c>
      <c r="Y70" s="2"/>
      <c r="Z70" s="19">
        <f t="shared" si="3"/>
        <v>126.73573573573573</v>
      </c>
    </row>
    <row r="71" spans="1:26" s="23" customFormat="1" hidden="1" outlineLevel="1" x14ac:dyDescent="0.25">
      <c r="A71" s="44"/>
      <c r="B71" s="10" t="str">
        <f>CONCATENATE("          ", "4144", " - ", "NON-TAXABLE SALES-ACCESSORIES")</f>
        <v xml:space="preserve">          4144 - NON-TAXABLE SALES-ACCESSORIES</v>
      </c>
      <c r="C71" s="10"/>
      <c r="D71" s="2">
        <f>--164.7</f>
        <v>164.7</v>
      </c>
      <c r="E71" s="2"/>
      <c r="F71" s="19"/>
      <c r="G71" s="2"/>
      <c r="H71" s="2">
        <f>--984.35</f>
        <v>984.35</v>
      </c>
      <c r="I71" s="2"/>
      <c r="J71" s="19"/>
      <c r="K71" s="2"/>
      <c r="L71" s="2">
        <f t="shared" si="0"/>
        <v>-819.65000000000009</v>
      </c>
      <c r="M71" s="2"/>
      <c r="N71" s="19">
        <f t="shared" si="1"/>
        <v>-0.83268146492609341</v>
      </c>
      <c r="O71" s="10"/>
      <c r="P71" s="2">
        <f>--873.8</f>
        <v>873.8</v>
      </c>
      <c r="Q71" s="2"/>
      <c r="R71" s="19"/>
      <c r="S71" s="2"/>
      <c r="T71" s="2">
        <f>--3324.02</f>
        <v>3324.02</v>
      </c>
      <c r="U71" s="2"/>
      <c r="V71" s="19"/>
      <c r="W71" s="2"/>
      <c r="X71" s="2">
        <f t="shared" si="2"/>
        <v>-2450.2200000000003</v>
      </c>
      <c r="Y71" s="2"/>
      <c r="Z71" s="19">
        <f t="shared" si="3"/>
        <v>-0.737125528727264</v>
      </c>
    </row>
    <row r="72" spans="1:26" s="23" customFormat="1" hidden="1" outlineLevel="1" x14ac:dyDescent="0.25">
      <c r="A72" s="44"/>
      <c r="B72" s="10" t="str">
        <f>CONCATENATE("          ", "4145", " - ", "NON-TAXABLE SALES-SPECIAL ORDE")</f>
        <v xml:space="preserve">          4145 - NON-TAXABLE SALES-SPECIAL ORDE</v>
      </c>
      <c r="C72" s="10"/>
      <c r="D72" s="2">
        <f>0</f>
        <v>0</v>
      </c>
      <c r="E72" s="2"/>
      <c r="F72" s="19"/>
      <c r="G72" s="2"/>
      <c r="H72" s="2">
        <f>--7688.68</f>
        <v>7688.68</v>
      </c>
      <c r="I72" s="2"/>
      <c r="J72" s="19"/>
      <c r="K72" s="2"/>
      <c r="L72" s="2">
        <f t="shared" si="0"/>
        <v>-7688.68</v>
      </c>
      <c r="M72" s="2"/>
      <c r="N72" s="19">
        <f t="shared" si="1"/>
        <v>-1</v>
      </c>
      <c r="O72" s="10"/>
      <c r="P72" s="2">
        <f>--74066.89</f>
        <v>74066.89</v>
      </c>
      <c r="Q72" s="2"/>
      <c r="R72" s="19"/>
      <c r="S72" s="2"/>
      <c r="T72" s="2">
        <f>--7828.68</f>
        <v>7828.68</v>
      </c>
      <c r="U72" s="2"/>
      <c r="V72" s="19"/>
      <c r="W72" s="2"/>
      <c r="X72" s="2">
        <f t="shared" si="2"/>
        <v>66238.209999999992</v>
      </c>
      <c r="Y72" s="2"/>
      <c r="Z72" s="19">
        <f t="shared" si="3"/>
        <v>8.4609678770878354</v>
      </c>
    </row>
    <row r="73" spans="1:26" s="23" customFormat="1" hidden="1" outlineLevel="1" x14ac:dyDescent="0.25">
      <c r="A73" s="44"/>
      <c r="B73" s="10" t="str">
        <f>CONCATENATE("          ", "4146", " - ", "NON-TAXABLE SALES-COIN OP MACH")</f>
        <v xml:space="preserve">          4146 - NON-TAXABLE SALES-COIN OP MACH</v>
      </c>
      <c r="C73" s="10"/>
      <c r="D73" s="2">
        <f>--56.6</f>
        <v>56.6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56.6</v>
      </c>
      <c r="M73" s="2"/>
      <c r="N73" s="19">
        <f t="shared" si="1"/>
        <v>0</v>
      </c>
      <c r="O73" s="10"/>
      <c r="P73" s="2">
        <f>--385.9</f>
        <v>385.9</v>
      </c>
      <c r="Q73" s="2"/>
      <c r="R73" s="19"/>
      <c r="S73" s="2"/>
      <c r="T73" s="2">
        <f>--205908.65</f>
        <v>205908.65</v>
      </c>
      <c r="U73" s="2"/>
      <c r="V73" s="19"/>
      <c r="W73" s="2"/>
      <c r="X73" s="2">
        <f t="shared" si="2"/>
        <v>-205522.75</v>
      </c>
      <c r="Y73" s="2"/>
      <c r="Z73" s="19">
        <f t="shared" si="3"/>
        <v>-0.99812586795163782</v>
      </c>
    </row>
    <row r="74" spans="1:26" s="23" customFormat="1" hidden="1" outlineLevel="1" x14ac:dyDescent="0.25">
      <c r="A74" s="44"/>
      <c r="B74" s="10" t="str">
        <f>CONCATENATE("          ", "4147", " - ", "NON-TAXABLE SALES-MISC")</f>
        <v xml:space="preserve">          4147 - NON-TAXABLE SALES-MISC</v>
      </c>
      <c r="C74" s="10"/>
      <c r="D74" s="2">
        <f>--13.5</f>
        <v>13.5</v>
      </c>
      <c r="E74" s="2"/>
      <c r="F74" s="19"/>
      <c r="G74" s="2"/>
      <c r="H74" s="2">
        <f>--10</f>
        <v>10</v>
      </c>
      <c r="I74" s="2"/>
      <c r="J74" s="19"/>
      <c r="K74" s="2"/>
      <c r="L74" s="2">
        <f t="shared" si="0"/>
        <v>3.5</v>
      </c>
      <c r="M74" s="2"/>
      <c r="N74" s="19">
        <f t="shared" si="1"/>
        <v>0.35</v>
      </c>
      <c r="O74" s="10"/>
      <c r="P74" s="2">
        <f>--168</f>
        <v>168</v>
      </c>
      <c r="Q74" s="2"/>
      <c r="R74" s="19"/>
      <c r="S74" s="2"/>
      <c r="T74" s="2">
        <f>--3446.37</f>
        <v>3446.37</v>
      </c>
      <c r="U74" s="2"/>
      <c r="V74" s="19"/>
      <c r="W74" s="2"/>
      <c r="X74" s="2">
        <f t="shared" si="2"/>
        <v>-3278.37</v>
      </c>
      <c r="Y74" s="2"/>
      <c r="Z74" s="19">
        <f t="shared" si="3"/>
        <v>-0.95125305756491618</v>
      </c>
    </row>
    <row r="75" spans="1:26" s="23" customFormat="1" hidden="1" outlineLevel="1" x14ac:dyDescent="0.25">
      <c r="A75" s="44"/>
      <c r="B75" s="10" t="str">
        <f>CONCATENATE("          ", "4151", " - ", "NON-TAXABLE SALES-FOOD")</f>
        <v xml:space="preserve">          4151 - NON-TAXABLE SALES-FOOD</v>
      </c>
      <c r="C75" s="10"/>
      <c r="D75" s="2">
        <f>0</f>
        <v>0</v>
      </c>
      <c r="E75" s="2"/>
      <c r="F75" s="19"/>
      <c r="G75" s="2"/>
      <c r="H75" s="2">
        <f t="shared" ref="H75:H77" si="17"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0"/>
      <c r="P75" s="2">
        <f>0</f>
        <v>0</v>
      </c>
      <c r="Q75" s="2"/>
      <c r="R75" s="19"/>
      <c r="S75" s="2"/>
      <c r="T75" s="2">
        <f>--828068.07</f>
        <v>828068.07</v>
      </c>
      <c r="U75" s="2"/>
      <c r="V75" s="19"/>
      <c r="W75" s="2"/>
      <c r="X75" s="2">
        <f t="shared" si="2"/>
        <v>-828068.07</v>
      </c>
      <c r="Y75" s="2"/>
      <c r="Z75" s="19">
        <f t="shared" si="3"/>
        <v>-1</v>
      </c>
    </row>
    <row r="76" spans="1:26" s="23" customFormat="1" hidden="1" outlineLevel="1" x14ac:dyDescent="0.25">
      <c r="A76" s="44"/>
      <c r="B76" s="10" t="str">
        <f>CONCATENATE("          ", "4153", " - ", "NON-TAXABLE SALES-FOOD")</f>
        <v xml:space="preserve">          4153 - NON-TAXABLE SALES-FOOD</v>
      </c>
      <c r="C76" s="10"/>
      <c r="D76" s="2">
        <f>--4</f>
        <v>4</v>
      </c>
      <c r="E76" s="2"/>
      <c r="F76" s="19"/>
      <c r="G76" s="2"/>
      <c r="H76" s="2">
        <f t="shared" si="17"/>
        <v>0</v>
      </c>
      <c r="I76" s="2"/>
      <c r="J76" s="19"/>
      <c r="K76" s="2"/>
      <c r="L76" s="2">
        <f t="shared" si="0"/>
        <v>4</v>
      </c>
      <c r="M76" s="2"/>
      <c r="N76" s="19">
        <f t="shared" si="1"/>
        <v>0</v>
      </c>
      <c r="O76" s="10"/>
      <c r="P76" s="2">
        <f>--400.45</f>
        <v>400.45</v>
      </c>
      <c r="Q76" s="2"/>
      <c r="R76" s="19"/>
      <c r="S76" s="2"/>
      <c r="T76" s="2">
        <f>--12812.5</f>
        <v>12812.5</v>
      </c>
      <c r="U76" s="2"/>
      <c r="V76" s="19"/>
      <c r="W76" s="2"/>
      <c r="X76" s="2">
        <f t="shared" si="2"/>
        <v>-12412.05</v>
      </c>
      <c r="Y76" s="2"/>
      <c r="Z76" s="19">
        <f t="shared" si="3"/>
        <v>-0.96874536585365845</v>
      </c>
    </row>
    <row r="77" spans="1:26" s="23" customFormat="1" hidden="1" outlineLevel="1" x14ac:dyDescent="0.25">
      <c r="A77" s="44"/>
      <c r="B77" s="10" t="str">
        <f>CONCATENATE("          ", "4186", " - ", "NON-TAXABLE SALES-COMPUTER SUP")</f>
        <v xml:space="preserve">          4186 - NON-TAXABLE SALES-COMPUTER SUP</v>
      </c>
      <c r="C77" s="10"/>
      <c r="D77" s="2">
        <f t="shared" ref="D77:D78" si="18">0</f>
        <v>0</v>
      </c>
      <c r="E77" s="2"/>
      <c r="F77" s="19"/>
      <c r="G77" s="2"/>
      <c r="H77" s="2">
        <f t="shared" si="17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0"/>
      <c r="P77" s="2">
        <f t="shared" ref="P77:P78" si="19">0</f>
        <v>0</v>
      </c>
      <c r="Q77" s="2"/>
      <c r="R77" s="19"/>
      <c r="S77" s="2"/>
      <c r="T77" s="2">
        <f>-30.97</f>
        <v>-30.97</v>
      </c>
      <c r="U77" s="2"/>
      <c r="V77" s="19"/>
      <c r="W77" s="2"/>
      <c r="X77" s="2">
        <f t="shared" si="2"/>
        <v>30.97</v>
      </c>
      <c r="Y77" s="2"/>
      <c r="Z77" s="19">
        <f t="shared" si="3"/>
        <v>-1</v>
      </c>
    </row>
    <row r="78" spans="1:26" s="23" customFormat="1" hidden="1" outlineLevel="1" x14ac:dyDescent="0.25">
      <c r="A78" s="44"/>
      <c r="B78" s="10" t="str">
        <f>CONCATENATE("          ", "4192", " - ", "NON-TAXABLE SALES-GRAD MERCH")</f>
        <v xml:space="preserve">          4192 - NON-TAXABLE SALES-GRAD MERCH</v>
      </c>
      <c r="C78" s="10"/>
      <c r="D78" s="2">
        <f t="shared" si="18"/>
        <v>0</v>
      </c>
      <c r="E78" s="2"/>
      <c r="F78" s="19"/>
      <c r="G78" s="2"/>
      <c r="H78" s="2">
        <f>--119.4</f>
        <v>119.4</v>
      </c>
      <c r="I78" s="2"/>
      <c r="J78" s="19"/>
      <c r="K78" s="2"/>
      <c r="L78" s="2">
        <f t="shared" si="0"/>
        <v>-119.4</v>
      </c>
      <c r="M78" s="2"/>
      <c r="N78" s="19">
        <f t="shared" si="1"/>
        <v>-1</v>
      </c>
      <c r="O78" s="10"/>
      <c r="P78" s="2">
        <f t="shared" si="19"/>
        <v>0</v>
      </c>
      <c r="Q78" s="2"/>
      <c r="R78" s="19"/>
      <c r="S78" s="2"/>
      <c r="T78" s="2">
        <f>--119.4</f>
        <v>119.4</v>
      </c>
      <c r="U78" s="2"/>
      <c r="V78" s="19"/>
      <c r="W78" s="2"/>
      <c r="X78" s="2">
        <f t="shared" si="2"/>
        <v>-119.4</v>
      </c>
      <c r="Y78" s="2"/>
      <c r="Z78" s="19">
        <f t="shared" si="3"/>
        <v>-1</v>
      </c>
    </row>
    <row r="79" spans="1:26" s="23" customFormat="1" hidden="1" outlineLevel="1" x14ac:dyDescent="0.25">
      <c r="A79" s="44"/>
      <c r="B79" s="10" t="str">
        <f>CONCATENATE("          ", "4201", " - ", "SALES RETURN TAXABLE-NEW TEXT")</f>
        <v xml:space="preserve">          4201 - SALES RETURN TAXABLE-NEW TEXT</v>
      </c>
      <c r="C79" s="10"/>
      <c r="D79" s="2">
        <f>-658.4</f>
        <v>-658.4</v>
      </c>
      <c r="E79" s="2"/>
      <c r="F79" s="19"/>
      <c r="G79" s="2"/>
      <c r="H79" s="2">
        <f>-228.6</f>
        <v>-228.6</v>
      </c>
      <c r="I79" s="2"/>
      <c r="J79" s="19"/>
      <c r="K79" s="2"/>
      <c r="L79" s="2">
        <f t="shared" si="0"/>
        <v>-429.79999999999995</v>
      </c>
      <c r="M79" s="2"/>
      <c r="N79" s="19">
        <f t="shared" si="1"/>
        <v>1.8801399825021872</v>
      </c>
      <c r="O79" s="10"/>
      <c r="P79" s="2">
        <f>-52296.42</f>
        <v>-52296.42</v>
      </c>
      <c r="Q79" s="2"/>
      <c r="R79" s="19"/>
      <c r="S79" s="2"/>
      <c r="T79" s="2">
        <f>-121451.61</f>
        <v>-121451.61</v>
      </c>
      <c r="U79" s="2"/>
      <c r="V79" s="19"/>
      <c r="W79" s="2"/>
      <c r="X79" s="2">
        <f t="shared" si="2"/>
        <v>69155.19</v>
      </c>
      <c r="Y79" s="2"/>
      <c r="Z79" s="19">
        <f t="shared" si="3"/>
        <v>-0.56940529647980787</v>
      </c>
    </row>
    <row r="80" spans="1:26" s="23" customFormat="1" hidden="1" outlineLevel="1" x14ac:dyDescent="0.25">
      <c r="A80" s="44"/>
      <c r="B80" s="10" t="str">
        <f>CONCATENATE("          ", "4202", " - ", "SALES RETURN TAXABLE-USED TEXT")</f>
        <v xml:space="preserve">          4202 - SALES RETURN TAXABLE-USED TEXT</v>
      </c>
      <c r="C80" s="10"/>
      <c r="D80" s="2">
        <f>-359.4</f>
        <v>-359.4</v>
      </c>
      <c r="E80" s="2"/>
      <c r="F80" s="19"/>
      <c r="G80" s="2"/>
      <c r="H80" s="2">
        <f>-60.4</f>
        <v>-60.4</v>
      </c>
      <c r="I80" s="2"/>
      <c r="J80" s="19"/>
      <c r="K80" s="2"/>
      <c r="L80" s="2">
        <f t="shared" si="0"/>
        <v>-299</v>
      </c>
      <c r="M80" s="2"/>
      <c r="N80" s="19">
        <f t="shared" si="1"/>
        <v>4.9503311258278151</v>
      </c>
      <c r="O80" s="10"/>
      <c r="P80" s="2">
        <f>-20455.66</f>
        <v>-20455.66</v>
      </c>
      <c r="Q80" s="2"/>
      <c r="R80" s="19"/>
      <c r="S80" s="2"/>
      <c r="T80" s="2">
        <f>-45613.11</f>
        <v>-45613.11</v>
      </c>
      <c r="U80" s="2"/>
      <c r="V80" s="19"/>
      <c r="W80" s="2"/>
      <c r="X80" s="2">
        <f t="shared" si="2"/>
        <v>25157.45</v>
      </c>
      <c r="Y80" s="2"/>
      <c r="Z80" s="19">
        <f t="shared" si="3"/>
        <v>-0.55153989719183805</v>
      </c>
    </row>
    <row r="81" spans="1:26" s="23" customFormat="1" hidden="1" outlineLevel="1" x14ac:dyDescent="0.25">
      <c r="A81" s="44"/>
      <c r="B81" s="10" t="str">
        <f>CONCATENATE("          ", "4203", " - ", "SALES RETURN TAXABLE-RENTAL TE")</f>
        <v xml:space="preserve">          4203 - SALES RETURN TAXABLE-RENTAL TE</v>
      </c>
      <c r="C81" s="10"/>
      <c r="D81" s="2">
        <f t="shared" ref="D81:D82" si="20">0</f>
        <v>0</v>
      </c>
      <c r="E81" s="2"/>
      <c r="F81" s="19"/>
      <c r="G81" s="2"/>
      <c r="H81" s="2">
        <f t="shared" ref="H81:H86" si="21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0"/>
      <c r="P81" s="2">
        <f>0</f>
        <v>0</v>
      </c>
      <c r="Q81" s="2"/>
      <c r="R81" s="19"/>
      <c r="S81" s="2"/>
      <c r="T81" s="2">
        <f>-144.99</f>
        <v>-144.99</v>
      </c>
      <c r="U81" s="2"/>
      <c r="V81" s="19"/>
      <c r="W81" s="2"/>
      <c r="X81" s="2">
        <f t="shared" si="2"/>
        <v>144.99</v>
      </c>
      <c r="Y81" s="2"/>
      <c r="Z81" s="19">
        <f t="shared" si="3"/>
        <v>-1</v>
      </c>
    </row>
    <row r="82" spans="1:26" s="23" customFormat="1" hidden="1" outlineLevel="1" x14ac:dyDescent="0.25">
      <c r="A82" s="44"/>
      <c r="B82" s="10" t="str">
        <f>CONCATENATE("          ", "4204", " - ", "SALES RETURN TAXABLE-DIGITAL T")</f>
        <v xml:space="preserve">          4204 - SALES RETURN TAXABLE-DIGITAL T</v>
      </c>
      <c r="C82" s="10"/>
      <c r="D82" s="2">
        <f t="shared" si="20"/>
        <v>0</v>
      </c>
      <c r="E82" s="2"/>
      <c r="F82" s="19"/>
      <c r="G82" s="2"/>
      <c r="H82" s="2">
        <f t="shared" si="21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>-1763.1</f>
        <v>-1763.1</v>
      </c>
      <c r="Q82" s="2"/>
      <c r="R82" s="19"/>
      <c r="S82" s="2"/>
      <c r="T82" s="2">
        <f>-17255.33</f>
        <v>-17255.330000000002</v>
      </c>
      <c r="U82" s="2"/>
      <c r="V82" s="19"/>
      <c r="W82" s="2"/>
      <c r="X82" s="2">
        <f t="shared" si="2"/>
        <v>15492.230000000001</v>
      </c>
      <c r="Y82" s="2"/>
      <c r="Z82" s="19">
        <f t="shared" si="3"/>
        <v>-0.89782287559843832</v>
      </c>
    </row>
    <row r="83" spans="1:26" s="23" customFormat="1" hidden="1" outlineLevel="1" x14ac:dyDescent="0.25">
      <c r="A83" s="44"/>
      <c r="B83" s="10" t="str">
        <f>CONCATENATE("          ", "4213", " - ", "NON-TAXABLE SALES-TRADE BOOKS")</f>
        <v xml:space="preserve">          4213 - NON-TAXABLE SALES-TRADE BOOKS</v>
      </c>
      <c r="C83" s="10"/>
      <c r="D83" s="2">
        <f>-8.99</f>
        <v>-8.99</v>
      </c>
      <c r="E83" s="2"/>
      <c r="F83" s="19"/>
      <c r="G83" s="2"/>
      <c r="H83" s="2">
        <f t="shared" si="21"/>
        <v>0</v>
      </c>
      <c r="I83" s="2"/>
      <c r="J83" s="19"/>
      <c r="K83" s="2"/>
      <c r="L83" s="2">
        <f t="shared" si="0"/>
        <v>-8.99</v>
      </c>
      <c r="M83" s="2"/>
      <c r="N83" s="19">
        <f t="shared" si="1"/>
        <v>0</v>
      </c>
      <c r="O83" s="10"/>
      <c r="P83" s="2">
        <f>-78.92</f>
        <v>-78.92</v>
      </c>
      <c r="Q83" s="2"/>
      <c r="R83" s="19"/>
      <c r="S83" s="2"/>
      <c r="T83" s="2">
        <f>-2768.67</f>
        <v>-2768.67</v>
      </c>
      <c r="U83" s="2"/>
      <c r="V83" s="19"/>
      <c r="W83" s="2"/>
      <c r="X83" s="2">
        <f t="shared" si="2"/>
        <v>2689.75</v>
      </c>
      <c r="Y83" s="2"/>
      <c r="Z83" s="19">
        <f t="shared" si="3"/>
        <v>-0.97149533891724182</v>
      </c>
    </row>
    <row r="84" spans="1:26" s="23" customFormat="1" hidden="1" outlineLevel="1" x14ac:dyDescent="0.25">
      <c r="A84" s="44"/>
      <c r="B84" s="10" t="str">
        <f>CONCATENATE("          ", "4214", " - ", "SALES RETURN TAXABLE-REMAINDER")</f>
        <v xml:space="preserve">          4214 - SALES RETURN TAXABLE-REMAINDER</v>
      </c>
      <c r="C84" s="10"/>
      <c r="D84" s="2">
        <f t="shared" ref="D84:D87" si="22">0</f>
        <v>0</v>
      </c>
      <c r="E84" s="2"/>
      <c r="F84" s="19"/>
      <c r="G84" s="2"/>
      <c r="H84" s="2">
        <f t="shared" si="21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 t="shared" ref="P84:P85" si="23">0</f>
        <v>0</v>
      </c>
      <c r="Q84" s="2"/>
      <c r="R84" s="19"/>
      <c r="S84" s="2"/>
      <c r="T84" s="2">
        <f>-11.94</f>
        <v>-11.94</v>
      </c>
      <c r="U84" s="2"/>
      <c r="V84" s="19"/>
      <c r="W84" s="2"/>
      <c r="X84" s="2">
        <f t="shared" si="2"/>
        <v>11.94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"4217", " - ", "NON-TAXABLE SALES-DORM/HOUSEWA")</f>
        <v xml:space="preserve">          4217 - NON-TAXABLE SALES-DORM/HOUSEWA</v>
      </c>
      <c r="C85" s="10"/>
      <c r="D85" s="2">
        <f t="shared" si="22"/>
        <v>0</v>
      </c>
      <c r="E85" s="2"/>
      <c r="F85" s="19"/>
      <c r="G85" s="2"/>
      <c r="H85" s="2">
        <f t="shared" si="21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 t="shared" si="23"/>
        <v>0</v>
      </c>
      <c r="Q85" s="2"/>
      <c r="R85" s="19"/>
      <c r="S85" s="2"/>
      <c r="T85" s="2">
        <f>-2.98</f>
        <v>-2.98</v>
      </c>
      <c r="U85" s="2"/>
      <c r="V85" s="19"/>
      <c r="W85" s="2"/>
      <c r="X85" s="2">
        <f t="shared" si="2"/>
        <v>2.98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"4218", " - ", "SALES RETURN TAXABLE-STUDY GUI")</f>
        <v xml:space="preserve">          4218 - SALES RETURN TAXABLE-STUDY GUI</v>
      </c>
      <c r="C86" s="10"/>
      <c r="D86" s="2">
        <f t="shared" si="22"/>
        <v>0</v>
      </c>
      <c r="E86" s="2"/>
      <c r="F86" s="19"/>
      <c r="G86" s="2"/>
      <c r="H86" s="2">
        <f t="shared" si="21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>-5.21</f>
        <v>-5.21</v>
      </c>
      <c r="Q86" s="2"/>
      <c r="R86" s="19"/>
      <c r="S86" s="2"/>
      <c r="T86" s="2">
        <f>-39.25</f>
        <v>-39.25</v>
      </c>
      <c r="U86" s="2"/>
      <c r="V86" s="19"/>
      <c r="W86" s="2"/>
      <c r="X86" s="2">
        <f t="shared" si="2"/>
        <v>34.04</v>
      </c>
      <c r="Y86" s="2"/>
      <c r="Z86" s="19">
        <f t="shared" si="3"/>
        <v>-0.86726114649681529</v>
      </c>
    </row>
    <row r="87" spans="1:26" s="23" customFormat="1" hidden="1" outlineLevel="1" x14ac:dyDescent="0.25">
      <c r="A87" s="44"/>
      <c r="B87" s="10" t="str">
        <f>CONCATENATE("          ", "4225", " - ", "SALES RETURN TAXABLE-TEST FORM")</f>
        <v xml:space="preserve">          4225 - SALES RETURN TAXABLE-TEST FORM</v>
      </c>
      <c r="C87" s="10"/>
      <c r="D87" s="2">
        <f t="shared" si="22"/>
        <v>0</v>
      </c>
      <c r="E87" s="2"/>
      <c r="F87" s="19"/>
      <c r="G87" s="2"/>
      <c r="H87" s="2">
        <f>-29.5</f>
        <v>-29.5</v>
      </c>
      <c r="I87" s="2"/>
      <c r="J87" s="19"/>
      <c r="K87" s="2"/>
      <c r="L87" s="2">
        <f t="shared" si="0"/>
        <v>29.5</v>
      </c>
      <c r="M87" s="2"/>
      <c r="N87" s="19">
        <f t="shared" si="1"/>
        <v>-1</v>
      </c>
      <c r="O87" s="10"/>
      <c r="P87" s="2">
        <f>0</f>
        <v>0</v>
      </c>
      <c r="Q87" s="2"/>
      <c r="R87" s="19"/>
      <c r="S87" s="2"/>
      <c r="T87" s="2">
        <f>-205.91</f>
        <v>-205.91</v>
      </c>
      <c r="U87" s="2"/>
      <c r="V87" s="19"/>
      <c r="W87" s="2"/>
      <c r="X87" s="2">
        <f t="shared" si="2"/>
        <v>205.91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"4226", " - ", "SALES RETURN TAXABLE-WRITING I")</f>
        <v xml:space="preserve">          4226 - SALES RETURN TAXABLE-WRITING I</v>
      </c>
      <c r="C88" s="10"/>
      <c r="D88" s="2">
        <f>-0.79</f>
        <v>-0.79</v>
      </c>
      <c r="E88" s="2"/>
      <c r="F88" s="19"/>
      <c r="G88" s="2"/>
      <c r="H88" s="2">
        <f>-159.4</f>
        <v>-159.4</v>
      </c>
      <c r="I88" s="2"/>
      <c r="J88" s="19"/>
      <c r="K88" s="2"/>
      <c r="L88" s="2">
        <f t="shared" si="0"/>
        <v>158.61000000000001</v>
      </c>
      <c r="M88" s="2"/>
      <c r="N88" s="19">
        <f t="shared" si="1"/>
        <v>-0.99504391468005027</v>
      </c>
      <c r="O88" s="10"/>
      <c r="P88" s="2">
        <f>-35.02</f>
        <v>-35.020000000000003</v>
      </c>
      <c r="Q88" s="2"/>
      <c r="R88" s="19"/>
      <c r="S88" s="2"/>
      <c r="T88" s="2">
        <f>-924.44</f>
        <v>-924.44</v>
      </c>
      <c r="U88" s="2"/>
      <c r="V88" s="19"/>
      <c r="W88" s="2"/>
      <c r="X88" s="2">
        <f t="shared" si="2"/>
        <v>889.42000000000007</v>
      </c>
      <c r="Y88" s="2"/>
      <c r="Z88" s="19">
        <f t="shared" si="3"/>
        <v>-0.96211760633464583</v>
      </c>
    </row>
    <row r="89" spans="1:26" s="23" customFormat="1" hidden="1" outlineLevel="1" x14ac:dyDescent="0.25">
      <c r="A89" s="44"/>
      <c r="B89" s="10" t="str">
        <f>CONCATENATE("          ", "4227", " - ", "SALES RETURN TAXABLE-SCHOOL SU")</f>
        <v xml:space="preserve">          4227 - SALES RETURN TAXABLE-SCHOOL SU</v>
      </c>
      <c r="C89" s="10"/>
      <c r="D89" s="2">
        <f>-137.82</f>
        <v>-137.82</v>
      </c>
      <c r="E89" s="2"/>
      <c r="F89" s="19"/>
      <c r="G89" s="2"/>
      <c r="H89" s="2">
        <f>-53.42</f>
        <v>-53.42</v>
      </c>
      <c r="I89" s="2"/>
      <c r="J89" s="19"/>
      <c r="K89" s="2"/>
      <c r="L89" s="2">
        <f t="shared" si="0"/>
        <v>-84.399999999999991</v>
      </c>
      <c r="M89" s="2"/>
      <c r="N89" s="19">
        <f t="shared" si="1"/>
        <v>1.5799326095095467</v>
      </c>
      <c r="O89" s="10"/>
      <c r="P89" s="2">
        <f>-1484.48</f>
        <v>-1484.48</v>
      </c>
      <c r="Q89" s="2"/>
      <c r="R89" s="19"/>
      <c r="S89" s="2"/>
      <c r="T89" s="2">
        <f>-8647.03</f>
        <v>-8647.0300000000007</v>
      </c>
      <c r="U89" s="2"/>
      <c r="V89" s="19"/>
      <c r="W89" s="2"/>
      <c r="X89" s="2">
        <f t="shared" si="2"/>
        <v>7162.5500000000011</v>
      </c>
      <c r="Y89" s="2"/>
      <c r="Z89" s="19">
        <f t="shared" si="3"/>
        <v>-0.82832486992643728</v>
      </c>
    </row>
    <row r="90" spans="1:26" s="23" customFormat="1" hidden="1" outlineLevel="1" x14ac:dyDescent="0.25">
      <c r="A90" s="44"/>
      <c r="B90" s="10" t="str">
        <f>CONCATENATE("          ", "4228", " - ", "SALES RETURN TAXABLE-ART/TECH")</f>
        <v xml:space="preserve">          4228 - SALES RETURN TAXABLE-ART/TECH</v>
      </c>
      <c r="C90" s="10"/>
      <c r="D90" s="2">
        <f t="shared" ref="D90:D91" si="24">0</f>
        <v>0</v>
      </c>
      <c r="E90" s="2"/>
      <c r="F90" s="19"/>
      <c r="G90" s="2"/>
      <c r="H90" s="2">
        <f t="shared" ref="H90:H91" si="25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0"/>
      <c r="P90" s="2">
        <f>-12973.73</f>
        <v>-12973.73</v>
      </c>
      <c r="Q90" s="2"/>
      <c r="R90" s="19"/>
      <c r="S90" s="2"/>
      <c r="T90" s="2">
        <f>-4739.1</f>
        <v>-4739.1000000000004</v>
      </c>
      <c r="U90" s="2"/>
      <c r="V90" s="19"/>
      <c r="W90" s="2"/>
      <c r="X90" s="2">
        <f t="shared" si="2"/>
        <v>-8234.6299999999992</v>
      </c>
      <c r="Y90" s="2"/>
      <c r="Z90" s="19">
        <f t="shared" si="3"/>
        <v>1.7375936359224322</v>
      </c>
    </row>
    <row r="91" spans="1:26" s="23" customFormat="1" hidden="1" outlineLevel="1" x14ac:dyDescent="0.25">
      <c r="A91" s="44"/>
      <c r="B91" s="10" t="str">
        <f>CONCATENATE("          ", "4233", " - ", "SALES RETURN TAXABLE-CANDY")</f>
        <v xml:space="preserve">          4233 - SALES RETURN TAXABLE-CANDY</v>
      </c>
      <c r="C91" s="10"/>
      <c r="D91" s="2">
        <f t="shared" si="24"/>
        <v>0</v>
      </c>
      <c r="E91" s="2"/>
      <c r="F91" s="19"/>
      <c r="G91" s="2"/>
      <c r="H91" s="2">
        <f t="shared" si="25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>0</f>
        <v>0</v>
      </c>
      <c r="Q91" s="2"/>
      <c r="R91" s="19"/>
      <c r="S91" s="2"/>
      <c r="T91" s="2">
        <f>-8.25</f>
        <v>-8.25</v>
      </c>
      <c r="U91" s="2"/>
      <c r="V91" s="19"/>
      <c r="W91" s="2"/>
      <c r="X91" s="2">
        <f t="shared" si="2"/>
        <v>8.25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"4240", " - ", "SALES RETURN TAXABLE-LOGO CLOT")</f>
        <v xml:space="preserve">          4240 - SALES RETURN TAXABLE-LOGO CLOT</v>
      </c>
      <c r="C92" s="10"/>
      <c r="D92" s="2">
        <f>-6427.17</f>
        <v>-6427.17</v>
      </c>
      <c r="E92" s="2"/>
      <c r="F92" s="19"/>
      <c r="G92" s="2"/>
      <c r="H92" s="2">
        <f>-3229.58</f>
        <v>-3229.58</v>
      </c>
      <c r="I92" s="2"/>
      <c r="J92" s="19"/>
      <c r="K92" s="2"/>
      <c r="L92" s="2">
        <f t="shared" si="0"/>
        <v>-3197.59</v>
      </c>
      <c r="M92" s="2"/>
      <c r="N92" s="19">
        <f t="shared" si="1"/>
        <v>0.99009468723487271</v>
      </c>
      <c r="O92" s="10"/>
      <c r="P92" s="2">
        <f>-47093.44</f>
        <v>-47093.440000000002</v>
      </c>
      <c r="Q92" s="2"/>
      <c r="R92" s="19"/>
      <c r="S92" s="2"/>
      <c r="T92" s="2">
        <f>-77684.77</f>
        <v>-77684.77</v>
      </c>
      <c r="U92" s="2"/>
      <c r="V92" s="19"/>
      <c r="W92" s="2"/>
      <c r="X92" s="2">
        <f t="shared" si="2"/>
        <v>30591.33</v>
      </c>
      <c r="Y92" s="2"/>
      <c r="Z92" s="19">
        <f t="shared" si="3"/>
        <v>-0.3937879973127294</v>
      </c>
    </row>
    <row r="93" spans="1:26" s="23" customFormat="1" hidden="1" outlineLevel="1" x14ac:dyDescent="0.25">
      <c r="A93" s="44"/>
      <c r="B93" s="10" t="str">
        <f>CONCATENATE("          ", "4241", " - ", "SALES RETURN TAXABLE-LOGO GIFT")</f>
        <v xml:space="preserve">          4241 - SALES RETURN TAXABLE-LOGO GIFT</v>
      </c>
      <c r="C93" s="10"/>
      <c r="D93" s="2">
        <f>-4505.29</f>
        <v>-4505.29</v>
      </c>
      <c r="E93" s="2"/>
      <c r="F93" s="19"/>
      <c r="G93" s="2"/>
      <c r="H93" s="2">
        <f>-1133.39</f>
        <v>-1133.3900000000001</v>
      </c>
      <c r="I93" s="2"/>
      <c r="J93" s="19"/>
      <c r="K93" s="2"/>
      <c r="L93" s="2">
        <f t="shared" si="0"/>
        <v>-3371.8999999999996</v>
      </c>
      <c r="M93" s="2"/>
      <c r="N93" s="19">
        <f t="shared" si="1"/>
        <v>2.9750571294964656</v>
      </c>
      <c r="O93" s="10"/>
      <c r="P93" s="2">
        <f>-16680.54</f>
        <v>-16680.54</v>
      </c>
      <c r="Q93" s="2"/>
      <c r="R93" s="19"/>
      <c r="S93" s="2"/>
      <c r="T93" s="2">
        <f>-7465.27</f>
        <v>-7465.27</v>
      </c>
      <c r="U93" s="2"/>
      <c r="V93" s="19"/>
      <c r="W93" s="2"/>
      <c r="X93" s="2">
        <f t="shared" si="2"/>
        <v>-9215.27</v>
      </c>
      <c r="Y93" s="2"/>
      <c r="Z93" s="19">
        <f t="shared" si="3"/>
        <v>1.2344188488828938</v>
      </c>
    </row>
    <row r="94" spans="1:26" s="23" customFormat="1" hidden="1" outlineLevel="1" x14ac:dyDescent="0.25">
      <c r="A94" s="44"/>
      <c r="B94" s="10" t="str">
        <f>CONCATENATE("          ", "4242", " - ", "SALES RETURN TAXABLE-EVERYDAY")</f>
        <v xml:space="preserve">          4242 - SALES RETURN TAXABLE-EVERYDAY</v>
      </c>
      <c r="C94" s="10"/>
      <c r="D94" s="2">
        <f>-107</f>
        <v>-107</v>
      </c>
      <c r="E94" s="2"/>
      <c r="F94" s="19"/>
      <c r="G94" s="2"/>
      <c r="H94" s="2">
        <f t="shared" ref="H94:H95" si="26">0</f>
        <v>0</v>
      </c>
      <c r="I94" s="2"/>
      <c r="J94" s="19"/>
      <c r="K94" s="2"/>
      <c r="L94" s="2">
        <f t="shared" si="0"/>
        <v>-107</v>
      </c>
      <c r="M94" s="2"/>
      <c r="N94" s="19">
        <f t="shared" si="1"/>
        <v>0</v>
      </c>
      <c r="O94" s="10"/>
      <c r="P94" s="2">
        <f>-2743.09</f>
        <v>-2743.09</v>
      </c>
      <c r="Q94" s="2"/>
      <c r="R94" s="19"/>
      <c r="S94" s="2"/>
      <c r="T94" s="2">
        <f>-4181.41</f>
        <v>-4181.41</v>
      </c>
      <c r="U94" s="2"/>
      <c r="V94" s="19"/>
      <c r="W94" s="2"/>
      <c r="X94" s="2">
        <f t="shared" si="2"/>
        <v>1438.3199999999997</v>
      </c>
      <c r="Y94" s="2"/>
      <c r="Z94" s="19">
        <f t="shared" si="3"/>
        <v>-0.34397966236269578</v>
      </c>
    </row>
    <row r="95" spans="1:26" s="23" customFormat="1" hidden="1" outlineLevel="1" x14ac:dyDescent="0.25">
      <c r="A95" s="44"/>
      <c r="B95" s="10" t="str">
        <f>CONCATENATE("          ", "4243", " - ", "SALES RETURN TAXABLE-CARDS")</f>
        <v xml:space="preserve">          4243 - SALES RETURN TAXABLE-CARDS</v>
      </c>
      <c r="C95" s="10"/>
      <c r="D95" s="2">
        <f>-76.9</f>
        <v>-76.900000000000006</v>
      </c>
      <c r="E95" s="2"/>
      <c r="F95" s="19"/>
      <c r="G95" s="2"/>
      <c r="H95" s="2">
        <f t="shared" si="26"/>
        <v>0</v>
      </c>
      <c r="I95" s="2"/>
      <c r="J95" s="19"/>
      <c r="K95" s="2"/>
      <c r="L95" s="2">
        <f t="shared" si="0"/>
        <v>-76.900000000000006</v>
      </c>
      <c r="M95" s="2"/>
      <c r="N95" s="19">
        <f t="shared" si="1"/>
        <v>0</v>
      </c>
      <c r="O95" s="10"/>
      <c r="P95" s="2">
        <f>-6218.99</f>
        <v>-6218.99</v>
      </c>
      <c r="Q95" s="2"/>
      <c r="R95" s="19"/>
      <c r="S95" s="2"/>
      <c r="T95" s="2">
        <f>-3006.31</f>
        <v>-3006.31</v>
      </c>
      <c r="U95" s="2"/>
      <c r="V95" s="19"/>
      <c r="W95" s="2"/>
      <c r="X95" s="2">
        <f t="shared" si="2"/>
        <v>-3212.68</v>
      </c>
      <c r="Y95" s="2"/>
      <c r="Z95" s="19">
        <f t="shared" si="3"/>
        <v>1.0686456153889652</v>
      </c>
    </row>
    <row r="96" spans="1:26" s="23" customFormat="1" hidden="1" outlineLevel="1" x14ac:dyDescent="0.25">
      <c r="A96" s="44"/>
      <c r="B96" s="10" t="str">
        <f>CONCATENATE("          ", "4244", " - ", "SALES RETURN TAXABLE-ACCESSORI")</f>
        <v xml:space="preserve">          4244 - SALES RETURN TAXABLE-ACCESSORI</v>
      </c>
      <c r="C96" s="10"/>
      <c r="D96" s="2">
        <f>-24.41</f>
        <v>-24.41</v>
      </c>
      <c r="E96" s="2"/>
      <c r="F96" s="19"/>
      <c r="G96" s="2"/>
      <c r="H96" s="2">
        <f>-255.71</f>
        <v>-255.71</v>
      </c>
      <c r="I96" s="2"/>
      <c r="J96" s="19"/>
      <c r="K96" s="2"/>
      <c r="L96" s="2">
        <f t="shared" si="0"/>
        <v>231.3</v>
      </c>
      <c r="M96" s="2"/>
      <c r="N96" s="19">
        <f t="shared" si="1"/>
        <v>-0.90454029955809312</v>
      </c>
      <c r="O96" s="10"/>
      <c r="P96" s="2">
        <f>-1267.91</f>
        <v>-1267.9100000000001</v>
      </c>
      <c r="Q96" s="2"/>
      <c r="R96" s="19"/>
      <c r="S96" s="2"/>
      <c r="T96" s="2">
        <f>-2726.41</f>
        <v>-2726.41</v>
      </c>
      <c r="U96" s="2"/>
      <c r="V96" s="19"/>
      <c r="W96" s="2"/>
      <c r="X96" s="2">
        <f t="shared" si="2"/>
        <v>1458.4999999999998</v>
      </c>
      <c r="Y96" s="2"/>
      <c r="Z96" s="19">
        <f t="shared" si="3"/>
        <v>-0.5349525566587563</v>
      </c>
    </row>
    <row r="97" spans="1:26" s="23" customFormat="1" hidden="1" outlineLevel="1" x14ac:dyDescent="0.25">
      <c r="A97" s="44"/>
      <c r="B97" s="10" t="str">
        <f>CONCATENATE("          ", "4245", " - ", "SALES RETURN TAXABLE-SPECIAL O")</f>
        <v xml:space="preserve">          4245 - SALES RETURN TAXABLE-SPECIAL O</v>
      </c>
      <c r="C97" s="10"/>
      <c r="D97" s="2">
        <f>-36</f>
        <v>-36</v>
      </c>
      <c r="E97" s="2"/>
      <c r="F97" s="19"/>
      <c r="G97" s="2"/>
      <c r="H97" s="2">
        <f>-175</f>
        <v>-175</v>
      </c>
      <c r="I97" s="2"/>
      <c r="J97" s="19"/>
      <c r="K97" s="2"/>
      <c r="L97" s="2">
        <f t="shared" si="0"/>
        <v>139</v>
      </c>
      <c r="M97" s="2"/>
      <c r="N97" s="19">
        <f t="shared" si="1"/>
        <v>-0.79428571428571426</v>
      </c>
      <c r="O97" s="10"/>
      <c r="P97" s="2">
        <f>-15460.73</f>
        <v>-15460.73</v>
      </c>
      <c r="Q97" s="2"/>
      <c r="R97" s="19"/>
      <c r="S97" s="2"/>
      <c r="T97" s="2">
        <f>-1910.03</f>
        <v>-1910.03</v>
      </c>
      <c r="U97" s="2"/>
      <c r="V97" s="19"/>
      <c r="W97" s="2"/>
      <c r="X97" s="2">
        <f t="shared" si="2"/>
        <v>-13550.699999999999</v>
      </c>
      <c r="Y97" s="2"/>
      <c r="Z97" s="19">
        <f t="shared" si="3"/>
        <v>7.0944958979701882</v>
      </c>
    </row>
    <row r="98" spans="1:26" s="23" customFormat="1" hidden="1" outlineLevel="1" x14ac:dyDescent="0.25">
      <c r="A98" s="44"/>
      <c r="B98" s="10" t="str">
        <f>CONCATENATE("          ", "4281", " - ", "SALES RETURN TAXABLE-ELECTRONI")</f>
        <v xml:space="preserve">          4281 - SALES RETURN TAXABLE-ELECTRONI</v>
      </c>
      <c r="C98" s="10"/>
      <c r="D98" s="2">
        <f t="shared" ref="D98:D100" si="27"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ref="P98:P100" si="28">0</f>
        <v>0</v>
      </c>
      <c r="Q98" s="2"/>
      <c r="R98" s="19"/>
      <c r="S98" s="2"/>
      <c r="T98" s="2">
        <f>-54.97</f>
        <v>-54.97</v>
      </c>
      <c r="U98" s="2"/>
      <c r="V98" s="19"/>
      <c r="W98" s="2"/>
      <c r="X98" s="2">
        <f t="shared" si="2"/>
        <v>54.97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"4292", " - ", "SALES RETURN TAXABLE-GRAD MERC")</f>
        <v xml:space="preserve">          4292 - SALES RETURN TAXABLE-GRAD MERC</v>
      </c>
      <c r="C99" s="10"/>
      <c r="D99" s="2">
        <f t="shared" si="27"/>
        <v>0</v>
      </c>
      <c r="E99" s="2"/>
      <c r="F99" s="19"/>
      <c r="G99" s="2"/>
      <c r="H99" s="2">
        <f>-64.89</f>
        <v>-64.89</v>
      </c>
      <c r="I99" s="2"/>
      <c r="J99" s="19"/>
      <c r="K99" s="2"/>
      <c r="L99" s="2">
        <f t="shared" si="0"/>
        <v>64.89</v>
      </c>
      <c r="M99" s="2"/>
      <c r="N99" s="19">
        <f t="shared" si="1"/>
        <v>-1</v>
      </c>
      <c r="O99" s="10"/>
      <c r="P99" s="2">
        <f t="shared" si="28"/>
        <v>0</v>
      </c>
      <c r="Q99" s="2"/>
      <c r="R99" s="19"/>
      <c r="S99" s="2"/>
      <c r="T99" s="2">
        <f>-578.84</f>
        <v>-578.84</v>
      </c>
      <c r="U99" s="2"/>
      <c r="V99" s="19"/>
      <c r="W99" s="2"/>
      <c r="X99" s="2">
        <f t="shared" si="2"/>
        <v>578.84</v>
      </c>
      <c r="Y99" s="2"/>
      <c r="Z99" s="19">
        <f t="shared" si="3"/>
        <v>-1</v>
      </c>
    </row>
    <row r="100" spans="1:26" s="23" customFormat="1" hidden="1" outlineLevel="1" x14ac:dyDescent="0.25">
      <c r="A100" s="44"/>
      <c r="B100" s="10" t="str">
        <f>CONCATENATE("          ", "4295", " - ", "SALES RETURN TAXABLE-CUSTOMER")</f>
        <v xml:space="preserve">          4295 - SALES RETURN TAXABLE-CUSTOMER</v>
      </c>
      <c r="C100" s="10"/>
      <c r="D100" s="2">
        <f t="shared" si="27"/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0"/>
      <c r="P100" s="2">
        <f t="shared" si="28"/>
        <v>0</v>
      </c>
      <c r="Q100" s="2"/>
      <c r="R100" s="19"/>
      <c r="S100" s="2"/>
      <c r="T100" s="2">
        <f>--0.99</f>
        <v>0.99</v>
      </c>
      <c r="U100" s="2"/>
      <c r="V100" s="19"/>
      <c r="W100" s="2"/>
      <c r="X100" s="2">
        <f t="shared" si="2"/>
        <v>-0.99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"4301", " - ", "SALES RETURN NON TAXABLE-NEW T")</f>
        <v xml:space="preserve">          4301 - SALES RETURN NON TAXABLE-NEW T</v>
      </c>
      <c r="C101" s="10"/>
      <c r="D101" s="2">
        <f>-1333.16</f>
        <v>-1333.16</v>
      </c>
      <c r="E101" s="2"/>
      <c r="F101" s="19"/>
      <c r="G101" s="2"/>
      <c r="H101" s="2">
        <f>-5710.44</f>
        <v>-5710.44</v>
      </c>
      <c r="I101" s="2"/>
      <c r="J101" s="19"/>
      <c r="K101" s="2"/>
      <c r="L101" s="2">
        <f t="shared" si="0"/>
        <v>4377.28</v>
      </c>
      <c r="M101" s="2"/>
      <c r="N101" s="19">
        <f t="shared" si="1"/>
        <v>-0.76653988134014195</v>
      </c>
      <c r="O101" s="10"/>
      <c r="P101" s="2">
        <f>-4796.36</f>
        <v>-4796.3599999999997</v>
      </c>
      <c r="Q101" s="2"/>
      <c r="R101" s="19"/>
      <c r="S101" s="2"/>
      <c r="T101" s="2">
        <f>-21289.87</f>
        <v>-21289.87</v>
      </c>
      <c r="U101" s="2"/>
      <c r="V101" s="19"/>
      <c r="W101" s="2"/>
      <c r="X101" s="2">
        <f t="shared" si="2"/>
        <v>16493.509999999998</v>
      </c>
      <c r="Y101" s="2"/>
      <c r="Z101" s="19">
        <f t="shared" si="3"/>
        <v>-0.77471163515794128</v>
      </c>
    </row>
    <row r="102" spans="1:26" s="23" customFormat="1" hidden="1" outlineLevel="1" x14ac:dyDescent="0.25">
      <c r="A102" s="44"/>
      <c r="B102" s="10" t="str">
        <f>CONCATENATE("          ", "4302", " - ", "SALES RETURN NON TAXABLE-TEXT")</f>
        <v xml:space="preserve">          4302 - SALES RETURN NON TAXABLE-TEXT</v>
      </c>
      <c r="C102" s="10"/>
      <c r="D102" s="2">
        <f>-134.22</f>
        <v>-134.22</v>
      </c>
      <c r="E102" s="2"/>
      <c r="F102" s="19"/>
      <c r="G102" s="2"/>
      <c r="H102" s="2">
        <f>-67.5</f>
        <v>-67.5</v>
      </c>
      <c r="I102" s="2"/>
      <c r="J102" s="19"/>
      <c r="K102" s="2"/>
      <c r="L102" s="2">
        <f t="shared" si="0"/>
        <v>-66.72</v>
      </c>
      <c r="M102" s="2"/>
      <c r="N102" s="19">
        <f t="shared" si="1"/>
        <v>0.98844444444444446</v>
      </c>
      <c r="O102" s="10"/>
      <c r="P102" s="2">
        <f>-2577.54</f>
        <v>-2577.54</v>
      </c>
      <c r="Q102" s="2"/>
      <c r="R102" s="19"/>
      <c r="S102" s="2"/>
      <c r="T102" s="2">
        <f>-1379.87</f>
        <v>-1379.87</v>
      </c>
      <c r="U102" s="2"/>
      <c r="V102" s="19"/>
      <c r="W102" s="2"/>
      <c r="X102" s="2">
        <f t="shared" si="2"/>
        <v>-1197.67</v>
      </c>
      <c r="Y102" s="2"/>
      <c r="Z102" s="19">
        <f t="shared" si="3"/>
        <v>0.86795857580786606</v>
      </c>
    </row>
    <row r="103" spans="1:26" s="23" customFormat="1" hidden="1" outlineLevel="1" x14ac:dyDescent="0.25">
      <c r="A103" s="44"/>
      <c r="B103" s="10" t="str">
        <f>CONCATENATE("          ", "4303", " - ", "SALES RETURN NON-TAXABLE-RENTA")</f>
        <v xml:space="preserve">          4303 - SALES RETURN NON-TAXABLE-RENTA</v>
      </c>
      <c r="C103" s="10"/>
      <c r="D103" s="2">
        <f>0</f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>0</f>
        <v>0</v>
      </c>
      <c r="Q103" s="2"/>
      <c r="R103" s="19"/>
      <c r="S103" s="2"/>
      <c r="T103" s="2">
        <f>-184.99</f>
        <v>-184.99</v>
      </c>
      <c r="U103" s="2"/>
      <c r="V103" s="19"/>
      <c r="W103" s="2"/>
      <c r="X103" s="2">
        <f t="shared" si="2"/>
        <v>184.99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"4304", " - ", "SALES RETURN NON TAXABLE-DIGIT")</f>
        <v xml:space="preserve">          4304 - SALES RETURN NON TAXABLE-DIGIT</v>
      </c>
      <c r="C104" s="10"/>
      <c r="D104" s="2">
        <f>-3338.22</f>
        <v>-3338.22</v>
      </c>
      <c r="E104" s="2"/>
      <c r="F104" s="19"/>
      <c r="G104" s="2"/>
      <c r="H104" s="2">
        <f>-438.2</f>
        <v>-438.2</v>
      </c>
      <c r="I104" s="2"/>
      <c r="J104" s="19"/>
      <c r="K104" s="2"/>
      <c r="L104" s="2">
        <f t="shared" si="0"/>
        <v>-2900.02</v>
      </c>
      <c r="M104" s="2"/>
      <c r="N104" s="19">
        <f t="shared" si="1"/>
        <v>6.618028297581013</v>
      </c>
      <c r="O104" s="10"/>
      <c r="P104" s="2">
        <f>-30881.98</f>
        <v>-30881.98</v>
      </c>
      <c r="Q104" s="2"/>
      <c r="R104" s="19"/>
      <c r="S104" s="2"/>
      <c r="T104" s="2">
        <f>-19474.33</f>
        <v>-19474.330000000002</v>
      </c>
      <c r="U104" s="2"/>
      <c r="V104" s="19"/>
      <c r="W104" s="2"/>
      <c r="X104" s="2">
        <f t="shared" si="2"/>
        <v>-11407.649999999998</v>
      </c>
      <c r="Y104" s="2"/>
      <c r="Z104" s="19">
        <f t="shared" si="3"/>
        <v>0.58577881755110428</v>
      </c>
    </row>
    <row r="105" spans="1:26" s="23" customFormat="1" hidden="1" outlineLevel="1" x14ac:dyDescent="0.25">
      <c r="A105" s="44"/>
      <c r="B105" s="10" t="str">
        <f>CONCATENATE("          ", "4311", " - ", "SALES RETURN NON TAXABLE-NO VA")</f>
        <v xml:space="preserve">          4311 - SALES RETURN NON TAXABLE-NO VA</v>
      </c>
      <c r="C105" s="10"/>
      <c r="D105" s="2">
        <f t="shared" ref="D105:D106" si="29">0</f>
        <v>0</v>
      </c>
      <c r="E105" s="2"/>
      <c r="F105" s="19"/>
      <c r="G105" s="2"/>
      <c r="H105" s="2">
        <f t="shared" ref="H105:H109" si="30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 t="shared" ref="P105:P106" si="31">0</f>
        <v>0</v>
      </c>
      <c r="Q105" s="2"/>
      <c r="R105" s="19"/>
      <c r="S105" s="2"/>
      <c r="T105" s="2">
        <f>-941.28</f>
        <v>-941.28</v>
      </c>
      <c r="U105" s="2"/>
      <c r="V105" s="19"/>
      <c r="W105" s="2"/>
      <c r="X105" s="2">
        <f t="shared" si="2"/>
        <v>941.28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"4313", " - ", "SALES RETURN NON TAXABLE-TRADE")</f>
        <v xml:space="preserve">          4313 - SALES RETURN NON TAXABLE-TRADE</v>
      </c>
      <c r="C106" s="10"/>
      <c r="D106" s="2">
        <f t="shared" si="29"/>
        <v>0</v>
      </c>
      <c r="E106" s="2"/>
      <c r="F106" s="19"/>
      <c r="G106" s="2"/>
      <c r="H106" s="2">
        <f t="shared" si="30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si="31"/>
        <v>0</v>
      </c>
      <c r="Q106" s="2"/>
      <c r="R106" s="19"/>
      <c r="S106" s="2"/>
      <c r="T106" s="2">
        <f>-2481.44</f>
        <v>-2481.44</v>
      </c>
      <c r="U106" s="2"/>
      <c r="V106" s="19"/>
      <c r="W106" s="2"/>
      <c r="X106" s="2">
        <f t="shared" si="2"/>
        <v>2481.44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"4327", " - ", "SALES RETURN NON TAXABLE-SCHOO")</f>
        <v xml:space="preserve">          4327 - SALES RETURN NON TAXABLE-SCHOO</v>
      </c>
      <c r="C107" s="10"/>
      <c r="D107" s="2">
        <f>-17.41</f>
        <v>-17.41</v>
      </c>
      <c r="E107" s="2"/>
      <c r="F107" s="19"/>
      <c r="G107" s="2"/>
      <c r="H107" s="2">
        <f t="shared" si="30"/>
        <v>0</v>
      </c>
      <c r="I107" s="2"/>
      <c r="J107" s="19"/>
      <c r="K107" s="2"/>
      <c r="L107" s="2">
        <f t="shared" si="0"/>
        <v>-17.41</v>
      </c>
      <c r="M107" s="2"/>
      <c r="N107" s="19">
        <f t="shared" si="1"/>
        <v>0</v>
      </c>
      <c r="O107" s="10"/>
      <c r="P107" s="2">
        <f>-17.41</f>
        <v>-17.41</v>
      </c>
      <c r="Q107" s="2"/>
      <c r="R107" s="19"/>
      <c r="S107" s="2"/>
      <c r="T107" s="2">
        <f>-21.87</f>
        <v>-21.87</v>
      </c>
      <c r="U107" s="2"/>
      <c r="V107" s="19"/>
      <c r="W107" s="2"/>
      <c r="X107" s="2">
        <f t="shared" si="2"/>
        <v>4.4600000000000009</v>
      </c>
      <c r="Y107" s="2"/>
      <c r="Z107" s="19">
        <f t="shared" si="3"/>
        <v>-0.20393232738911754</v>
      </c>
    </row>
    <row r="108" spans="1:26" s="23" customFormat="1" hidden="1" outlineLevel="1" x14ac:dyDescent="0.25">
      <c r="A108" s="44"/>
      <c r="B108" s="10" t="str">
        <f>CONCATENATE("          ", "4331", " - ", "SALES RETURN NON TAXABLE-FOOD")</f>
        <v xml:space="preserve">          4331 - SALES RETURN NON TAXABLE-FOOD</v>
      </c>
      <c r="C108" s="10"/>
      <c r="D108" s="2">
        <f t="shared" ref="D108:D109" si="32">0</f>
        <v>0</v>
      </c>
      <c r="E108" s="2"/>
      <c r="F108" s="19"/>
      <c r="G108" s="2"/>
      <c r="H108" s="2">
        <f t="shared" si="30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 t="shared" ref="P108:P109" si="33">0</f>
        <v>0</v>
      </c>
      <c r="Q108" s="2"/>
      <c r="R108" s="19"/>
      <c r="S108" s="2"/>
      <c r="T108" s="2">
        <f>-12.57</f>
        <v>-12.57</v>
      </c>
      <c r="U108" s="2"/>
      <c r="V108" s="19"/>
      <c r="W108" s="2"/>
      <c r="X108" s="2">
        <f t="shared" si="2"/>
        <v>12.57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"4332", " - ", "SALES RETURN NON TAXABLE-JUICE")</f>
        <v xml:space="preserve">          4332 - SALES RETURN NON TAXABLE-JUICE</v>
      </c>
      <c r="C109" s="10"/>
      <c r="D109" s="2">
        <f t="shared" si="32"/>
        <v>0</v>
      </c>
      <c r="E109" s="2"/>
      <c r="F109" s="19"/>
      <c r="G109" s="2"/>
      <c r="H109" s="2">
        <f t="shared" si="30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 t="shared" si="33"/>
        <v>0</v>
      </c>
      <c r="Q109" s="2"/>
      <c r="R109" s="19"/>
      <c r="S109" s="2"/>
      <c r="T109" s="2">
        <f>-2.79</f>
        <v>-2.79</v>
      </c>
      <c r="U109" s="2"/>
      <c r="V109" s="19"/>
      <c r="W109" s="2"/>
      <c r="X109" s="2">
        <f t="shared" si="2"/>
        <v>2.79</v>
      </c>
      <c r="Y109" s="2"/>
      <c r="Z109" s="19">
        <f t="shared" si="3"/>
        <v>-1</v>
      </c>
    </row>
    <row r="110" spans="1:26" s="23" customFormat="1" hidden="1" outlineLevel="1" x14ac:dyDescent="0.25">
      <c r="A110" s="44"/>
      <c r="B110" s="10" t="str">
        <f>CONCATENATE("          ", "4340", " - ", "SALES RETURN NON TAXABLE-LOGO")</f>
        <v xml:space="preserve">          4340 - SALES RETURN NON TAXABLE-LOGO</v>
      </c>
      <c r="C110" s="10"/>
      <c r="D110" s="2">
        <f>-143.74</f>
        <v>-143.74</v>
      </c>
      <c r="E110" s="2"/>
      <c r="F110" s="19"/>
      <c r="G110" s="2"/>
      <c r="H110" s="2">
        <f>-598.43</f>
        <v>-598.42999999999995</v>
      </c>
      <c r="I110" s="2"/>
      <c r="J110" s="19"/>
      <c r="K110" s="2"/>
      <c r="L110" s="2">
        <f t="shared" si="0"/>
        <v>454.68999999999994</v>
      </c>
      <c r="M110" s="2"/>
      <c r="N110" s="19">
        <f t="shared" si="1"/>
        <v>-0.7598048226191868</v>
      </c>
      <c r="O110" s="10"/>
      <c r="P110" s="2">
        <f>-3451.26</f>
        <v>-3451.26</v>
      </c>
      <c r="Q110" s="2"/>
      <c r="R110" s="19"/>
      <c r="S110" s="2"/>
      <c r="T110" s="2">
        <f>-1618.83</f>
        <v>-1618.83</v>
      </c>
      <c r="U110" s="2"/>
      <c r="V110" s="19"/>
      <c r="W110" s="2"/>
      <c r="X110" s="2">
        <f t="shared" si="2"/>
        <v>-1832.4300000000003</v>
      </c>
      <c r="Y110" s="2"/>
      <c r="Z110" s="19">
        <f t="shared" si="3"/>
        <v>1.131947147013584</v>
      </c>
    </row>
    <row r="111" spans="1:26" s="23" customFormat="1" hidden="1" outlineLevel="1" x14ac:dyDescent="0.25">
      <c r="A111" s="44"/>
      <c r="B111" s="10" t="str">
        <f>CONCATENATE("          ", "4341", " - ", "SALES RETURN NON TAXABLE-LOGO")</f>
        <v xml:space="preserve">          4341 - SALES RETURN NON TAXABLE-LOGO</v>
      </c>
      <c r="C111" s="10"/>
      <c r="D111" s="2">
        <f>-104.3</f>
        <v>-104.3</v>
      </c>
      <c r="E111" s="2"/>
      <c r="F111" s="19"/>
      <c r="G111" s="2"/>
      <c r="H111" s="2">
        <f>-39.95</f>
        <v>-39.950000000000003</v>
      </c>
      <c r="I111" s="2"/>
      <c r="J111" s="19"/>
      <c r="K111" s="2"/>
      <c r="L111" s="2">
        <f t="shared" si="0"/>
        <v>-64.349999999999994</v>
      </c>
      <c r="M111" s="2"/>
      <c r="N111" s="19">
        <f t="shared" si="1"/>
        <v>1.610763454317897</v>
      </c>
      <c r="O111" s="10"/>
      <c r="P111" s="2">
        <f>-506.74</f>
        <v>-506.74</v>
      </c>
      <c r="Q111" s="2"/>
      <c r="R111" s="19"/>
      <c r="S111" s="2"/>
      <c r="T111" s="2">
        <f>-285.45</f>
        <v>-285.45</v>
      </c>
      <c r="U111" s="2"/>
      <c r="V111" s="19"/>
      <c r="W111" s="2"/>
      <c r="X111" s="2">
        <f t="shared" si="2"/>
        <v>-221.29000000000002</v>
      </c>
      <c r="Y111" s="2"/>
      <c r="Z111" s="19">
        <f t="shared" si="3"/>
        <v>0.77523208968295687</v>
      </c>
    </row>
    <row r="112" spans="1:26" s="23" customFormat="1" hidden="1" outlineLevel="1" x14ac:dyDescent="0.25">
      <c r="A112" s="44"/>
      <c r="B112" s="10" t="str">
        <f>CONCATENATE("          ", "4342", " - ", "SALES RETURN NON TAXABLE-EVERY")</f>
        <v xml:space="preserve">          4342 - SALES RETURN NON TAXABLE-EVERY</v>
      </c>
      <c r="C112" s="10"/>
      <c r="D112" s="2">
        <f t="shared" ref="D112:D114" si="34">0</f>
        <v>0</v>
      </c>
      <c r="E112" s="2"/>
      <c r="F112" s="19"/>
      <c r="G112" s="2"/>
      <c r="H112" s="2">
        <f t="shared" ref="H112:H114" si="35"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>-118.7</f>
        <v>-118.7</v>
      </c>
      <c r="Q112" s="2"/>
      <c r="R112" s="19"/>
      <c r="S112" s="2"/>
      <c r="T112" s="2">
        <f>-149.22</f>
        <v>-149.22</v>
      </c>
      <c r="U112" s="2"/>
      <c r="V112" s="19"/>
      <c r="W112" s="2"/>
      <c r="X112" s="2">
        <f t="shared" si="2"/>
        <v>30.519999999999996</v>
      </c>
      <c r="Y112" s="2"/>
      <c r="Z112" s="19">
        <f t="shared" si="3"/>
        <v>-0.20453022383058569</v>
      </c>
    </row>
    <row r="113" spans="1:26" s="23" customFormat="1" hidden="1" outlineLevel="1" x14ac:dyDescent="0.25">
      <c r="A113" s="44"/>
      <c r="B113" s="10" t="str">
        <f>CONCATENATE("          ", "4346", " - ", "SALES RETURN NON TAXABLE-COIN-")</f>
        <v xml:space="preserve">          4346 - SALES RETURN NON TAXABLE-COIN-</v>
      </c>
      <c r="C113" s="10"/>
      <c r="D113" s="2">
        <f t="shared" si="34"/>
        <v>0</v>
      </c>
      <c r="E113" s="2"/>
      <c r="F113" s="19"/>
      <c r="G113" s="2"/>
      <c r="H113" s="2">
        <f t="shared" si="35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0"/>
      <c r="P113" s="2">
        <f t="shared" ref="P113:P114" si="36">0</f>
        <v>0</v>
      </c>
      <c r="Q113" s="2"/>
      <c r="R113" s="19"/>
      <c r="S113" s="2"/>
      <c r="T113" s="2">
        <f>-8.15</f>
        <v>-8.15</v>
      </c>
      <c r="U113" s="2"/>
      <c r="V113" s="19"/>
      <c r="W113" s="2"/>
      <c r="X113" s="2">
        <f t="shared" si="2"/>
        <v>8.15</v>
      </c>
      <c r="Y113" s="2"/>
      <c r="Z113" s="19">
        <f t="shared" si="3"/>
        <v>-1</v>
      </c>
    </row>
    <row r="114" spans="1:26" s="23" customFormat="1" hidden="1" outlineLevel="1" x14ac:dyDescent="0.25">
      <c r="A114" s="44"/>
      <c r="B114" s="10" t="str">
        <f>CONCATENATE("          ", "4347", " - ", "SALES RETURN NON TAXABLE-MISC")</f>
        <v xml:space="preserve">          4347 - SALES RETURN NON TAXABLE-MISC</v>
      </c>
      <c r="C114" s="10"/>
      <c r="D114" s="2">
        <f t="shared" si="34"/>
        <v>0</v>
      </c>
      <c r="E114" s="2"/>
      <c r="F114" s="19"/>
      <c r="G114" s="2"/>
      <c r="H114" s="2">
        <f t="shared" si="35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0"/>
      <c r="P114" s="2">
        <f t="shared" si="36"/>
        <v>0</v>
      </c>
      <c r="Q114" s="2"/>
      <c r="R114" s="19"/>
      <c r="S114" s="2"/>
      <c r="T114" s="2">
        <f>-84</f>
        <v>-84</v>
      </c>
      <c r="U114" s="2"/>
      <c r="V114" s="19"/>
      <c r="W114" s="2"/>
      <c r="X114" s="2">
        <f t="shared" si="2"/>
        <v>84</v>
      </c>
      <c r="Y114" s="2"/>
      <c r="Z114" s="19">
        <f t="shared" si="3"/>
        <v>-1</v>
      </c>
    </row>
    <row r="115" spans="1:26" x14ac:dyDescent="0.25">
      <c r="A115" s="9"/>
      <c r="B115" s="11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4" customFormat="1" collapsed="1" x14ac:dyDescent="0.25">
      <c r="A116" s="11"/>
      <c r="B116" s="29" t="s">
        <v>256</v>
      </c>
      <c r="C116" s="11"/>
      <c r="D116" s="4">
        <f>SUM(OSRRefD16x_0)</f>
        <v>248594.07</v>
      </c>
      <c r="E116" s="4"/>
      <c r="F116" s="13">
        <f t="shared" ref="F116:F169" si="37">IF(D$12=0,0,D116/D$12)</f>
        <v>0.49054968804755245</v>
      </c>
      <c r="G116" s="4"/>
      <c r="H116" s="4">
        <f>SUM(OSRRefH16x_0)</f>
        <v>154598.25000000003</v>
      </c>
      <c r="I116" s="4"/>
      <c r="J116" s="13">
        <f t="shared" ref="J116:J169" si="38">IF(H$12=0,0,H116/H$12)</f>
        <v>0.58635772117267304</v>
      </c>
      <c r="K116" s="4"/>
      <c r="L116" s="4">
        <f t="shared" ref="L116:L169" si="39">+D116-H116</f>
        <v>93995.819999999978</v>
      </c>
      <c r="M116" s="4"/>
      <c r="N116" s="13">
        <f t="shared" ref="N116:N169" si="40">IF(H116=0,0,L116/H116)</f>
        <v>0.60800054334379572</v>
      </c>
      <c r="O116" s="11"/>
      <c r="P116" s="4">
        <f>SUM(OSRRefP16x_0)</f>
        <v>3221171.6600000015</v>
      </c>
      <c r="Q116" s="4"/>
      <c r="R116" s="13">
        <f t="shared" ref="R116:R169" si="41">IF(P$12=0,0,P116/P$12)</f>
        <v>0.6179968220732206</v>
      </c>
      <c r="S116" s="4"/>
      <c r="T116" s="4">
        <f>SUM(OSRRefT16x_0)</f>
        <v>6481039.3800000008</v>
      </c>
      <c r="U116" s="4"/>
      <c r="V116" s="13">
        <f t="shared" ref="V116:V169" si="42">IF(T$12=0,0,T116/T$12)</f>
        <v>0.56894322276624676</v>
      </c>
      <c r="W116" s="4"/>
      <c r="X116" s="4">
        <f t="shared" ref="X116:X169" si="43">+P116-T116</f>
        <v>-3259867.7199999993</v>
      </c>
      <c r="Y116" s="4"/>
      <c r="Z116" s="13">
        <f t="shared" ref="Z116:Z169" si="44">IF(T116=0,0,X116/T116)</f>
        <v>-0.50298532825764108</v>
      </c>
    </row>
    <row r="117" spans="1:26" s="23" customFormat="1" hidden="1" outlineLevel="1" x14ac:dyDescent="0.25">
      <c r="A117" s="44"/>
      <c r="B117" s="10" t="str">
        <f>CONCATENATE("          ", "5000", " - ", "PURCHASES @ COST")</f>
        <v xml:space="preserve">          5000 - PURCHASES @ COST</v>
      </c>
      <c r="C117" s="10"/>
      <c r="D117" s="2"/>
      <c r="E117" s="2"/>
      <c r="F117" s="19">
        <f t="shared" si="37"/>
        <v>0</v>
      </c>
      <c r="G117" s="2"/>
      <c r="H117" s="2">
        <v>0</v>
      </c>
      <c r="I117" s="2"/>
      <c r="J117" s="19">
        <f t="shared" si="38"/>
        <v>0</v>
      </c>
      <c r="K117" s="2"/>
      <c r="L117" s="2">
        <f t="shared" si="39"/>
        <v>0</v>
      </c>
      <c r="M117" s="2"/>
      <c r="N117" s="19">
        <f t="shared" si="40"/>
        <v>0</v>
      </c>
      <c r="O117" s="10"/>
      <c r="P117" s="2">
        <v>0</v>
      </c>
      <c r="Q117" s="2"/>
      <c r="R117" s="19">
        <f t="shared" si="41"/>
        <v>0</v>
      </c>
      <c r="S117" s="2"/>
      <c r="T117" s="2">
        <v>0</v>
      </c>
      <c r="U117" s="2"/>
      <c r="V117" s="19">
        <f t="shared" si="42"/>
        <v>0</v>
      </c>
      <c r="W117" s="2"/>
      <c r="X117" s="2">
        <f t="shared" si="43"/>
        <v>0</v>
      </c>
      <c r="Y117" s="2"/>
      <c r="Z117" s="19">
        <f t="shared" si="44"/>
        <v>0</v>
      </c>
    </row>
    <row r="118" spans="1:26" s="23" customFormat="1" hidden="1" outlineLevel="1" x14ac:dyDescent="0.25">
      <c r="A118" s="44"/>
      <c r="B118" s="10" t="str">
        <f>CONCATENATE("          ", "5001", " - ", "PURCHASES @ COST-NEW TEXT")</f>
        <v xml:space="preserve">          5001 - PURCHASES @ COST-NEW TEXT</v>
      </c>
      <c r="C118" s="10"/>
      <c r="D118" s="2">
        <v>65020.01</v>
      </c>
      <c r="E118" s="2"/>
      <c r="F118" s="19">
        <f t="shared" si="37"/>
        <v>0.12830372672344414</v>
      </c>
      <c r="G118" s="2"/>
      <c r="H118" s="2">
        <v>71528.210000000006</v>
      </c>
      <c r="I118" s="2"/>
      <c r="J118" s="19">
        <f t="shared" si="38"/>
        <v>0.2712910282953423</v>
      </c>
      <c r="K118" s="2"/>
      <c r="L118" s="2">
        <f t="shared" si="39"/>
        <v>-6508.2000000000044</v>
      </c>
      <c r="M118" s="2"/>
      <c r="N118" s="19">
        <f t="shared" si="40"/>
        <v>-9.0987877370341072E-2</v>
      </c>
      <c r="O118" s="10"/>
      <c r="P118" s="2">
        <v>1071566.48</v>
      </c>
      <c r="Q118" s="2"/>
      <c r="R118" s="19">
        <f t="shared" si="41"/>
        <v>0.20558503214950891</v>
      </c>
      <c r="S118" s="2"/>
      <c r="T118" s="2">
        <v>1641280.46</v>
      </c>
      <c r="U118" s="2"/>
      <c r="V118" s="19">
        <f t="shared" si="42"/>
        <v>0.14408111718273001</v>
      </c>
      <c r="W118" s="2"/>
      <c r="X118" s="2">
        <f t="shared" si="43"/>
        <v>-569713.98</v>
      </c>
      <c r="Y118" s="2"/>
      <c r="Z118" s="19">
        <f t="shared" si="44"/>
        <v>-0.34711555635043628</v>
      </c>
    </row>
    <row r="119" spans="1:26" s="23" customFormat="1" hidden="1" outlineLevel="1" x14ac:dyDescent="0.25">
      <c r="A119" s="44"/>
      <c r="B119" s="10" t="str">
        <f>CONCATENATE("          ", "5002", " - ", "PURCHASES @ COST-USED TEXT")</f>
        <v xml:space="preserve">          5002 - PURCHASES @ COST-USED TEXT</v>
      </c>
      <c r="C119" s="10"/>
      <c r="D119" s="2">
        <v>4952.26</v>
      </c>
      <c r="E119" s="2"/>
      <c r="F119" s="19">
        <f t="shared" si="37"/>
        <v>9.772274930493605E-3</v>
      </c>
      <c r="G119" s="2"/>
      <c r="H119" s="2">
        <v>14738.6</v>
      </c>
      <c r="I119" s="2"/>
      <c r="J119" s="19">
        <f t="shared" si="38"/>
        <v>5.5900321700119875E-2</v>
      </c>
      <c r="K119" s="2"/>
      <c r="L119" s="2">
        <f t="shared" si="39"/>
        <v>-9786.34</v>
      </c>
      <c r="M119" s="2"/>
      <c r="N119" s="19">
        <f t="shared" si="40"/>
        <v>-0.66399386644593106</v>
      </c>
      <c r="O119" s="10"/>
      <c r="P119" s="2">
        <v>279913.28000000003</v>
      </c>
      <c r="Q119" s="2"/>
      <c r="R119" s="19">
        <f t="shared" si="41"/>
        <v>5.3702669635461622E-2</v>
      </c>
      <c r="S119" s="2"/>
      <c r="T119" s="2">
        <v>610321.38</v>
      </c>
      <c r="U119" s="2"/>
      <c r="V119" s="19">
        <f t="shared" si="42"/>
        <v>5.3577550220091877E-2</v>
      </c>
      <c r="W119" s="2"/>
      <c r="X119" s="2">
        <f t="shared" si="43"/>
        <v>-330408.09999999998</v>
      </c>
      <c r="Y119" s="2"/>
      <c r="Z119" s="19">
        <f t="shared" si="44"/>
        <v>-0.54136740220373725</v>
      </c>
    </row>
    <row r="120" spans="1:26" s="23" customFormat="1" hidden="1" outlineLevel="1" x14ac:dyDescent="0.25">
      <c r="A120" s="44"/>
      <c r="B120" s="10" t="str">
        <f>CONCATENATE("          ", "5003", " - ", "PURCHASES @ COST-RENTAL TEXT")</f>
        <v xml:space="preserve">          5003 - PURCHASES @ COST-RENTAL TEXT</v>
      </c>
      <c r="C120" s="10"/>
      <c r="D120" s="2">
        <v>7179.56</v>
      </c>
      <c r="E120" s="2"/>
      <c r="F120" s="19">
        <f t="shared" si="37"/>
        <v>1.416739714796369E-2</v>
      </c>
      <c r="G120" s="2"/>
      <c r="H120" s="2"/>
      <c r="I120" s="2"/>
      <c r="J120" s="19">
        <f t="shared" si="38"/>
        <v>0</v>
      </c>
      <c r="K120" s="2"/>
      <c r="L120" s="2">
        <f t="shared" si="39"/>
        <v>7179.56</v>
      </c>
      <c r="M120" s="2"/>
      <c r="N120" s="19">
        <f t="shared" si="40"/>
        <v>0</v>
      </c>
      <c r="O120" s="10"/>
      <c r="P120" s="2">
        <v>7212.08</v>
      </c>
      <c r="Q120" s="2"/>
      <c r="R120" s="19">
        <f t="shared" si="41"/>
        <v>1.3836712199739862E-3</v>
      </c>
      <c r="S120" s="2"/>
      <c r="T120" s="2">
        <v>-78.400000000000006</v>
      </c>
      <c r="U120" s="2"/>
      <c r="V120" s="19">
        <f t="shared" si="42"/>
        <v>-6.8824066711462789E-6</v>
      </c>
      <c r="W120" s="2"/>
      <c r="X120" s="2">
        <f t="shared" si="43"/>
        <v>7290.48</v>
      </c>
      <c r="Y120" s="2"/>
      <c r="Z120" s="19">
        <f t="shared" si="44"/>
        <v>-92.990816326530606</v>
      </c>
    </row>
    <row r="121" spans="1:26" s="23" customFormat="1" hidden="1" outlineLevel="1" x14ac:dyDescent="0.25">
      <c r="A121" s="44"/>
      <c r="B121" s="10" t="str">
        <f>CONCATENATE("          ", "5004", " - ", "PURCHASES @ COST-DIGITAL TEXT")</f>
        <v xml:space="preserve">          5004 - PURCHASES @ COST-DIGITAL TEXT</v>
      </c>
      <c r="C121" s="10"/>
      <c r="D121" s="2">
        <v>-7843.95</v>
      </c>
      <c r="E121" s="2"/>
      <c r="F121" s="19">
        <f t="shared" si="37"/>
        <v>-1.5478435288342151E-2</v>
      </c>
      <c r="G121" s="2"/>
      <c r="H121" s="2">
        <v>-46518.26</v>
      </c>
      <c r="I121" s="2"/>
      <c r="J121" s="19">
        <f t="shared" si="38"/>
        <v>-0.17643369783628149</v>
      </c>
      <c r="K121" s="2"/>
      <c r="L121" s="2">
        <f t="shared" si="39"/>
        <v>38674.310000000005</v>
      </c>
      <c r="M121" s="2"/>
      <c r="N121" s="19">
        <f t="shared" si="40"/>
        <v>-0.83137911865147152</v>
      </c>
      <c r="O121" s="10"/>
      <c r="P121" s="2">
        <v>199606.43</v>
      </c>
      <c r="Q121" s="2"/>
      <c r="R121" s="19">
        <f t="shared" si="41"/>
        <v>3.8295425523947615E-2</v>
      </c>
      <c r="S121" s="2"/>
      <c r="T121" s="2">
        <v>446269.65</v>
      </c>
      <c r="U121" s="2"/>
      <c r="V121" s="19">
        <f t="shared" si="42"/>
        <v>3.9176137962884119E-2</v>
      </c>
      <c r="W121" s="2"/>
      <c r="X121" s="2">
        <f t="shared" si="43"/>
        <v>-246663.22000000003</v>
      </c>
      <c r="Y121" s="2"/>
      <c r="Z121" s="19">
        <f t="shared" si="44"/>
        <v>-0.55272237312127326</v>
      </c>
    </row>
    <row r="122" spans="1:26" s="23" customFormat="1" hidden="1" outlineLevel="1" x14ac:dyDescent="0.25">
      <c r="A122" s="44"/>
      <c r="B122" s="10" t="str">
        <f>CONCATENATE("          ", "5011", " - ", "PURCHASES @ COST-NO VALUE TEXT")</f>
        <v xml:space="preserve">          5011 - PURCHASES @ COST-NO VALUE TEXT</v>
      </c>
      <c r="C122" s="10"/>
      <c r="D122" s="2"/>
      <c r="E122" s="2"/>
      <c r="F122" s="19">
        <f t="shared" si="37"/>
        <v>0</v>
      </c>
      <c r="G122" s="2"/>
      <c r="H122" s="2"/>
      <c r="I122" s="2"/>
      <c r="J122" s="19">
        <f t="shared" si="38"/>
        <v>0</v>
      </c>
      <c r="K122" s="2"/>
      <c r="L122" s="2">
        <f t="shared" si="39"/>
        <v>0</v>
      </c>
      <c r="M122" s="2"/>
      <c r="N122" s="19">
        <f t="shared" si="40"/>
        <v>0</v>
      </c>
      <c r="O122" s="10"/>
      <c r="P122" s="2">
        <v>67.17</v>
      </c>
      <c r="Q122" s="2"/>
      <c r="R122" s="19">
        <f t="shared" si="41"/>
        <v>1.2886878105297315E-5</v>
      </c>
      <c r="S122" s="2"/>
      <c r="T122" s="2">
        <v>6363</v>
      </c>
      <c r="U122" s="2"/>
      <c r="V122" s="19">
        <f t="shared" si="42"/>
        <v>5.5858104143499709E-4</v>
      </c>
      <c r="W122" s="2"/>
      <c r="X122" s="2">
        <f t="shared" si="43"/>
        <v>-6295.83</v>
      </c>
      <c r="Y122" s="2"/>
      <c r="Z122" s="19">
        <f t="shared" si="44"/>
        <v>-0.98944365865157946</v>
      </c>
    </row>
    <row r="123" spans="1:26" s="23" customFormat="1" hidden="1" outlineLevel="1" x14ac:dyDescent="0.25">
      <c r="A123" s="44"/>
      <c r="B123" s="10" t="str">
        <f>CONCATENATE("          ", "5013", " - ", "PURCHASES @ COST-TRADE BOOKS")</f>
        <v xml:space="preserve">          5013 - PURCHASES @ COST-TRADE BOOKS</v>
      </c>
      <c r="C123" s="10"/>
      <c r="D123" s="2"/>
      <c r="E123" s="2"/>
      <c r="F123" s="19">
        <f t="shared" si="37"/>
        <v>0</v>
      </c>
      <c r="G123" s="2"/>
      <c r="H123" s="2"/>
      <c r="I123" s="2"/>
      <c r="J123" s="19">
        <f t="shared" si="38"/>
        <v>0</v>
      </c>
      <c r="K123" s="2"/>
      <c r="L123" s="2">
        <f t="shared" si="39"/>
        <v>0</v>
      </c>
      <c r="M123" s="2"/>
      <c r="N123" s="19">
        <f t="shared" si="40"/>
        <v>0</v>
      </c>
      <c r="O123" s="10"/>
      <c r="P123" s="2">
        <v>9670.02</v>
      </c>
      <c r="Q123" s="2"/>
      <c r="R123" s="19">
        <f t="shared" si="41"/>
        <v>1.8552384846774921E-3</v>
      </c>
      <c r="S123" s="2"/>
      <c r="T123" s="2">
        <v>3197.85</v>
      </c>
      <c r="U123" s="2"/>
      <c r="V123" s="19">
        <f t="shared" si="42"/>
        <v>2.8072581853731031E-4</v>
      </c>
      <c r="W123" s="2"/>
      <c r="X123" s="2">
        <f t="shared" si="43"/>
        <v>6472.17</v>
      </c>
      <c r="Y123" s="2"/>
      <c r="Z123" s="19">
        <f t="shared" si="44"/>
        <v>2.0239129415075756</v>
      </c>
    </row>
    <row r="124" spans="1:26" s="23" customFormat="1" hidden="1" outlineLevel="1" x14ac:dyDescent="0.25">
      <c r="A124" s="44"/>
      <c r="B124" s="10" t="str">
        <f>CONCATENATE("          ", "5014", " - ", "PURCHASES @ COST-REMAINDERS")</f>
        <v xml:space="preserve">          5014 - PURCHASES @ COST-REMAINDERS</v>
      </c>
      <c r="C124" s="10"/>
      <c r="D124" s="2"/>
      <c r="E124" s="2"/>
      <c r="F124" s="19">
        <f t="shared" si="37"/>
        <v>0</v>
      </c>
      <c r="G124" s="2"/>
      <c r="H124" s="2"/>
      <c r="I124" s="2"/>
      <c r="J124" s="19">
        <f t="shared" si="38"/>
        <v>0</v>
      </c>
      <c r="K124" s="2"/>
      <c r="L124" s="2">
        <f t="shared" si="39"/>
        <v>0</v>
      </c>
      <c r="M124" s="2"/>
      <c r="N124" s="19">
        <f t="shared" si="40"/>
        <v>0</v>
      </c>
      <c r="O124" s="10"/>
      <c r="P124" s="2">
        <v>111.57</v>
      </c>
      <c r="Q124" s="2"/>
      <c r="R124" s="19">
        <f t="shared" si="41"/>
        <v>2.1405225401340204E-5</v>
      </c>
      <c r="S124" s="2"/>
      <c r="T124" s="2">
        <v>615.07000000000005</v>
      </c>
      <c r="U124" s="2"/>
      <c r="V124" s="19">
        <f t="shared" si="42"/>
        <v>5.3994411622728854E-5</v>
      </c>
      <c r="W124" s="2"/>
      <c r="X124" s="2">
        <f t="shared" si="43"/>
        <v>-503.50000000000006</v>
      </c>
      <c r="Y124" s="2"/>
      <c r="Z124" s="19">
        <f t="shared" si="44"/>
        <v>-0.81860601232380059</v>
      </c>
    </row>
    <row r="125" spans="1:26" s="23" customFormat="1" hidden="1" outlineLevel="1" x14ac:dyDescent="0.25">
      <c r="A125" s="44"/>
      <c r="B125" s="10" t="str">
        <f>CONCATENATE("          ", "5017", " - ", "PURCHASES @ COST-DORM/HOUSEWAR")</f>
        <v xml:space="preserve">          5017 - PURCHASES @ COST-DORM/HOUSEWAR</v>
      </c>
      <c r="C125" s="10"/>
      <c r="D125" s="2"/>
      <c r="E125" s="2"/>
      <c r="F125" s="19">
        <f t="shared" si="37"/>
        <v>0</v>
      </c>
      <c r="G125" s="2"/>
      <c r="H125" s="2"/>
      <c r="I125" s="2"/>
      <c r="J125" s="19">
        <f t="shared" si="38"/>
        <v>0</v>
      </c>
      <c r="K125" s="2"/>
      <c r="L125" s="2">
        <f t="shared" si="39"/>
        <v>0</v>
      </c>
      <c r="M125" s="2"/>
      <c r="N125" s="19">
        <f t="shared" si="40"/>
        <v>0</v>
      </c>
      <c r="O125" s="10"/>
      <c r="P125" s="2"/>
      <c r="Q125" s="2"/>
      <c r="R125" s="19">
        <f t="shared" si="41"/>
        <v>0</v>
      </c>
      <c r="S125" s="2"/>
      <c r="T125" s="2">
        <v>14.46</v>
      </c>
      <c r="U125" s="2"/>
      <c r="V125" s="19">
        <f t="shared" si="42"/>
        <v>1.2693826589894796E-6</v>
      </c>
      <c r="W125" s="2"/>
      <c r="X125" s="2">
        <f t="shared" si="43"/>
        <v>-14.46</v>
      </c>
      <c r="Y125" s="2"/>
      <c r="Z125" s="19">
        <f t="shared" si="44"/>
        <v>-1</v>
      </c>
    </row>
    <row r="126" spans="1:26" s="23" customFormat="1" hidden="1" outlineLevel="1" x14ac:dyDescent="0.25">
      <c r="A126" s="44"/>
      <c r="B126" s="10" t="str">
        <f>CONCATENATE("          ", "5018", " - ", "PURCHASES @ COST-STUDY GUIDES")</f>
        <v xml:space="preserve">          5018 - PURCHASES @ COST-STUDY GUIDES</v>
      </c>
      <c r="C126" s="10"/>
      <c r="D126" s="2"/>
      <c r="E126" s="2"/>
      <c r="F126" s="19">
        <f t="shared" si="37"/>
        <v>0</v>
      </c>
      <c r="G126" s="2"/>
      <c r="H126" s="2"/>
      <c r="I126" s="2"/>
      <c r="J126" s="19">
        <f t="shared" si="38"/>
        <v>0</v>
      </c>
      <c r="K126" s="2"/>
      <c r="L126" s="2">
        <f t="shared" si="39"/>
        <v>0</v>
      </c>
      <c r="M126" s="2"/>
      <c r="N126" s="19">
        <f t="shared" si="40"/>
        <v>0</v>
      </c>
      <c r="O126" s="10"/>
      <c r="P126" s="2">
        <v>967.21</v>
      </c>
      <c r="Q126" s="2"/>
      <c r="R126" s="19">
        <f t="shared" si="41"/>
        <v>1.8556375423886581E-4</v>
      </c>
      <c r="S126" s="2"/>
      <c r="T126" s="2">
        <v>-205.14</v>
      </c>
      <c r="U126" s="2"/>
      <c r="V126" s="19">
        <f t="shared" si="42"/>
        <v>-1.8008378884170248E-5</v>
      </c>
      <c r="W126" s="2"/>
      <c r="X126" s="2">
        <f t="shared" si="43"/>
        <v>1172.3499999999999</v>
      </c>
      <c r="Y126" s="2"/>
      <c r="Z126" s="19">
        <f t="shared" si="44"/>
        <v>-5.7148776445354388</v>
      </c>
    </row>
    <row r="127" spans="1:26" s="23" customFormat="1" hidden="1" outlineLevel="1" x14ac:dyDescent="0.25">
      <c r="A127" s="44"/>
      <c r="B127" s="10" t="str">
        <f>CONCATENATE("          ", "5025", " - ", "PURCHASES @ COST-TEST FORMS")</f>
        <v xml:space="preserve">          5025 - PURCHASES @ COST-TEST FORMS</v>
      </c>
      <c r="C127" s="10"/>
      <c r="D127" s="2"/>
      <c r="E127" s="2"/>
      <c r="F127" s="19">
        <f t="shared" si="37"/>
        <v>0</v>
      </c>
      <c r="G127" s="2"/>
      <c r="H127" s="2"/>
      <c r="I127" s="2"/>
      <c r="J127" s="19">
        <f t="shared" si="38"/>
        <v>0</v>
      </c>
      <c r="K127" s="2"/>
      <c r="L127" s="2">
        <f t="shared" si="39"/>
        <v>0</v>
      </c>
      <c r="M127" s="2"/>
      <c r="N127" s="19">
        <f t="shared" si="40"/>
        <v>0</v>
      </c>
      <c r="O127" s="10"/>
      <c r="P127" s="2">
        <v>599.29</v>
      </c>
      <c r="Q127" s="2"/>
      <c r="R127" s="19">
        <f t="shared" si="41"/>
        <v>1.1497658448300771E-4</v>
      </c>
      <c r="S127" s="2"/>
      <c r="T127" s="2">
        <v>26400.39</v>
      </c>
      <c r="U127" s="2"/>
      <c r="V127" s="19">
        <f t="shared" si="42"/>
        <v>2.3175793400110139E-3</v>
      </c>
      <c r="W127" s="2"/>
      <c r="X127" s="2">
        <f t="shared" si="43"/>
        <v>-25801.1</v>
      </c>
      <c r="Y127" s="2"/>
      <c r="Z127" s="19">
        <f t="shared" si="44"/>
        <v>-0.97729995655367208</v>
      </c>
    </row>
    <row r="128" spans="1:26" s="23" customFormat="1" hidden="1" outlineLevel="1" x14ac:dyDescent="0.25">
      <c r="A128" s="44"/>
      <c r="B128" s="10" t="str">
        <f>CONCATENATE("          ", "5026", " - ", "PURCHASES @ COST-WRITING INSTR")</f>
        <v xml:space="preserve">          5026 - PURCHASES @ COST-WRITING INSTR</v>
      </c>
      <c r="C128" s="10"/>
      <c r="D128" s="2">
        <v>-2.0499999999999998</v>
      </c>
      <c r="E128" s="2"/>
      <c r="F128" s="19">
        <f t="shared" si="37"/>
        <v>-4.0452568337510324E-6</v>
      </c>
      <c r="G128" s="2"/>
      <c r="H128" s="2">
        <v>-7248</v>
      </c>
      <c r="I128" s="2"/>
      <c r="J128" s="19">
        <f t="shared" si="38"/>
        <v>-2.7490096188407909E-2</v>
      </c>
      <c r="K128" s="2"/>
      <c r="L128" s="2">
        <f t="shared" si="39"/>
        <v>7245.95</v>
      </c>
      <c r="M128" s="2"/>
      <c r="N128" s="19">
        <f t="shared" si="40"/>
        <v>-0.99971716335540839</v>
      </c>
      <c r="O128" s="10"/>
      <c r="P128" s="2">
        <v>582.5</v>
      </c>
      <c r="Q128" s="2"/>
      <c r="R128" s="19">
        <f t="shared" si="41"/>
        <v>1.1175534459335545E-4</v>
      </c>
      <c r="S128" s="2"/>
      <c r="T128" s="2">
        <v>44186.57</v>
      </c>
      <c r="U128" s="2"/>
      <c r="V128" s="19">
        <f t="shared" si="42"/>
        <v>3.8789533691718369E-3</v>
      </c>
      <c r="W128" s="2"/>
      <c r="X128" s="2">
        <f t="shared" si="43"/>
        <v>-43604.07</v>
      </c>
      <c r="Y128" s="2"/>
      <c r="Z128" s="19">
        <f t="shared" si="44"/>
        <v>-0.98681726144391835</v>
      </c>
    </row>
    <row r="129" spans="1:26" s="23" customFormat="1" hidden="1" outlineLevel="1" x14ac:dyDescent="0.25">
      <c r="A129" s="44"/>
      <c r="B129" s="10" t="str">
        <f>CONCATENATE("          ", "5027", " - ", "PURCHASES @ COST-SCHOOL SUPPLI")</f>
        <v xml:space="preserve">          5027 - PURCHASES @ COST-SCHOOL SUPPLI</v>
      </c>
      <c r="C129" s="10"/>
      <c r="D129" s="2">
        <v>0.39</v>
      </c>
      <c r="E129" s="2"/>
      <c r="F129" s="19">
        <f t="shared" si="37"/>
        <v>7.695854464209282E-7</v>
      </c>
      <c r="G129" s="2"/>
      <c r="H129" s="2">
        <v>-2393.63</v>
      </c>
      <c r="I129" s="2"/>
      <c r="J129" s="19">
        <f t="shared" si="38"/>
        <v>-9.0785208249805228E-3</v>
      </c>
      <c r="K129" s="2"/>
      <c r="L129" s="2">
        <f t="shared" si="39"/>
        <v>2394.02</v>
      </c>
      <c r="M129" s="2"/>
      <c r="N129" s="19">
        <f t="shared" si="40"/>
        <v>-1.0001629324498773</v>
      </c>
      <c r="O129" s="10"/>
      <c r="P129" s="2">
        <v>23734.99</v>
      </c>
      <c r="Q129" s="2"/>
      <c r="R129" s="19">
        <f t="shared" si="41"/>
        <v>4.5536686461284913E-3</v>
      </c>
      <c r="S129" s="2"/>
      <c r="T129" s="2">
        <v>141214.54</v>
      </c>
      <c r="U129" s="2"/>
      <c r="V129" s="19">
        <f t="shared" si="42"/>
        <v>1.2396631277536391E-2</v>
      </c>
      <c r="W129" s="2"/>
      <c r="X129" s="2">
        <f t="shared" si="43"/>
        <v>-117479.55</v>
      </c>
      <c r="Y129" s="2"/>
      <c r="Z129" s="19">
        <f t="shared" si="44"/>
        <v>-0.83192247767120864</v>
      </c>
    </row>
    <row r="130" spans="1:26" s="23" customFormat="1" hidden="1" outlineLevel="1" x14ac:dyDescent="0.25">
      <c r="A130" s="44"/>
      <c r="B130" s="10" t="str">
        <f>CONCATENATE("          ", "5028", " - ", "PURCHASES @ COST-ART/TECH")</f>
        <v xml:space="preserve">          5028 - PURCHASES @ COST-ART/TECH</v>
      </c>
      <c r="C130" s="10"/>
      <c r="D130" s="2">
        <v>674.12</v>
      </c>
      <c r="E130" s="2"/>
      <c r="F130" s="19">
        <f t="shared" si="37"/>
        <v>1.3302383106186565E-3</v>
      </c>
      <c r="G130" s="2"/>
      <c r="H130" s="2">
        <v>-60.3</v>
      </c>
      <c r="I130" s="2"/>
      <c r="J130" s="19">
        <f t="shared" si="38"/>
        <v>-2.2870485653435387E-4</v>
      </c>
      <c r="K130" s="2"/>
      <c r="L130" s="2">
        <f t="shared" si="39"/>
        <v>734.42</v>
      </c>
      <c r="M130" s="2"/>
      <c r="N130" s="19">
        <f t="shared" si="40"/>
        <v>-12.179436152570482</v>
      </c>
      <c r="O130" s="10"/>
      <c r="P130" s="2">
        <v>47680.74</v>
      </c>
      <c r="Q130" s="2"/>
      <c r="R130" s="19">
        <f t="shared" si="41"/>
        <v>9.1477725822595481E-3</v>
      </c>
      <c r="S130" s="2"/>
      <c r="T130" s="2">
        <v>159627.69</v>
      </c>
      <c r="U130" s="2"/>
      <c r="V130" s="19">
        <f t="shared" si="42"/>
        <v>1.4013044369332527E-2</v>
      </c>
      <c r="W130" s="2"/>
      <c r="X130" s="2">
        <f t="shared" si="43"/>
        <v>-111946.95000000001</v>
      </c>
      <c r="Y130" s="2"/>
      <c r="Z130" s="19">
        <f t="shared" si="44"/>
        <v>-0.70130031951223504</v>
      </c>
    </row>
    <row r="131" spans="1:26" s="23" customFormat="1" hidden="1" outlineLevel="1" x14ac:dyDescent="0.25">
      <c r="A131" s="44"/>
      <c r="B131" s="10" t="str">
        <f>CONCATENATE("          ", "5031", " - ", "PURCHASES @ COST-FOOD")</f>
        <v xml:space="preserve">          5031 - PURCHASES @ COST-FOOD</v>
      </c>
      <c r="C131" s="10"/>
      <c r="D131" s="2">
        <v>280.37</v>
      </c>
      <c r="E131" s="2"/>
      <c r="F131" s="19">
        <f t="shared" si="37"/>
        <v>5.5325300413598872E-4</v>
      </c>
      <c r="G131" s="2"/>
      <c r="H131" s="2"/>
      <c r="I131" s="2"/>
      <c r="J131" s="19">
        <f t="shared" si="38"/>
        <v>0</v>
      </c>
      <c r="K131" s="2"/>
      <c r="L131" s="2">
        <f t="shared" si="39"/>
        <v>280.37</v>
      </c>
      <c r="M131" s="2"/>
      <c r="N131" s="19">
        <f t="shared" si="40"/>
        <v>0</v>
      </c>
      <c r="O131" s="10"/>
      <c r="P131" s="2">
        <v>8066.09</v>
      </c>
      <c r="Q131" s="2"/>
      <c r="R131" s="19">
        <f t="shared" si="41"/>
        <v>1.5475170257013193E-3</v>
      </c>
      <c r="S131" s="2"/>
      <c r="T131" s="2">
        <v>33239.879999999997</v>
      </c>
      <c r="U131" s="2"/>
      <c r="V131" s="19">
        <f t="shared" si="42"/>
        <v>2.9179894369910937E-3</v>
      </c>
      <c r="W131" s="2"/>
      <c r="X131" s="2">
        <f t="shared" si="43"/>
        <v>-25173.789999999997</v>
      </c>
      <c r="Y131" s="2"/>
      <c r="Z131" s="19">
        <f t="shared" si="44"/>
        <v>-0.75733696992889266</v>
      </c>
    </row>
    <row r="132" spans="1:26" s="23" customFormat="1" hidden="1" outlineLevel="1" x14ac:dyDescent="0.25">
      <c r="A132" s="44"/>
      <c r="B132" s="10" t="str">
        <f>CONCATENATE("          ", "5032", " - ", "PURCHASES @ COST-JUICE")</f>
        <v xml:space="preserve">          5032 - PURCHASES @ COST-JUICE</v>
      </c>
      <c r="C132" s="10"/>
      <c r="D132" s="2"/>
      <c r="E132" s="2"/>
      <c r="F132" s="19">
        <f t="shared" si="37"/>
        <v>0</v>
      </c>
      <c r="G132" s="2"/>
      <c r="H132" s="2"/>
      <c r="I132" s="2"/>
      <c r="J132" s="19">
        <f t="shared" si="38"/>
        <v>0</v>
      </c>
      <c r="K132" s="2"/>
      <c r="L132" s="2">
        <f t="shared" si="39"/>
        <v>0</v>
      </c>
      <c r="M132" s="2"/>
      <c r="N132" s="19">
        <f t="shared" si="40"/>
        <v>0</v>
      </c>
      <c r="O132" s="10"/>
      <c r="P132" s="2"/>
      <c r="Q132" s="2"/>
      <c r="R132" s="19">
        <f t="shared" si="41"/>
        <v>0</v>
      </c>
      <c r="S132" s="2"/>
      <c r="T132" s="2">
        <v>7802.45</v>
      </c>
      <c r="U132" s="2"/>
      <c r="V132" s="19">
        <f t="shared" si="42"/>
        <v>6.8494431034802651E-4</v>
      </c>
      <c r="W132" s="2"/>
      <c r="X132" s="2">
        <f t="shared" si="43"/>
        <v>-7802.45</v>
      </c>
      <c r="Y132" s="2"/>
      <c r="Z132" s="19">
        <f t="shared" si="44"/>
        <v>-1</v>
      </c>
    </row>
    <row r="133" spans="1:26" s="23" customFormat="1" hidden="1" outlineLevel="1" x14ac:dyDescent="0.25">
      <c r="A133" s="44"/>
      <c r="B133" s="10" t="str">
        <f>CONCATENATE("          ", "5033", " - ", "PURCHASES @ COST-CANDY")</f>
        <v xml:space="preserve">          5033 - PURCHASES @ COST-CANDY</v>
      </c>
      <c r="C133" s="10"/>
      <c r="D133" s="2"/>
      <c r="E133" s="2"/>
      <c r="F133" s="19">
        <f t="shared" si="37"/>
        <v>0</v>
      </c>
      <c r="G133" s="2"/>
      <c r="H133" s="2"/>
      <c r="I133" s="2"/>
      <c r="J133" s="19">
        <f t="shared" si="38"/>
        <v>0</v>
      </c>
      <c r="K133" s="2"/>
      <c r="L133" s="2">
        <f t="shared" si="39"/>
        <v>0</v>
      </c>
      <c r="M133" s="2"/>
      <c r="N133" s="19">
        <f t="shared" si="40"/>
        <v>0</v>
      </c>
      <c r="O133" s="10"/>
      <c r="P133" s="2"/>
      <c r="Q133" s="2"/>
      <c r="R133" s="19">
        <f t="shared" si="41"/>
        <v>0</v>
      </c>
      <c r="S133" s="2"/>
      <c r="T133" s="2">
        <v>9998.41</v>
      </c>
      <c r="U133" s="2"/>
      <c r="V133" s="19">
        <f t="shared" si="42"/>
        <v>8.7771841434764874E-4</v>
      </c>
      <c r="W133" s="2"/>
      <c r="X133" s="2">
        <f t="shared" si="43"/>
        <v>-9998.41</v>
      </c>
      <c r="Y133" s="2"/>
      <c r="Z133" s="19">
        <f t="shared" si="44"/>
        <v>-1</v>
      </c>
    </row>
    <row r="134" spans="1:26" s="23" customFormat="1" hidden="1" outlineLevel="1" x14ac:dyDescent="0.25">
      <c r="A134" s="44"/>
      <c r="B134" s="10" t="str">
        <f>CONCATENATE("          ", "5034", " - ", "PURCHASES @ COST-SODA")</f>
        <v xml:space="preserve">          5034 - PURCHASES @ COST-SODA</v>
      </c>
      <c r="C134" s="10"/>
      <c r="D134" s="2"/>
      <c r="E134" s="2"/>
      <c r="F134" s="19">
        <f t="shared" si="37"/>
        <v>0</v>
      </c>
      <c r="G134" s="2"/>
      <c r="H134" s="2"/>
      <c r="I134" s="2"/>
      <c r="J134" s="19">
        <f t="shared" si="38"/>
        <v>0</v>
      </c>
      <c r="K134" s="2"/>
      <c r="L134" s="2">
        <f t="shared" si="39"/>
        <v>0</v>
      </c>
      <c r="M134" s="2"/>
      <c r="N134" s="19">
        <f t="shared" si="40"/>
        <v>0</v>
      </c>
      <c r="O134" s="10"/>
      <c r="P134" s="2"/>
      <c r="Q134" s="2"/>
      <c r="R134" s="19">
        <f t="shared" si="41"/>
        <v>0</v>
      </c>
      <c r="S134" s="2"/>
      <c r="T134" s="2">
        <v>4033.88</v>
      </c>
      <c r="U134" s="2"/>
      <c r="V134" s="19">
        <f t="shared" si="42"/>
        <v>3.5411738039035142E-4</v>
      </c>
      <c r="W134" s="2"/>
      <c r="X134" s="2">
        <f t="shared" si="43"/>
        <v>-4033.88</v>
      </c>
      <c r="Y134" s="2"/>
      <c r="Z134" s="19">
        <f t="shared" si="44"/>
        <v>-1</v>
      </c>
    </row>
    <row r="135" spans="1:26" s="23" customFormat="1" hidden="1" outlineLevel="1" x14ac:dyDescent="0.25">
      <c r="A135" s="44"/>
      <c r="B135" s="10" t="str">
        <f>CONCATENATE("          ", "5035", " - ", "PURCHASES @ COST-HEALTH &amp; BEAU")</f>
        <v xml:space="preserve">          5035 - PURCHASES @ COST-HEALTH &amp; BEAU</v>
      </c>
      <c r="C135" s="10"/>
      <c r="D135" s="2"/>
      <c r="E135" s="2"/>
      <c r="F135" s="19">
        <f t="shared" si="37"/>
        <v>0</v>
      </c>
      <c r="G135" s="2"/>
      <c r="H135" s="2"/>
      <c r="I135" s="2"/>
      <c r="J135" s="19">
        <f t="shared" si="38"/>
        <v>0</v>
      </c>
      <c r="K135" s="2"/>
      <c r="L135" s="2">
        <f t="shared" si="39"/>
        <v>0</v>
      </c>
      <c r="M135" s="2"/>
      <c r="N135" s="19">
        <f t="shared" si="40"/>
        <v>0</v>
      </c>
      <c r="O135" s="10"/>
      <c r="P135" s="2"/>
      <c r="Q135" s="2"/>
      <c r="R135" s="19">
        <f t="shared" si="41"/>
        <v>0</v>
      </c>
      <c r="S135" s="2"/>
      <c r="T135" s="2">
        <v>1117.6500000000001</v>
      </c>
      <c r="U135" s="2"/>
      <c r="V135" s="19">
        <f t="shared" si="42"/>
        <v>9.8113798673554064E-5</v>
      </c>
      <c r="W135" s="2"/>
      <c r="X135" s="2">
        <f t="shared" si="43"/>
        <v>-1117.6500000000001</v>
      </c>
      <c r="Y135" s="2"/>
      <c r="Z135" s="19">
        <f t="shared" si="44"/>
        <v>-1</v>
      </c>
    </row>
    <row r="136" spans="1:26" s="23" customFormat="1" hidden="1" outlineLevel="1" x14ac:dyDescent="0.25">
      <c r="A136" s="44"/>
      <c r="B136" s="10" t="str">
        <f>CONCATENATE("          ", "5037", " - ", "PURCHASES @ COST-WATER")</f>
        <v xml:space="preserve">          5037 - PURCHASES @ COST-WATER</v>
      </c>
      <c r="C136" s="10"/>
      <c r="D136" s="2"/>
      <c r="E136" s="2"/>
      <c r="F136" s="19">
        <f t="shared" si="37"/>
        <v>0</v>
      </c>
      <c r="G136" s="2"/>
      <c r="H136" s="2"/>
      <c r="I136" s="2"/>
      <c r="J136" s="19">
        <f t="shared" si="38"/>
        <v>0</v>
      </c>
      <c r="K136" s="2"/>
      <c r="L136" s="2">
        <f t="shared" si="39"/>
        <v>0</v>
      </c>
      <c r="M136" s="2"/>
      <c r="N136" s="19">
        <f t="shared" si="40"/>
        <v>0</v>
      </c>
      <c r="O136" s="10"/>
      <c r="P136" s="2"/>
      <c r="Q136" s="2"/>
      <c r="R136" s="19">
        <f t="shared" si="41"/>
        <v>0</v>
      </c>
      <c r="S136" s="2"/>
      <c r="T136" s="2">
        <v>5693.57</v>
      </c>
      <c r="U136" s="2"/>
      <c r="V136" s="19">
        <f t="shared" si="42"/>
        <v>4.9981459375814184E-4</v>
      </c>
      <c r="W136" s="2"/>
      <c r="X136" s="2">
        <f t="shared" si="43"/>
        <v>-5693.57</v>
      </c>
      <c r="Y136" s="2"/>
      <c r="Z136" s="19">
        <f t="shared" si="44"/>
        <v>-1</v>
      </c>
    </row>
    <row r="137" spans="1:26" s="23" customFormat="1" hidden="1" outlineLevel="1" x14ac:dyDescent="0.25">
      <c r="A137" s="44"/>
      <c r="B137" s="10" t="str">
        <f>CONCATENATE("          ", "5040", " - ", "PURCHASES @ COST-LOGO CLOTHING")</f>
        <v xml:space="preserve">          5040 - PURCHASES @ COST-LOGO CLOTHING</v>
      </c>
      <c r="C137" s="10"/>
      <c r="D137" s="2">
        <v>48288.73</v>
      </c>
      <c r="E137" s="2"/>
      <c r="F137" s="19">
        <f t="shared" si="37"/>
        <v>9.5287958549101714E-2</v>
      </c>
      <c r="G137" s="2"/>
      <c r="H137" s="2">
        <v>1557.89</v>
      </c>
      <c r="I137" s="2"/>
      <c r="J137" s="19">
        <f t="shared" si="38"/>
        <v>5.9087397835208061E-3</v>
      </c>
      <c r="K137" s="2"/>
      <c r="L137" s="2">
        <f t="shared" si="39"/>
        <v>46730.840000000004</v>
      </c>
      <c r="M137" s="2"/>
      <c r="N137" s="19">
        <f t="shared" si="40"/>
        <v>29.996238502076526</v>
      </c>
      <c r="O137" s="10"/>
      <c r="P137" s="2">
        <v>327378.98</v>
      </c>
      <c r="Q137" s="2"/>
      <c r="R137" s="19">
        <f t="shared" si="41"/>
        <v>6.2809185789736002E-2</v>
      </c>
      <c r="S137" s="2"/>
      <c r="T137" s="2">
        <v>976469.33</v>
      </c>
      <c r="U137" s="2"/>
      <c r="V137" s="19">
        <f t="shared" si="42"/>
        <v>8.5720140701042558E-2</v>
      </c>
      <c r="W137" s="2"/>
      <c r="X137" s="2">
        <f t="shared" si="43"/>
        <v>-649090.35</v>
      </c>
      <c r="Y137" s="2"/>
      <c r="Z137" s="19">
        <f t="shared" si="44"/>
        <v>-0.66473193786844287</v>
      </c>
    </row>
    <row r="138" spans="1:26" s="23" customFormat="1" hidden="1" outlineLevel="1" x14ac:dyDescent="0.25">
      <c r="A138" s="44"/>
      <c r="B138" s="10" t="str">
        <f>CONCATENATE("          ", "5041", " - ", "PURCHASES @ COST-LOGO GIFTS")</f>
        <v xml:space="preserve">          5041 - PURCHASES @ COST-LOGO GIFTS</v>
      </c>
      <c r="C138" s="10"/>
      <c r="D138" s="2">
        <v>22136.9</v>
      </c>
      <c r="E138" s="2"/>
      <c r="F138" s="19">
        <f t="shared" si="37"/>
        <v>4.3682656586860116E-2</v>
      </c>
      <c r="G138" s="2"/>
      <c r="H138" s="2">
        <v>4290.8100000000004</v>
      </c>
      <c r="I138" s="2"/>
      <c r="J138" s="19">
        <f t="shared" si="38"/>
        <v>1.6274114186835342E-2</v>
      </c>
      <c r="K138" s="2"/>
      <c r="L138" s="2">
        <f t="shared" si="39"/>
        <v>17846.09</v>
      </c>
      <c r="M138" s="2"/>
      <c r="N138" s="19">
        <f t="shared" si="40"/>
        <v>4.1591424462980182</v>
      </c>
      <c r="O138" s="10"/>
      <c r="P138" s="2">
        <v>106398.85</v>
      </c>
      <c r="Q138" s="2"/>
      <c r="R138" s="19">
        <f t="shared" si="41"/>
        <v>2.0413116130621013E-2</v>
      </c>
      <c r="S138" s="2"/>
      <c r="T138" s="2">
        <v>149750.84</v>
      </c>
      <c r="U138" s="2"/>
      <c r="V138" s="19">
        <f t="shared" si="42"/>
        <v>1.3145997196757129E-2</v>
      </c>
      <c r="W138" s="2"/>
      <c r="X138" s="2">
        <f t="shared" si="43"/>
        <v>-43351.989999999991</v>
      </c>
      <c r="Y138" s="2"/>
      <c r="Z138" s="19">
        <f t="shared" si="44"/>
        <v>-0.28949413572571608</v>
      </c>
    </row>
    <row r="139" spans="1:26" s="23" customFormat="1" hidden="1" outlineLevel="1" x14ac:dyDescent="0.25">
      <c r="A139" s="44"/>
      <c r="B139" s="10" t="str">
        <f>CONCATENATE("          ", "5042", " - ", "PURCHASES @ COST-EVERYDAY GIFT")</f>
        <v xml:space="preserve">          5042 - PURCHASES @ COST-EVERYDAY GIFT</v>
      </c>
      <c r="C139" s="10"/>
      <c r="D139" s="2">
        <v>-0.11</v>
      </c>
      <c r="E139" s="2"/>
      <c r="F139" s="19">
        <f t="shared" si="37"/>
        <v>-2.1706256181103101E-7</v>
      </c>
      <c r="G139" s="2"/>
      <c r="H139" s="2">
        <v>10730.16</v>
      </c>
      <c r="I139" s="2"/>
      <c r="J139" s="19">
        <f t="shared" si="38"/>
        <v>4.069717584395792E-2</v>
      </c>
      <c r="K139" s="2"/>
      <c r="L139" s="2">
        <f t="shared" si="39"/>
        <v>-10730.27</v>
      </c>
      <c r="M139" s="2"/>
      <c r="N139" s="19">
        <f t="shared" si="40"/>
        <v>-1.0000102514780769</v>
      </c>
      <c r="O139" s="10"/>
      <c r="P139" s="2">
        <v>18748.07</v>
      </c>
      <c r="Q139" s="2"/>
      <c r="R139" s="19">
        <f t="shared" si="41"/>
        <v>3.5969047610478104E-3</v>
      </c>
      <c r="S139" s="2"/>
      <c r="T139" s="2">
        <v>126615.2</v>
      </c>
      <c r="U139" s="2"/>
      <c r="V139" s="19">
        <f t="shared" si="42"/>
        <v>1.1115016545261739E-2</v>
      </c>
      <c r="W139" s="2"/>
      <c r="X139" s="2">
        <f t="shared" si="43"/>
        <v>-107867.13</v>
      </c>
      <c r="Y139" s="2"/>
      <c r="Z139" s="19">
        <f t="shared" si="44"/>
        <v>-0.8519287573687836</v>
      </c>
    </row>
    <row r="140" spans="1:26" s="23" customFormat="1" hidden="1" outlineLevel="1" x14ac:dyDescent="0.25">
      <c r="A140" s="44"/>
      <c r="B140" s="10" t="str">
        <f>CONCATENATE("          ", "5043", " - ", "PURCHASES @ COST-CARDS")</f>
        <v xml:space="preserve">          5043 - PURCHASES @ COST-CARDS</v>
      </c>
      <c r="C140" s="10"/>
      <c r="D140" s="2">
        <v>178</v>
      </c>
      <c r="E140" s="2"/>
      <c r="F140" s="19">
        <f t="shared" si="37"/>
        <v>3.5124669093057745E-4</v>
      </c>
      <c r="G140" s="2"/>
      <c r="H140" s="2"/>
      <c r="I140" s="2"/>
      <c r="J140" s="19">
        <f t="shared" si="38"/>
        <v>0</v>
      </c>
      <c r="K140" s="2"/>
      <c r="L140" s="2">
        <f t="shared" si="39"/>
        <v>178</v>
      </c>
      <c r="M140" s="2"/>
      <c r="N140" s="19">
        <f t="shared" si="40"/>
        <v>0</v>
      </c>
      <c r="O140" s="10"/>
      <c r="P140" s="2">
        <v>55583.33</v>
      </c>
      <c r="Q140" s="2"/>
      <c r="R140" s="19">
        <f t="shared" si="41"/>
        <v>1.0663921369607197E-2</v>
      </c>
      <c r="S140" s="2"/>
      <c r="T140" s="2">
        <v>30914.66</v>
      </c>
      <c r="U140" s="2"/>
      <c r="V140" s="19">
        <f t="shared" si="42"/>
        <v>2.7138681405640182E-3</v>
      </c>
      <c r="W140" s="2"/>
      <c r="X140" s="2">
        <f t="shared" si="43"/>
        <v>24668.670000000002</v>
      </c>
      <c r="Y140" s="2"/>
      <c r="Z140" s="19">
        <f t="shared" si="44"/>
        <v>0.79796025574921414</v>
      </c>
    </row>
    <row r="141" spans="1:26" s="23" customFormat="1" hidden="1" outlineLevel="1" x14ac:dyDescent="0.25">
      <c r="A141" s="44"/>
      <c r="B141" s="10" t="str">
        <f>CONCATENATE("          ", "5044", " - ", "PURCHASES @ COST-ACCESSORIES")</f>
        <v xml:space="preserve">          5044 - PURCHASES @ COST-ACCESSORIES</v>
      </c>
      <c r="C141" s="10"/>
      <c r="D141" s="2"/>
      <c r="E141" s="2"/>
      <c r="F141" s="19">
        <f t="shared" si="37"/>
        <v>0</v>
      </c>
      <c r="G141" s="2"/>
      <c r="H141" s="2">
        <v>1395</v>
      </c>
      <c r="I141" s="2"/>
      <c r="J141" s="19">
        <f t="shared" si="38"/>
        <v>5.290933248182814E-3</v>
      </c>
      <c r="K141" s="2"/>
      <c r="L141" s="2">
        <f t="shared" si="39"/>
        <v>-1395</v>
      </c>
      <c r="M141" s="2"/>
      <c r="N141" s="19">
        <f t="shared" si="40"/>
        <v>-1</v>
      </c>
      <c r="O141" s="10"/>
      <c r="P141" s="2">
        <v>2555.71</v>
      </c>
      <c r="Q141" s="2"/>
      <c r="R141" s="19">
        <f t="shared" si="41"/>
        <v>4.9032489567499477E-4</v>
      </c>
      <c r="S141" s="2"/>
      <c r="T141" s="2">
        <v>37869.03</v>
      </c>
      <c r="U141" s="2"/>
      <c r="V141" s="19">
        <f t="shared" si="42"/>
        <v>3.3243630701765121E-3</v>
      </c>
      <c r="W141" s="2"/>
      <c r="X141" s="2">
        <f t="shared" si="43"/>
        <v>-35313.32</v>
      </c>
      <c r="Y141" s="2"/>
      <c r="Z141" s="19">
        <f t="shared" si="44"/>
        <v>-0.93251187051794038</v>
      </c>
    </row>
    <row r="142" spans="1:26" s="23" customFormat="1" hidden="1" outlineLevel="1" x14ac:dyDescent="0.25">
      <c r="A142" s="44"/>
      <c r="B142" s="10" t="str">
        <f>CONCATENATE("          ", "5045", " - ", "PURCHASES @ COST-SPECIAL ORDER")</f>
        <v xml:space="preserve">          5045 - PURCHASES @ COST-SPECIAL ORDER</v>
      </c>
      <c r="C142" s="10"/>
      <c r="D142" s="2">
        <v>24141.17</v>
      </c>
      <c r="E142" s="2"/>
      <c r="F142" s="19">
        <f t="shared" si="37"/>
        <v>4.7637674593778247E-2</v>
      </c>
      <c r="G142" s="2"/>
      <c r="H142" s="2">
        <v>16919.25</v>
      </c>
      <c r="I142" s="2"/>
      <c r="J142" s="19">
        <f t="shared" si="38"/>
        <v>6.4171055454707582E-2</v>
      </c>
      <c r="K142" s="2"/>
      <c r="L142" s="2">
        <f t="shared" si="39"/>
        <v>7221.9199999999983</v>
      </c>
      <c r="M142" s="2"/>
      <c r="N142" s="19">
        <f t="shared" si="40"/>
        <v>0.42684634366180524</v>
      </c>
      <c r="O142" s="10"/>
      <c r="P142" s="2">
        <v>139139.24</v>
      </c>
      <c r="Q142" s="2"/>
      <c r="R142" s="19">
        <f t="shared" si="41"/>
        <v>2.6694512811429334E-2</v>
      </c>
      <c r="S142" s="2"/>
      <c r="T142" s="2">
        <v>78842.399999999994</v>
      </c>
      <c r="U142" s="2"/>
      <c r="V142" s="19">
        <f t="shared" si="42"/>
        <v>6.9212431087906038E-3</v>
      </c>
      <c r="W142" s="2"/>
      <c r="X142" s="2">
        <f t="shared" si="43"/>
        <v>60296.84</v>
      </c>
      <c r="Y142" s="2"/>
      <c r="Z142" s="19">
        <f t="shared" si="44"/>
        <v>0.7647768205939951</v>
      </c>
    </row>
    <row r="143" spans="1:26" s="23" customFormat="1" hidden="1" outlineLevel="1" x14ac:dyDescent="0.25">
      <c r="A143" s="44"/>
      <c r="B143" s="10" t="str">
        <f>CONCATENATE("          ", "5053", " - ", "PURCHASES @ COST-FOOD")</f>
        <v xml:space="preserve">          5053 - PURCHASES @ COST-FOOD</v>
      </c>
      <c r="C143" s="10"/>
      <c r="D143" s="2">
        <v>-29</v>
      </c>
      <c r="E143" s="2"/>
      <c r="F143" s="19">
        <f t="shared" si="37"/>
        <v>-5.7225584477453627E-5</v>
      </c>
      <c r="G143" s="2"/>
      <c r="H143" s="2">
        <v>-1756.38</v>
      </c>
      <c r="I143" s="2"/>
      <c r="J143" s="19">
        <f t="shared" si="38"/>
        <v>-6.6615694182389469E-3</v>
      </c>
      <c r="K143" s="2"/>
      <c r="L143" s="2">
        <f t="shared" si="39"/>
        <v>1727.38</v>
      </c>
      <c r="M143" s="2"/>
      <c r="N143" s="19">
        <f t="shared" si="40"/>
        <v>-0.98348876666780538</v>
      </c>
      <c r="O143" s="10"/>
      <c r="P143" s="2">
        <v>-2499.15</v>
      </c>
      <c r="Q143" s="2"/>
      <c r="R143" s="19">
        <f t="shared" si="41"/>
        <v>-4.7947359560598164E-4</v>
      </c>
      <c r="S143" s="2"/>
      <c r="T143" s="2">
        <v>1158504.04</v>
      </c>
      <c r="U143" s="2"/>
      <c r="V143" s="19">
        <f t="shared" si="42"/>
        <v>0.10170020323272852</v>
      </c>
      <c r="W143" s="2"/>
      <c r="X143" s="2">
        <f t="shared" si="43"/>
        <v>-1161003.19</v>
      </c>
      <c r="Y143" s="2"/>
      <c r="Z143" s="19">
        <f t="shared" si="44"/>
        <v>-1.002157221652848</v>
      </c>
    </row>
    <row r="144" spans="1:26" s="23" customFormat="1" hidden="1" outlineLevel="1" x14ac:dyDescent="0.25">
      <c r="A144" s="44"/>
      <c r="B144" s="10" t="str">
        <f>CONCATENATE("          ", "5059", " - ", "PURCHASES @ COST-FOOD")</f>
        <v xml:space="preserve">          5059 - PURCHASES @ COST-FOOD</v>
      </c>
      <c r="C144" s="10"/>
      <c r="D144" s="2"/>
      <c r="E144" s="2"/>
      <c r="F144" s="19">
        <f t="shared" si="37"/>
        <v>0</v>
      </c>
      <c r="G144" s="2"/>
      <c r="H144" s="2"/>
      <c r="I144" s="2"/>
      <c r="J144" s="19">
        <f t="shared" si="38"/>
        <v>0</v>
      </c>
      <c r="K144" s="2"/>
      <c r="L144" s="2">
        <f t="shared" si="39"/>
        <v>0</v>
      </c>
      <c r="M144" s="2"/>
      <c r="N144" s="19">
        <f t="shared" si="40"/>
        <v>0</v>
      </c>
      <c r="O144" s="10"/>
      <c r="P144" s="2">
        <v>30889.99</v>
      </c>
      <c r="Q144" s="2"/>
      <c r="R144" s="19">
        <f t="shared" si="41"/>
        <v>5.9263888016056728E-3</v>
      </c>
      <c r="S144" s="2"/>
      <c r="T144" s="2">
        <v>73826.8</v>
      </c>
      <c r="U144" s="2"/>
      <c r="V144" s="19">
        <f t="shared" si="42"/>
        <v>6.4809446534359961E-3</v>
      </c>
      <c r="W144" s="2"/>
      <c r="X144" s="2">
        <f t="shared" si="43"/>
        <v>-42936.81</v>
      </c>
      <c r="Y144" s="2"/>
      <c r="Z144" s="19">
        <f t="shared" si="44"/>
        <v>-0.58158839337476353</v>
      </c>
    </row>
    <row r="145" spans="1:26" s="23" customFormat="1" hidden="1" outlineLevel="1" x14ac:dyDescent="0.25">
      <c r="A145" s="44"/>
      <c r="B145" s="10" t="str">
        <f>CONCATENATE("          ", "5081", " - ", "PURCHASES @ COST-ELECTRONICS")</f>
        <v xml:space="preserve">          5081 - PURCHASES @ COST-ELECTRONICS</v>
      </c>
      <c r="C145" s="10"/>
      <c r="D145" s="2"/>
      <c r="E145" s="2"/>
      <c r="F145" s="19">
        <f t="shared" si="37"/>
        <v>0</v>
      </c>
      <c r="G145" s="2"/>
      <c r="H145" s="2"/>
      <c r="I145" s="2"/>
      <c r="J145" s="19">
        <f t="shared" si="38"/>
        <v>0</v>
      </c>
      <c r="K145" s="2"/>
      <c r="L145" s="2">
        <f t="shared" si="39"/>
        <v>0</v>
      </c>
      <c r="M145" s="2"/>
      <c r="N145" s="19">
        <f t="shared" si="40"/>
        <v>0</v>
      </c>
      <c r="O145" s="10"/>
      <c r="P145" s="2"/>
      <c r="Q145" s="2"/>
      <c r="R145" s="19">
        <f t="shared" si="41"/>
        <v>0</v>
      </c>
      <c r="S145" s="2"/>
      <c r="T145" s="2">
        <v>2008.03</v>
      </c>
      <c r="U145" s="2"/>
      <c r="V145" s="19">
        <f t="shared" si="42"/>
        <v>1.7627651872272783E-4</v>
      </c>
      <c r="W145" s="2"/>
      <c r="X145" s="2">
        <f t="shared" si="43"/>
        <v>-2008.03</v>
      </c>
      <c r="Y145" s="2"/>
      <c r="Z145" s="19">
        <f t="shared" si="44"/>
        <v>-1</v>
      </c>
    </row>
    <row r="146" spans="1:26" s="23" customFormat="1" hidden="1" outlineLevel="1" x14ac:dyDescent="0.25">
      <c r="A146" s="44"/>
      <c r="B146" s="10" t="str">
        <f>CONCATENATE("          ", "5082", " - ", "PURCHASES @ COST-COMPUTER HARD")</f>
        <v xml:space="preserve">          5082 - PURCHASES @ COST-COMPUTER HARD</v>
      </c>
      <c r="C146" s="10"/>
      <c r="D146" s="2"/>
      <c r="E146" s="2"/>
      <c r="F146" s="19">
        <f t="shared" si="37"/>
        <v>0</v>
      </c>
      <c r="G146" s="2"/>
      <c r="H146" s="2"/>
      <c r="I146" s="2"/>
      <c r="J146" s="19">
        <f t="shared" si="38"/>
        <v>0</v>
      </c>
      <c r="K146" s="2"/>
      <c r="L146" s="2">
        <f t="shared" si="39"/>
        <v>0</v>
      </c>
      <c r="M146" s="2"/>
      <c r="N146" s="19">
        <f t="shared" si="40"/>
        <v>0</v>
      </c>
      <c r="O146" s="10"/>
      <c r="P146" s="2"/>
      <c r="Q146" s="2"/>
      <c r="R146" s="19">
        <f t="shared" si="41"/>
        <v>0</v>
      </c>
      <c r="S146" s="2"/>
      <c r="T146" s="2">
        <v>349.6</v>
      </c>
      <c r="U146" s="2"/>
      <c r="V146" s="19">
        <f t="shared" si="42"/>
        <v>3.0689915462152282E-5</v>
      </c>
      <c r="W146" s="2"/>
      <c r="X146" s="2">
        <f t="shared" si="43"/>
        <v>-349.6</v>
      </c>
      <c r="Y146" s="2"/>
      <c r="Z146" s="19">
        <f t="shared" si="44"/>
        <v>-1</v>
      </c>
    </row>
    <row r="147" spans="1:26" s="23" customFormat="1" hidden="1" outlineLevel="1" x14ac:dyDescent="0.25">
      <c r="A147" s="44"/>
      <c r="B147" s="10" t="str">
        <f>CONCATENATE("          ", "5083", " - ", "PURCHASES @ COST-COMPUTER EQUI")</f>
        <v xml:space="preserve">          5083 - PURCHASES @ COST-COMPUTER EQUI</v>
      </c>
      <c r="C147" s="10"/>
      <c r="D147" s="2"/>
      <c r="E147" s="2"/>
      <c r="F147" s="19">
        <f t="shared" si="37"/>
        <v>0</v>
      </c>
      <c r="G147" s="2"/>
      <c r="H147" s="2"/>
      <c r="I147" s="2"/>
      <c r="J147" s="19">
        <f t="shared" si="38"/>
        <v>0</v>
      </c>
      <c r="K147" s="2"/>
      <c r="L147" s="2">
        <f t="shared" si="39"/>
        <v>0</v>
      </c>
      <c r="M147" s="2"/>
      <c r="N147" s="19">
        <f t="shared" si="40"/>
        <v>0</v>
      </c>
      <c r="O147" s="10"/>
      <c r="P147" s="2"/>
      <c r="Q147" s="2"/>
      <c r="R147" s="19">
        <f t="shared" si="41"/>
        <v>0</v>
      </c>
      <c r="S147" s="2"/>
      <c r="T147" s="2">
        <v>395.06</v>
      </c>
      <c r="U147" s="2"/>
      <c r="V147" s="19">
        <f t="shared" si="42"/>
        <v>3.4680657901824606E-5</v>
      </c>
      <c r="W147" s="2"/>
      <c r="X147" s="2">
        <f t="shared" si="43"/>
        <v>-395.06</v>
      </c>
      <c r="Y147" s="2"/>
      <c r="Z147" s="19">
        <f t="shared" si="44"/>
        <v>-1</v>
      </c>
    </row>
    <row r="148" spans="1:26" s="23" customFormat="1" hidden="1" outlineLevel="1" x14ac:dyDescent="0.25">
      <c r="A148" s="44"/>
      <c r="B148" s="10" t="str">
        <f>CONCATENATE("          ", "5086", " - ", "PURCHASES @ COST-COMPUTER SUPP")</f>
        <v xml:space="preserve">          5086 - PURCHASES @ COST-COMPUTER SUPP</v>
      </c>
      <c r="C148" s="10"/>
      <c r="D148" s="2"/>
      <c r="E148" s="2"/>
      <c r="F148" s="19">
        <f t="shared" si="37"/>
        <v>0</v>
      </c>
      <c r="G148" s="2"/>
      <c r="H148" s="2"/>
      <c r="I148" s="2"/>
      <c r="J148" s="19">
        <f t="shared" si="38"/>
        <v>0</v>
      </c>
      <c r="K148" s="2"/>
      <c r="L148" s="2">
        <f t="shared" si="39"/>
        <v>0</v>
      </c>
      <c r="M148" s="2"/>
      <c r="N148" s="19">
        <f t="shared" si="40"/>
        <v>0</v>
      </c>
      <c r="O148" s="10"/>
      <c r="P148" s="2">
        <v>13.21</v>
      </c>
      <c r="Q148" s="2"/>
      <c r="R148" s="19">
        <f t="shared" si="41"/>
        <v>2.5344001752415892E-6</v>
      </c>
      <c r="S148" s="2"/>
      <c r="T148" s="2">
        <v>426.22</v>
      </c>
      <c r="U148" s="2"/>
      <c r="V148" s="19">
        <f t="shared" si="42"/>
        <v>3.7416063410407746E-5</v>
      </c>
      <c r="W148" s="2"/>
      <c r="X148" s="2">
        <f t="shared" si="43"/>
        <v>-413.01000000000005</v>
      </c>
      <c r="Y148" s="2"/>
      <c r="Z148" s="19">
        <f t="shared" si="44"/>
        <v>-0.96900661630144058</v>
      </c>
    </row>
    <row r="149" spans="1:26" s="23" customFormat="1" hidden="1" outlineLevel="1" x14ac:dyDescent="0.25">
      <c r="A149" s="44"/>
      <c r="B149" s="10" t="str">
        <f>CONCATENATE("          ", "5092", " - ", "PURCHASES @ COST-GRAD MERCH")</f>
        <v xml:space="preserve">          5092 - PURCHASES @ COST-GRAD MERCH</v>
      </c>
      <c r="C149" s="10"/>
      <c r="D149" s="2"/>
      <c r="E149" s="2"/>
      <c r="F149" s="19">
        <f t="shared" si="37"/>
        <v>0</v>
      </c>
      <c r="G149" s="2"/>
      <c r="H149" s="2">
        <v>-3999.6</v>
      </c>
      <c r="I149" s="2"/>
      <c r="J149" s="19">
        <f t="shared" si="38"/>
        <v>-1.5169617648338338E-2</v>
      </c>
      <c r="K149" s="2"/>
      <c r="L149" s="2">
        <f t="shared" si="39"/>
        <v>3999.6</v>
      </c>
      <c r="M149" s="2"/>
      <c r="N149" s="19">
        <f t="shared" si="40"/>
        <v>-1</v>
      </c>
      <c r="O149" s="10"/>
      <c r="P149" s="2">
        <v>0</v>
      </c>
      <c r="Q149" s="2"/>
      <c r="R149" s="19">
        <f t="shared" si="41"/>
        <v>0</v>
      </c>
      <c r="S149" s="2"/>
      <c r="T149" s="2">
        <v>4485.88</v>
      </c>
      <c r="U149" s="2"/>
      <c r="V149" s="19">
        <f t="shared" si="42"/>
        <v>3.9379656170869477E-4</v>
      </c>
      <c r="W149" s="2"/>
      <c r="X149" s="2">
        <f t="shared" si="43"/>
        <v>-4485.88</v>
      </c>
      <c r="Y149" s="2"/>
      <c r="Z149" s="19">
        <f t="shared" si="44"/>
        <v>-1</v>
      </c>
    </row>
    <row r="150" spans="1:26" s="23" customFormat="1" hidden="1" outlineLevel="1" x14ac:dyDescent="0.25">
      <c r="A150" s="44"/>
      <c r="B150" s="10" t="str">
        <f>CONCATENATE("          ", "5095", " - ", "PURCHASES @ COST-CUSTOMER SERV")</f>
        <v xml:space="preserve">          5095 - PURCHASES @ COST-CUSTOMER SERV</v>
      </c>
      <c r="C150" s="10"/>
      <c r="D150" s="2"/>
      <c r="E150" s="2"/>
      <c r="F150" s="19">
        <f t="shared" si="37"/>
        <v>0</v>
      </c>
      <c r="G150" s="2"/>
      <c r="H150" s="2"/>
      <c r="I150" s="2"/>
      <c r="J150" s="19">
        <f t="shared" si="38"/>
        <v>0</v>
      </c>
      <c r="K150" s="2"/>
      <c r="L150" s="2">
        <f t="shared" si="39"/>
        <v>0</v>
      </c>
      <c r="M150" s="2"/>
      <c r="N150" s="19">
        <f t="shared" si="40"/>
        <v>0</v>
      </c>
      <c r="O150" s="10"/>
      <c r="P150" s="2"/>
      <c r="Q150" s="2"/>
      <c r="R150" s="19">
        <f t="shared" si="41"/>
        <v>0</v>
      </c>
      <c r="S150" s="2"/>
      <c r="T150" s="2">
        <v>0</v>
      </c>
      <c r="U150" s="2"/>
      <c r="V150" s="19">
        <f t="shared" si="42"/>
        <v>0</v>
      </c>
      <c r="W150" s="2"/>
      <c r="X150" s="2">
        <f t="shared" si="43"/>
        <v>0</v>
      </c>
      <c r="Y150" s="2"/>
      <c r="Z150" s="19">
        <f t="shared" si="44"/>
        <v>0</v>
      </c>
    </row>
    <row r="151" spans="1:26" s="23" customFormat="1" hidden="1" outlineLevel="1" x14ac:dyDescent="0.25">
      <c r="A151" s="44"/>
      <c r="B151" s="10" t="str">
        <f>CONCATENATE("          ", "5200", " - ", "PURCHASES OFFSET")</f>
        <v xml:space="preserve">          5200 - PURCHASES OFFSET</v>
      </c>
      <c r="C151" s="10"/>
      <c r="D151" s="2">
        <v>-162582.03</v>
      </c>
      <c r="E151" s="2"/>
      <c r="F151" s="19">
        <f t="shared" si="37"/>
        <v>-0.32082247214761728</v>
      </c>
      <c r="G151" s="2"/>
      <c r="H151" s="2">
        <v>-55155</v>
      </c>
      <c r="I151" s="2"/>
      <c r="J151" s="19">
        <f t="shared" si="38"/>
        <v>-0.20919098444696996</v>
      </c>
      <c r="K151" s="2"/>
      <c r="L151" s="2">
        <f t="shared" si="39"/>
        <v>-107427.03</v>
      </c>
      <c r="M151" s="2"/>
      <c r="N151" s="19">
        <f t="shared" si="40"/>
        <v>1.9477296709273864</v>
      </c>
      <c r="O151" s="10"/>
      <c r="P151" s="2">
        <v>-1847967.16</v>
      </c>
      <c r="Q151" s="2"/>
      <c r="R151" s="19">
        <f t="shared" si="41"/>
        <v>-0.35454112749013639</v>
      </c>
      <c r="S151" s="2"/>
      <c r="T151" s="2">
        <v>-3473326</v>
      </c>
      <c r="U151" s="2"/>
      <c r="V151" s="19">
        <f t="shared" si="42"/>
        <v>-0.30490869940645177</v>
      </c>
      <c r="W151" s="2"/>
      <c r="X151" s="2">
        <f t="shared" si="43"/>
        <v>1625358.84</v>
      </c>
      <c r="Y151" s="2"/>
      <c r="Z151" s="19">
        <f t="shared" si="44"/>
        <v>-0.46795458877168455</v>
      </c>
    </row>
    <row r="152" spans="1:26" s="23" customFormat="1" hidden="1" outlineLevel="1" x14ac:dyDescent="0.25">
      <c r="A152" s="44"/>
      <c r="B152" s="10" t="str">
        <f>CONCATENATE("          ", "5300", " - ", "COG$ OFFSET")</f>
        <v xml:space="preserve">          5300 - COG$ OFFSET</v>
      </c>
      <c r="C152" s="10"/>
      <c r="D152" s="2">
        <v>241236</v>
      </c>
      <c r="E152" s="2"/>
      <c r="F152" s="19">
        <f t="shared" si="37"/>
        <v>0.47603003782768977</v>
      </c>
      <c r="G152" s="2"/>
      <c r="H152" s="2">
        <v>148333</v>
      </c>
      <c r="I152" s="2"/>
      <c r="J152" s="19">
        <f t="shared" si="38"/>
        <v>0.56259498315605827</v>
      </c>
      <c r="K152" s="2"/>
      <c r="L152" s="2">
        <f t="shared" si="39"/>
        <v>92903</v>
      </c>
      <c r="M152" s="2"/>
      <c r="N152" s="19">
        <f t="shared" si="40"/>
        <v>0.62631376699722918</v>
      </c>
      <c r="O152" s="10"/>
      <c r="P152" s="2">
        <v>2641632</v>
      </c>
      <c r="Q152" s="2"/>
      <c r="R152" s="19">
        <f t="shared" si="41"/>
        <v>0.5068094325301884</v>
      </c>
      <c r="S152" s="2"/>
      <c r="T152" s="2">
        <v>4035934.47</v>
      </c>
      <c r="U152" s="2"/>
      <c r="V152" s="19">
        <f t="shared" si="42"/>
        <v>0.35429773368159723</v>
      </c>
      <c r="W152" s="2"/>
      <c r="X152" s="2">
        <f t="shared" si="43"/>
        <v>-1394302.4700000002</v>
      </c>
      <c r="Y152" s="2"/>
      <c r="Z152" s="19">
        <f t="shared" si="44"/>
        <v>-0.34547202893509815</v>
      </c>
    </row>
    <row r="153" spans="1:26" s="23" customFormat="1" hidden="1" outlineLevel="1" x14ac:dyDescent="0.25">
      <c r="A153" s="44"/>
      <c r="B153" s="10" t="str">
        <f>CONCATENATE("          ", "5500", " - ", "FREIGHT-IN")</f>
        <v xml:space="preserve">          5500 - FREIGHT-IN</v>
      </c>
      <c r="C153" s="10"/>
      <c r="D153" s="2">
        <v>0</v>
      </c>
      <c r="E153" s="2"/>
      <c r="F153" s="19">
        <f t="shared" si="37"/>
        <v>0</v>
      </c>
      <c r="G153" s="2"/>
      <c r="H153" s="2"/>
      <c r="I153" s="2"/>
      <c r="J153" s="19">
        <f t="shared" si="38"/>
        <v>0</v>
      </c>
      <c r="K153" s="2"/>
      <c r="L153" s="2">
        <f t="shared" si="39"/>
        <v>0</v>
      </c>
      <c r="M153" s="2"/>
      <c r="N153" s="19">
        <f t="shared" si="40"/>
        <v>0</v>
      </c>
      <c r="O153" s="10"/>
      <c r="P153" s="2">
        <v>0</v>
      </c>
      <c r="Q153" s="2"/>
      <c r="R153" s="19">
        <f t="shared" si="41"/>
        <v>0</v>
      </c>
      <c r="S153" s="2"/>
      <c r="T153" s="2">
        <v>156.47999999999999</v>
      </c>
      <c r="U153" s="2"/>
      <c r="V153" s="19">
        <f t="shared" si="42"/>
        <v>1.3736721886491959E-5</v>
      </c>
      <c r="W153" s="2"/>
      <c r="X153" s="2">
        <f t="shared" si="43"/>
        <v>-156.47999999999999</v>
      </c>
      <c r="Y153" s="2"/>
      <c r="Z153" s="19">
        <f t="shared" si="44"/>
        <v>-1</v>
      </c>
    </row>
    <row r="154" spans="1:26" s="23" customFormat="1" hidden="1" outlineLevel="1" x14ac:dyDescent="0.25">
      <c r="A154" s="44"/>
      <c r="B154" s="10" t="str">
        <f>CONCATENATE("          ", "5501", " - ", "FREIGHT-IN-NEW TEXT")</f>
        <v xml:space="preserve">          5501 - FREIGHT-IN-NEW TEXT</v>
      </c>
      <c r="C154" s="10"/>
      <c r="D154" s="2">
        <v>1522.41</v>
      </c>
      <c r="E154" s="2"/>
      <c r="F154" s="19">
        <f t="shared" si="37"/>
        <v>3.0041655884248341E-3</v>
      </c>
      <c r="G154" s="2"/>
      <c r="H154" s="2">
        <v>-21.22</v>
      </c>
      <c r="I154" s="2"/>
      <c r="J154" s="19">
        <f t="shared" si="38"/>
        <v>-8.0482869911426022E-5</v>
      </c>
      <c r="K154" s="2"/>
      <c r="L154" s="2">
        <f t="shared" si="39"/>
        <v>1543.63</v>
      </c>
      <c r="M154" s="2"/>
      <c r="N154" s="19">
        <f t="shared" si="40"/>
        <v>-72.744109330819995</v>
      </c>
      <c r="O154" s="10"/>
      <c r="P154" s="2">
        <v>51836.14</v>
      </c>
      <c r="Q154" s="2"/>
      <c r="R154" s="19">
        <f t="shared" si="41"/>
        <v>9.9450054731148787E-3</v>
      </c>
      <c r="S154" s="2"/>
      <c r="T154" s="2">
        <v>69747.73</v>
      </c>
      <c r="U154" s="2"/>
      <c r="V154" s="19">
        <f t="shared" si="42"/>
        <v>6.1228602327718035E-3</v>
      </c>
      <c r="W154" s="2"/>
      <c r="X154" s="2">
        <f t="shared" si="43"/>
        <v>-17911.589999999997</v>
      </c>
      <c r="Y154" s="2"/>
      <c r="Z154" s="19">
        <f t="shared" si="44"/>
        <v>-0.25680534692670282</v>
      </c>
    </row>
    <row r="155" spans="1:26" s="23" customFormat="1" hidden="1" outlineLevel="1" x14ac:dyDescent="0.25">
      <c r="A155" s="44"/>
      <c r="B155" s="10" t="str">
        <f>CONCATENATE("          ", "5502", " - ", "FREIGHT-IN-USED TEXT")</f>
        <v xml:space="preserve">          5502 - FREIGHT-IN-USED TEXT</v>
      </c>
      <c r="C155" s="10"/>
      <c r="D155" s="2">
        <v>133.97</v>
      </c>
      <c r="E155" s="2"/>
      <c r="F155" s="19">
        <f t="shared" si="37"/>
        <v>2.6436246732567114E-4</v>
      </c>
      <c r="G155" s="2"/>
      <c r="H155" s="2">
        <v>379.42</v>
      </c>
      <c r="I155" s="2"/>
      <c r="J155" s="19">
        <f t="shared" si="38"/>
        <v>1.4390579878319164E-3</v>
      </c>
      <c r="K155" s="2"/>
      <c r="L155" s="2">
        <f t="shared" si="39"/>
        <v>-245.45000000000002</v>
      </c>
      <c r="M155" s="2"/>
      <c r="N155" s="19">
        <f t="shared" si="40"/>
        <v>-0.64690843919666863</v>
      </c>
      <c r="O155" s="10"/>
      <c r="P155" s="2">
        <v>17992.87</v>
      </c>
      <c r="Q155" s="2"/>
      <c r="R155" s="19">
        <f t="shared" si="41"/>
        <v>3.4520161151475495E-3</v>
      </c>
      <c r="S155" s="2"/>
      <c r="T155" s="2">
        <v>15680.76</v>
      </c>
      <c r="U155" s="2"/>
      <c r="V155" s="19">
        <f t="shared" si="42"/>
        <v>1.3765480514367821E-3</v>
      </c>
      <c r="W155" s="2"/>
      <c r="X155" s="2">
        <f t="shared" si="43"/>
        <v>2312.1099999999988</v>
      </c>
      <c r="Y155" s="2"/>
      <c r="Z155" s="19">
        <f t="shared" si="44"/>
        <v>0.14744884814256443</v>
      </c>
    </row>
    <row r="156" spans="1:26" s="23" customFormat="1" hidden="1" outlineLevel="1" x14ac:dyDescent="0.25">
      <c r="A156" s="44"/>
      <c r="B156" s="10" t="str">
        <f>CONCATENATE("          ", "5504", " - ", "FREIGHT-IN-DIGITAL TEXT")</f>
        <v xml:space="preserve">          5504 - FREIGHT-IN-DIGITAL TEXT</v>
      </c>
      <c r="C156" s="10"/>
      <c r="D156" s="2"/>
      <c r="E156" s="2"/>
      <c r="F156" s="19">
        <f t="shared" si="37"/>
        <v>0</v>
      </c>
      <c r="G156" s="2"/>
      <c r="H156" s="2"/>
      <c r="I156" s="2"/>
      <c r="J156" s="19">
        <f t="shared" si="38"/>
        <v>0</v>
      </c>
      <c r="K156" s="2"/>
      <c r="L156" s="2">
        <f t="shared" si="39"/>
        <v>0</v>
      </c>
      <c r="M156" s="2"/>
      <c r="N156" s="19">
        <f t="shared" si="40"/>
        <v>0</v>
      </c>
      <c r="O156" s="10"/>
      <c r="P156" s="2">
        <v>28.92</v>
      </c>
      <c r="Q156" s="2"/>
      <c r="R156" s="19">
        <f t="shared" si="41"/>
        <v>5.5484370225576653E-6</v>
      </c>
      <c r="S156" s="2"/>
      <c r="T156" s="2">
        <v>118.75</v>
      </c>
      <c r="U156" s="2"/>
      <c r="V156" s="19">
        <f t="shared" si="42"/>
        <v>1.0424563676002813E-5</v>
      </c>
      <c r="W156" s="2"/>
      <c r="X156" s="2">
        <f t="shared" si="43"/>
        <v>-89.83</v>
      </c>
      <c r="Y156" s="2"/>
      <c r="Z156" s="19">
        <f t="shared" si="44"/>
        <v>-0.75646315789473684</v>
      </c>
    </row>
    <row r="157" spans="1:26" s="23" customFormat="1" hidden="1" outlineLevel="1" x14ac:dyDescent="0.25">
      <c r="A157" s="44"/>
      <c r="B157" s="10" t="str">
        <f>CONCATENATE("          ", "5513", " - ", "FREIGHT-IN-TRADE BOOKS")</f>
        <v xml:space="preserve">          5513 - FREIGHT-IN-TRADE BOOKS</v>
      </c>
      <c r="C157" s="10"/>
      <c r="D157" s="2"/>
      <c r="E157" s="2"/>
      <c r="F157" s="19">
        <f t="shared" si="37"/>
        <v>0</v>
      </c>
      <c r="G157" s="2"/>
      <c r="H157" s="2"/>
      <c r="I157" s="2"/>
      <c r="J157" s="19">
        <f t="shared" si="38"/>
        <v>0</v>
      </c>
      <c r="K157" s="2"/>
      <c r="L157" s="2">
        <f t="shared" si="39"/>
        <v>0</v>
      </c>
      <c r="M157" s="2"/>
      <c r="N157" s="19">
        <f t="shared" si="40"/>
        <v>0</v>
      </c>
      <c r="O157" s="10"/>
      <c r="P157" s="2">
        <v>85.28</v>
      </c>
      <c r="Q157" s="2"/>
      <c r="R157" s="19">
        <f t="shared" si="41"/>
        <v>1.63613661578049E-5</v>
      </c>
      <c r="S157" s="2"/>
      <c r="T157" s="2">
        <v>30.24</v>
      </c>
      <c r="U157" s="2"/>
      <c r="V157" s="19">
        <f t="shared" si="42"/>
        <v>2.6546425731564217E-6</v>
      </c>
      <c r="W157" s="2"/>
      <c r="X157" s="2">
        <f t="shared" si="43"/>
        <v>55.040000000000006</v>
      </c>
      <c r="Y157" s="2"/>
      <c r="Z157" s="19">
        <f t="shared" si="44"/>
        <v>1.8201058201058204</v>
      </c>
    </row>
    <row r="158" spans="1:26" s="23" customFormat="1" hidden="1" outlineLevel="1" x14ac:dyDescent="0.25">
      <c r="A158" s="44"/>
      <c r="B158" s="10" t="str">
        <f>CONCATENATE("          ", "5518", " - ", "FREIGHT-IN-STUDY GUIDES")</f>
        <v xml:space="preserve">          5518 - FREIGHT-IN-STUDY GUIDES</v>
      </c>
      <c r="C158" s="10"/>
      <c r="D158" s="2"/>
      <c r="E158" s="2"/>
      <c r="F158" s="19">
        <f t="shared" si="37"/>
        <v>0</v>
      </c>
      <c r="G158" s="2"/>
      <c r="H158" s="2"/>
      <c r="I158" s="2"/>
      <c r="J158" s="19">
        <f t="shared" si="38"/>
        <v>0</v>
      </c>
      <c r="K158" s="2"/>
      <c r="L158" s="2">
        <f t="shared" si="39"/>
        <v>0</v>
      </c>
      <c r="M158" s="2"/>
      <c r="N158" s="19">
        <f t="shared" si="40"/>
        <v>0</v>
      </c>
      <c r="O158" s="10"/>
      <c r="P158" s="2"/>
      <c r="Q158" s="2"/>
      <c r="R158" s="19">
        <f t="shared" si="41"/>
        <v>0</v>
      </c>
      <c r="S158" s="2"/>
      <c r="T158" s="2">
        <v>21.13</v>
      </c>
      <c r="U158" s="2"/>
      <c r="V158" s="19">
        <f t="shared" si="42"/>
        <v>1.8549139408331742E-6</v>
      </c>
      <c r="W158" s="2"/>
      <c r="X158" s="2">
        <f t="shared" si="43"/>
        <v>-21.13</v>
      </c>
      <c r="Y158" s="2"/>
      <c r="Z158" s="19">
        <f t="shared" si="44"/>
        <v>-1</v>
      </c>
    </row>
    <row r="159" spans="1:26" s="23" customFormat="1" hidden="1" outlineLevel="1" x14ac:dyDescent="0.25">
      <c r="A159" s="44"/>
      <c r="B159" s="10" t="str">
        <f>CONCATENATE("          ", "5525", " - ", "FREIGHT-IN-TEST FORMS")</f>
        <v xml:space="preserve">          5525 - FREIGHT-IN-TEST FORMS</v>
      </c>
      <c r="C159" s="10"/>
      <c r="D159" s="2"/>
      <c r="E159" s="2"/>
      <c r="F159" s="19">
        <f t="shared" si="37"/>
        <v>0</v>
      </c>
      <c r="G159" s="2"/>
      <c r="H159" s="2">
        <v>377.1</v>
      </c>
      <c r="I159" s="2"/>
      <c r="J159" s="19">
        <f t="shared" si="38"/>
        <v>1.430258729670064E-3</v>
      </c>
      <c r="K159" s="2"/>
      <c r="L159" s="2">
        <f t="shared" si="39"/>
        <v>-377.1</v>
      </c>
      <c r="M159" s="2"/>
      <c r="N159" s="19">
        <f t="shared" si="40"/>
        <v>-1</v>
      </c>
      <c r="O159" s="10"/>
      <c r="P159" s="2">
        <v>48.14</v>
      </c>
      <c r="Q159" s="2"/>
      <c r="R159" s="19">
        <f t="shared" si="41"/>
        <v>9.2358837574663207E-6</v>
      </c>
      <c r="S159" s="2"/>
      <c r="T159" s="2">
        <v>1614.32</v>
      </c>
      <c r="U159" s="2"/>
      <c r="V159" s="19">
        <f t="shared" si="42"/>
        <v>1.41714371650062E-4</v>
      </c>
      <c r="W159" s="2"/>
      <c r="X159" s="2">
        <f t="shared" si="43"/>
        <v>-1566.1799999999998</v>
      </c>
      <c r="Y159" s="2"/>
      <c r="Z159" s="19">
        <f t="shared" si="44"/>
        <v>-0.9701793944199415</v>
      </c>
    </row>
    <row r="160" spans="1:26" s="23" customFormat="1" hidden="1" outlineLevel="1" x14ac:dyDescent="0.25">
      <c r="A160" s="44"/>
      <c r="B160" s="10" t="str">
        <f>CONCATENATE("          ", "5526", " - ", "FREIGHT-IN-WRITING INSTRUMENTS")</f>
        <v xml:space="preserve">          5526 - FREIGHT-IN-WRITING INSTRUMENTS</v>
      </c>
      <c r="C160" s="10"/>
      <c r="D160" s="2"/>
      <c r="E160" s="2"/>
      <c r="F160" s="19">
        <f t="shared" si="37"/>
        <v>0</v>
      </c>
      <c r="G160" s="2"/>
      <c r="H160" s="2">
        <v>14.15</v>
      </c>
      <c r="I160" s="2"/>
      <c r="J160" s="19">
        <f t="shared" si="38"/>
        <v>5.3667889219918869E-5</v>
      </c>
      <c r="K160" s="2"/>
      <c r="L160" s="2">
        <f t="shared" si="39"/>
        <v>-14.15</v>
      </c>
      <c r="M160" s="2"/>
      <c r="N160" s="19">
        <f t="shared" si="40"/>
        <v>-1</v>
      </c>
      <c r="O160" s="10"/>
      <c r="P160" s="2">
        <v>0</v>
      </c>
      <c r="Q160" s="2"/>
      <c r="R160" s="19">
        <f t="shared" si="41"/>
        <v>0</v>
      </c>
      <c r="S160" s="2"/>
      <c r="T160" s="2">
        <v>274.5</v>
      </c>
      <c r="U160" s="2"/>
      <c r="V160" s="19">
        <f t="shared" si="42"/>
        <v>2.4097201928949663E-5</v>
      </c>
      <c r="W160" s="2"/>
      <c r="X160" s="2">
        <f t="shared" si="43"/>
        <v>-274.5</v>
      </c>
      <c r="Y160" s="2"/>
      <c r="Z160" s="19">
        <f t="shared" si="44"/>
        <v>-1</v>
      </c>
    </row>
    <row r="161" spans="1:26" s="23" customFormat="1" hidden="1" outlineLevel="1" x14ac:dyDescent="0.25">
      <c r="A161" s="44"/>
      <c r="B161" s="10" t="str">
        <f>CONCATENATE("          ", "5527", " - ", "FREIGHT-IN-SCHOOL SUPPLIES")</f>
        <v xml:space="preserve">          5527 - FREIGHT-IN-SCHOOL SUPPLIES</v>
      </c>
      <c r="C161" s="10"/>
      <c r="D161" s="2"/>
      <c r="E161" s="2"/>
      <c r="F161" s="19">
        <f t="shared" si="37"/>
        <v>0</v>
      </c>
      <c r="G161" s="2"/>
      <c r="H161" s="2">
        <v>-250.91</v>
      </c>
      <c r="I161" s="2"/>
      <c r="J161" s="19">
        <f t="shared" si="38"/>
        <v>-9.5164735577172026E-4</v>
      </c>
      <c r="K161" s="2"/>
      <c r="L161" s="2">
        <f t="shared" si="39"/>
        <v>250.91</v>
      </c>
      <c r="M161" s="2"/>
      <c r="N161" s="19">
        <f t="shared" si="40"/>
        <v>-1</v>
      </c>
      <c r="O161" s="10"/>
      <c r="P161" s="2">
        <v>218.62</v>
      </c>
      <c r="Q161" s="2"/>
      <c r="R161" s="19">
        <f t="shared" si="41"/>
        <v>4.1943267699569734E-5</v>
      </c>
      <c r="S161" s="2"/>
      <c r="T161" s="2">
        <v>1808</v>
      </c>
      <c r="U161" s="2"/>
      <c r="V161" s="19">
        <f t="shared" si="42"/>
        <v>1.5871672527337336E-4</v>
      </c>
      <c r="W161" s="2"/>
      <c r="X161" s="2">
        <f t="shared" si="43"/>
        <v>-1589.38</v>
      </c>
      <c r="Y161" s="2"/>
      <c r="Z161" s="19">
        <f t="shared" si="44"/>
        <v>-0.87908185840707975</v>
      </c>
    </row>
    <row r="162" spans="1:26" s="23" customFormat="1" hidden="1" outlineLevel="1" x14ac:dyDescent="0.25">
      <c r="A162" s="44"/>
      <c r="B162" s="10" t="str">
        <f>CONCATENATE("          ", "5528", " - ", "FREIGHT-IN-ART/TECH")</f>
        <v xml:space="preserve">          5528 - FREIGHT-IN-ART/TECH</v>
      </c>
      <c r="C162" s="10"/>
      <c r="D162" s="2">
        <v>28.53</v>
      </c>
      <c r="E162" s="2"/>
      <c r="F162" s="19">
        <f t="shared" si="37"/>
        <v>5.6298135349715589E-5</v>
      </c>
      <c r="G162" s="2"/>
      <c r="H162" s="2">
        <v>-19.75</v>
      </c>
      <c r="I162" s="2"/>
      <c r="J162" s="19">
        <f t="shared" si="38"/>
        <v>-7.4907477886459198E-5</v>
      </c>
      <c r="K162" s="2"/>
      <c r="L162" s="2">
        <f t="shared" si="39"/>
        <v>48.28</v>
      </c>
      <c r="M162" s="2"/>
      <c r="N162" s="19">
        <f t="shared" si="40"/>
        <v>-2.4445569620253167</v>
      </c>
      <c r="O162" s="10"/>
      <c r="P162" s="2">
        <v>572.96</v>
      </c>
      <c r="Q162" s="2"/>
      <c r="R162" s="19">
        <f t="shared" si="41"/>
        <v>1.0992505105271922E-4</v>
      </c>
      <c r="S162" s="2"/>
      <c r="T162" s="2">
        <v>2824.37</v>
      </c>
      <c r="U162" s="2"/>
      <c r="V162" s="19">
        <f t="shared" si="42"/>
        <v>2.4793957818603846E-4</v>
      </c>
      <c r="W162" s="2"/>
      <c r="X162" s="2">
        <f t="shared" si="43"/>
        <v>-2251.41</v>
      </c>
      <c r="Y162" s="2"/>
      <c r="Z162" s="19">
        <f t="shared" si="44"/>
        <v>-0.7971370606542344</v>
      </c>
    </row>
    <row r="163" spans="1:26" s="23" customFormat="1" hidden="1" outlineLevel="1" x14ac:dyDescent="0.25">
      <c r="A163" s="44"/>
      <c r="B163" s="10" t="str">
        <f>CONCATENATE("          ", "5540", " - ", "FREIGHT-IN-LOGO CLOTHING")</f>
        <v xml:space="preserve">          5540 - FREIGHT-IN-LOGO CLOTHING</v>
      </c>
      <c r="C163" s="10"/>
      <c r="D163" s="2">
        <v>1283.68</v>
      </c>
      <c r="E163" s="2"/>
      <c r="F163" s="19">
        <f t="shared" si="37"/>
        <v>2.5330806304144026E-3</v>
      </c>
      <c r="G163" s="2"/>
      <c r="H163" s="2">
        <v>815.7</v>
      </c>
      <c r="I163" s="2"/>
      <c r="J163" s="19">
        <f t="shared" si="38"/>
        <v>3.0937736563030264E-3</v>
      </c>
      <c r="K163" s="2"/>
      <c r="L163" s="2">
        <f t="shared" si="39"/>
        <v>467.98</v>
      </c>
      <c r="M163" s="2"/>
      <c r="N163" s="19">
        <f t="shared" si="40"/>
        <v>0.57371582689714351</v>
      </c>
      <c r="O163" s="10"/>
      <c r="P163" s="2">
        <v>10499.7</v>
      </c>
      <c r="Q163" s="2"/>
      <c r="R163" s="19">
        <f t="shared" si="41"/>
        <v>2.0144164663121965E-3</v>
      </c>
      <c r="S163" s="2"/>
      <c r="T163" s="2">
        <v>32519</v>
      </c>
      <c r="U163" s="2"/>
      <c r="V163" s="19">
        <f t="shared" si="42"/>
        <v>2.8547064099362991E-3</v>
      </c>
      <c r="W163" s="2"/>
      <c r="X163" s="2">
        <f t="shared" si="43"/>
        <v>-22019.3</v>
      </c>
      <c r="Y163" s="2"/>
      <c r="Z163" s="19">
        <f t="shared" si="44"/>
        <v>-0.6771210676835081</v>
      </c>
    </row>
    <row r="164" spans="1:26" s="23" customFormat="1" hidden="1" outlineLevel="1" x14ac:dyDescent="0.25">
      <c r="A164" s="44"/>
      <c r="B164" s="10" t="str">
        <f>CONCATENATE("          ", "5541", " - ", "FREIGHT-IN-LOGO GIFTS")</f>
        <v xml:space="preserve">          5541 - FREIGHT-IN-LOGO GIFTS</v>
      </c>
      <c r="C164" s="10"/>
      <c r="D164" s="2">
        <v>961.21</v>
      </c>
      <c r="E164" s="2"/>
      <c r="F164" s="19">
        <f t="shared" si="37"/>
        <v>1.896751863985283E-3</v>
      </c>
      <c r="G164" s="2"/>
      <c r="H164" s="2">
        <v>343.16</v>
      </c>
      <c r="I164" s="2"/>
      <c r="J164" s="19">
        <f t="shared" si="38"/>
        <v>1.3015316512160677E-3</v>
      </c>
      <c r="K164" s="2"/>
      <c r="L164" s="2">
        <f t="shared" si="39"/>
        <v>618.04999999999995</v>
      </c>
      <c r="M164" s="2"/>
      <c r="N164" s="19">
        <f t="shared" si="40"/>
        <v>1.8010549015036714</v>
      </c>
      <c r="O164" s="10"/>
      <c r="P164" s="2">
        <v>5977.2</v>
      </c>
      <c r="Q164" s="2"/>
      <c r="R164" s="19">
        <f t="shared" si="41"/>
        <v>1.1467537265294494E-3</v>
      </c>
      <c r="S164" s="2"/>
      <c r="T164" s="2">
        <v>5226.1000000000004</v>
      </c>
      <c r="U164" s="2"/>
      <c r="V164" s="19">
        <f t="shared" si="42"/>
        <v>4.5877736612343837E-4</v>
      </c>
      <c r="W164" s="2"/>
      <c r="X164" s="2">
        <f t="shared" si="43"/>
        <v>751.09999999999945</v>
      </c>
      <c r="Y164" s="2"/>
      <c r="Z164" s="19">
        <f t="shared" si="44"/>
        <v>0.14372093913243134</v>
      </c>
    </row>
    <row r="165" spans="1:26" s="23" customFormat="1" hidden="1" outlineLevel="1" x14ac:dyDescent="0.25">
      <c r="A165" s="44"/>
      <c r="B165" s="10" t="str">
        <f>CONCATENATE("          ", "5542", " - ", "FREIGHT-IN-EVERYDAY GIFTS")</f>
        <v xml:space="preserve">          5542 - FREIGHT-IN-EVERYDAY GIFTS</v>
      </c>
      <c r="C165" s="10"/>
      <c r="D165" s="2"/>
      <c r="E165" s="2"/>
      <c r="F165" s="19">
        <f t="shared" si="37"/>
        <v>0</v>
      </c>
      <c r="G165" s="2"/>
      <c r="H165" s="2">
        <v>384.47</v>
      </c>
      <c r="I165" s="2"/>
      <c r="J165" s="19">
        <f t="shared" si="38"/>
        <v>1.4582115454687072E-3</v>
      </c>
      <c r="K165" s="2"/>
      <c r="L165" s="2">
        <f t="shared" si="39"/>
        <v>-384.47</v>
      </c>
      <c r="M165" s="2"/>
      <c r="N165" s="19">
        <f t="shared" si="40"/>
        <v>-1</v>
      </c>
      <c r="O165" s="10"/>
      <c r="P165" s="2">
        <v>681.72</v>
      </c>
      <c r="Q165" s="2"/>
      <c r="R165" s="19">
        <f t="shared" si="41"/>
        <v>1.307911648346477E-4</v>
      </c>
      <c r="S165" s="2"/>
      <c r="T165" s="2">
        <v>2223.5100000000002</v>
      </c>
      <c r="U165" s="2"/>
      <c r="V165" s="19">
        <f t="shared" si="42"/>
        <v>1.951926027724549E-4</v>
      </c>
      <c r="W165" s="2"/>
      <c r="X165" s="2">
        <f t="shared" si="43"/>
        <v>-1541.7900000000002</v>
      </c>
      <c r="Y165" s="2"/>
      <c r="Z165" s="19">
        <f t="shared" si="44"/>
        <v>-0.69340367257174473</v>
      </c>
    </row>
    <row r="166" spans="1:26" s="23" customFormat="1" hidden="1" outlineLevel="1" x14ac:dyDescent="0.25">
      <c r="A166" s="44"/>
      <c r="B166" s="10" t="str">
        <f>CONCATENATE("          ", "5543", " - ", "FREIGHT-IN-CARDS")</f>
        <v xml:space="preserve">          5543 - FREIGHT-IN-CARDS</v>
      </c>
      <c r="C166" s="10"/>
      <c r="D166" s="2"/>
      <c r="E166" s="2"/>
      <c r="F166" s="19">
        <f t="shared" si="37"/>
        <v>0</v>
      </c>
      <c r="G166" s="2"/>
      <c r="H166" s="2"/>
      <c r="I166" s="2"/>
      <c r="J166" s="19">
        <f t="shared" si="38"/>
        <v>0</v>
      </c>
      <c r="K166" s="2"/>
      <c r="L166" s="2">
        <f t="shared" si="39"/>
        <v>0</v>
      </c>
      <c r="M166" s="2"/>
      <c r="N166" s="19">
        <f t="shared" si="40"/>
        <v>0</v>
      </c>
      <c r="O166" s="10"/>
      <c r="P166" s="2">
        <v>9110.5300000000007</v>
      </c>
      <c r="Q166" s="2"/>
      <c r="R166" s="19">
        <f t="shared" si="41"/>
        <v>1.7478977160139103E-3</v>
      </c>
      <c r="S166" s="2"/>
      <c r="T166" s="2">
        <v>2926.76</v>
      </c>
      <c r="U166" s="2"/>
      <c r="V166" s="19">
        <f t="shared" si="42"/>
        <v>2.5692796618423576E-4</v>
      </c>
      <c r="W166" s="2"/>
      <c r="X166" s="2">
        <f t="shared" si="43"/>
        <v>6183.77</v>
      </c>
      <c r="Y166" s="2"/>
      <c r="Z166" s="19">
        <f t="shared" si="44"/>
        <v>2.112838087168063</v>
      </c>
    </row>
    <row r="167" spans="1:26" s="23" customFormat="1" hidden="1" outlineLevel="1" x14ac:dyDescent="0.25">
      <c r="A167" s="44"/>
      <c r="B167" s="10" t="str">
        <f>CONCATENATE("          ", "5544", " - ", "FREIGHT-IN-ACCESSORIES")</f>
        <v xml:space="preserve">          5544 - FREIGHT-IN-ACCESSORIES</v>
      </c>
      <c r="C167" s="10"/>
      <c r="D167" s="2"/>
      <c r="E167" s="2"/>
      <c r="F167" s="19">
        <f t="shared" si="37"/>
        <v>0</v>
      </c>
      <c r="G167" s="2"/>
      <c r="H167" s="2"/>
      <c r="I167" s="2"/>
      <c r="J167" s="19">
        <f t="shared" si="38"/>
        <v>0</v>
      </c>
      <c r="K167" s="2"/>
      <c r="L167" s="2">
        <f t="shared" si="39"/>
        <v>0</v>
      </c>
      <c r="M167" s="2"/>
      <c r="N167" s="19">
        <f t="shared" si="40"/>
        <v>0</v>
      </c>
      <c r="O167" s="10"/>
      <c r="P167" s="2"/>
      <c r="Q167" s="2"/>
      <c r="R167" s="19">
        <f t="shared" si="41"/>
        <v>0</v>
      </c>
      <c r="S167" s="2"/>
      <c r="T167" s="2">
        <v>483.44</v>
      </c>
      <c r="U167" s="2"/>
      <c r="V167" s="19">
        <f t="shared" si="42"/>
        <v>4.2439166850752003E-5</v>
      </c>
      <c r="W167" s="2"/>
      <c r="X167" s="2">
        <f t="shared" si="43"/>
        <v>-483.44</v>
      </c>
      <c r="Y167" s="2"/>
      <c r="Z167" s="19">
        <f t="shared" si="44"/>
        <v>-1</v>
      </c>
    </row>
    <row r="168" spans="1:26" s="23" customFormat="1" hidden="1" outlineLevel="1" x14ac:dyDescent="0.25">
      <c r="A168" s="44"/>
      <c r="B168" s="10" t="str">
        <f>CONCATENATE("          ", "5545", " - ", "FREIGHT-IN-SPECIAL ORDERS")</f>
        <v xml:space="preserve">          5545 - FREIGHT-IN-SPECIAL ORDERS</v>
      </c>
      <c r="C168" s="10"/>
      <c r="D168" s="2">
        <v>1033.9000000000001</v>
      </c>
      <c r="E168" s="2"/>
      <c r="F168" s="19">
        <f t="shared" si="37"/>
        <v>2.0401907514220451E-3</v>
      </c>
      <c r="G168" s="2"/>
      <c r="H168" s="2">
        <v>173.06</v>
      </c>
      <c r="I168" s="2"/>
      <c r="J168" s="19">
        <f t="shared" si="38"/>
        <v>6.5637914546990523E-4</v>
      </c>
      <c r="K168" s="2"/>
      <c r="L168" s="2">
        <f t="shared" si="39"/>
        <v>860.84000000000015</v>
      </c>
      <c r="M168" s="2"/>
      <c r="N168" s="19">
        <f t="shared" si="40"/>
        <v>4.974228591240033</v>
      </c>
      <c r="O168" s="10"/>
      <c r="P168" s="2">
        <v>2468.66</v>
      </c>
      <c r="Q168" s="2"/>
      <c r="R168" s="19">
        <f t="shared" si="41"/>
        <v>4.7362394675336115E-4</v>
      </c>
      <c r="S168" s="2"/>
      <c r="T168" s="2">
        <v>1065.32</v>
      </c>
      <c r="U168" s="2"/>
      <c r="V168" s="19">
        <f t="shared" si="42"/>
        <v>9.3519967792162663E-5</v>
      </c>
      <c r="W168" s="2"/>
      <c r="X168" s="2">
        <f t="shared" si="43"/>
        <v>1403.34</v>
      </c>
      <c r="Y168" s="2"/>
      <c r="Z168" s="19">
        <f t="shared" si="44"/>
        <v>1.3172943340967973</v>
      </c>
    </row>
    <row r="169" spans="1:26" s="23" customFormat="1" hidden="1" outlineLevel="1" x14ac:dyDescent="0.25">
      <c r="A169" s="44"/>
      <c r="B169" s="10" t="str">
        <f>CONCATENATE("          ", "5592", " - ", "FREIGHT-IN-GRAD MERCH")</f>
        <v xml:space="preserve">          5592 - FREIGHT-IN-GRAD MERCH</v>
      </c>
      <c r="C169" s="10"/>
      <c r="D169" s="2"/>
      <c r="E169" s="2"/>
      <c r="F169" s="19">
        <f t="shared" si="37"/>
        <v>0</v>
      </c>
      <c r="G169" s="2"/>
      <c r="H169" s="2">
        <v>41.32</v>
      </c>
      <c r="I169" s="2"/>
      <c r="J169" s="19">
        <f t="shared" si="38"/>
        <v>1.5671782208954399E-4</v>
      </c>
      <c r="K169" s="2"/>
      <c r="L169" s="2">
        <f t="shared" si="39"/>
        <v>-41.32</v>
      </c>
      <c r="M169" s="2"/>
      <c r="N169" s="19">
        <f t="shared" si="40"/>
        <v>-1</v>
      </c>
      <c r="O169" s="10"/>
      <c r="P169" s="2">
        <v>0</v>
      </c>
      <c r="Q169" s="2"/>
      <c r="R169" s="19">
        <f t="shared" si="41"/>
        <v>0</v>
      </c>
      <c r="S169" s="2"/>
      <c r="T169" s="2">
        <v>160.05000000000001</v>
      </c>
      <c r="U169" s="2"/>
      <c r="V169" s="19">
        <f t="shared" si="42"/>
        <v>1.4050117190267372E-5</v>
      </c>
      <c r="W169" s="2"/>
      <c r="X169" s="2">
        <f t="shared" si="43"/>
        <v>-160.05000000000001</v>
      </c>
      <c r="Y169" s="2"/>
      <c r="Z169" s="19">
        <f t="shared" si="44"/>
        <v>-1</v>
      </c>
    </row>
    <row r="170" spans="1:26" x14ac:dyDescent="0.25">
      <c r="A170" s="9"/>
      <c r="B170" s="11"/>
      <c r="C170" s="11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1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4" customFormat="1" x14ac:dyDescent="0.25">
      <c r="A171" s="11"/>
      <c r="B171" s="28" t="s">
        <v>107</v>
      </c>
      <c r="C171" s="28"/>
      <c r="D171" s="20">
        <f>D12-D116</f>
        <v>258172.27000000019</v>
      </c>
      <c r="E171" s="14"/>
      <c r="F171" s="21">
        <f>IF(D$12=0,0,D171/D$12)</f>
        <v>0.5094503119524475</v>
      </c>
      <c r="G171" s="14"/>
      <c r="H171" s="20">
        <f>H12-H116</f>
        <v>109060.33999999982</v>
      </c>
      <c r="I171" s="14"/>
      <c r="J171" s="21">
        <f>IF(H$12=0,0,H171/H$12)</f>
        <v>0.41364227882732696</v>
      </c>
      <c r="K171" s="15"/>
      <c r="L171" s="20">
        <f>+D171-H171</f>
        <v>149111.93000000037</v>
      </c>
      <c r="M171" s="15"/>
      <c r="N171" s="21">
        <f>IF(H171=0,0,L171/H171)</f>
        <v>1.3672424824643001</v>
      </c>
      <c r="O171" s="29"/>
      <c r="P171" s="20">
        <f>P12-P116</f>
        <v>1991107.0199999991</v>
      </c>
      <c r="Q171" s="14"/>
      <c r="R171" s="21">
        <f>IF(P$12=0,0,P171/P$12)</f>
        <v>0.3820031779267794</v>
      </c>
      <c r="S171" s="14"/>
      <c r="T171" s="20">
        <f>T12-T116</f>
        <v>4910324.6800000053</v>
      </c>
      <c r="U171" s="14"/>
      <c r="V171" s="21">
        <f>IF(T$12=0,0,T171/T$12)</f>
        <v>0.43105677723375324</v>
      </c>
      <c r="W171" s="15"/>
      <c r="X171" s="20">
        <f>+P171-T171</f>
        <v>-2919217.6600000062</v>
      </c>
      <c r="Y171" s="15"/>
      <c r="Z171" s="21">
        <f>IF(T171=0,0,X171/T171)</f>
        <v>-0.59450603580046835</v>
      </c>
    </row>
    <row r="172" spans="1:26" x14ac:dyDescent="0.25">
      <c r="A172" s="9"/>
      <c r="B172" s="11"/>
      <c r="C172" s="9"/>
      <c r="D172" s="1"/>
      <c r="E172" s="1"/>
      <c r="F172" s="5"/>
      <c r="G172" s="1"/>
      <c r="H172" s="1"/>
      <c r="I172" s="1"/>
      <c r="J172" s="5"/>
      <c r="K172" s="1"/>
      <c r="L172" s="1"/>
      <c r="M172" s="1"/>
      <c r="N172" s="5"/>
      <c r="O172" s="37"/>
      <c r="P172" s="1"/>
      <c r="Q172" s="1"/>
      <c r="R172" s="5"/>
      <c r="S172" s="1"/>
      <c r="T172" s="1"/>
      <c r="U172" s="1"/>
      <c r="V172" s="5"/>
      <c r="W172" s="1"/>
      <c r="X172" s="1"/>
      <c r="Y172" s="1"/>
      <c r="Z172" s="5"/>
    </row>
    <row r="173" spans="1:26" s="24" customFormat="1" x14ac:dyDescent="0.25">
      <c r="A173" s="11"/>
      <c r="B173" s="29" t="s">
        <v>294</v>
      </c>
      <c r="C173" s="11"/>
      <c r="D173" s="22">
        <f>SUM(OSRRefD22x_0)</f>
        <v>245657.52</v>
      </c>
      <c r="E173" s="22"/>
      <c r="F173" s="32">
        <f t="shared" ref="F173:F184" si="45">IF(D$12=0,0,D173/D$12)</f>
        <v>0.4847550056304053</v>
      </c>
      <c r="G173" s="22"/>
      <c r="H173" s="22">
        <f>SUM(OSRRefH22x_0)</f>
        <v>281689.57</v>
      </c>
      <c r="I173" s="22"/>
      <c r="J173" s="32">
        <f t="shared" ref="J173:J184" si="46">IF(H$12=0,0,H173/H$12)</f>
        <v>1.0683876068668963</v>
      </c>
      <c r="K173" s="4"/>
      <c r="L173" s="22">
        <f t="shared" ref="L173:L184" si="47">+D173-H173</f>
        <v>-36032.050000000017</v>
      </c>
      <c r="M173" s="4"/>
      <c r="N173" s="32">
        <f t="shared" ref="N173:N184" si="48">IF(H173=0,0,L173/H173)</f>
        <v>-0.12791403671779547</v>
      </c>
      <c r="O173" s="11"/>
      <c r="P173" s="22">
        <f>SUM(OSRRefP22x_0)</f>
        <v>3117094.2700000014</v>
      </c>
      <c r="Q173" s="22"/>
      <c r="R173" s="32">
        <f t="shared" ref="R173:R184" si="49">IF(P$12=0,0,P173/P$12)</f>
        <v>0.59802908888210116</v>
      </c>
      <c r="S173" s="22"/>
      <c r="T173" s="22">
        <f>SUM(OSRRefT22x_0)</f>
        <v>4926578.55</v>
      </c>
      <c r="U173" s="22"/>
      <c r="V173" s="32">
        <f t="shared" ref="V173:V184" si="50">IF(T$12=0,0,T173/T$12)</f>
        <v>0.4324836362046704</v>
      </c>
      <c r="W173" s="4"/>
      <c r="X173" s="22">
        <f t="shared" ref="X173:X184" si="51">+P173-T173</f>
        <v>-1809484.2799999984</v>
      </c>
      <c r="Y173" s="4"/>
      <c r="Z173" s="32">
        <f t="shared" ref="Z173:Z184" si="52">IF(T173=0,0,X173/T173)</f>
        <v>-0.36729025258310322</v>
      </c>
    </row>
    <row r="174" spans="1:26" s="26" customFormat="1" outlineLevel="1" collapsed="1" x14ac:dyDescent="0.25">
      <c r="A174" s="25"/>
      <c r="B174" s="12" t="str">
        <f>CONCATENATE("     ","*Benefits                                         ")</f>
        <v xml:space="preserve">     *Benefits                                         </v>
      </c>
      <c r="C174" s="12"/>
      <c r="D174" s="1">
        <f>SUM(OSRRefD22_0x_0)</f>
        <v>47641.08</v>
      </c>
      <c r="E174" s="1"/>
      <c r="F174" s="5">
        <f t="shared" si="45"/>
        <v>9.400995338403885E-2</v>
      </c>
      <c r="G174" s="1"/>
      <c r="H174" s="1">
        <f>SUM(OSRRefH22_0x_0)</f>
        <v>43470.45</v>
      </c>
      <c r="I174" s="1"/>
      <c r="J174" s="5">
        <f t="shared" si="46"/>
        <v>0.16487401377667998</v>
      </c>
      <c r="K174" s="1"/>
      <c r="L174" s="1">
        <f t="shared" si="47"/>
        <v>4170.6300000000047</v>
      </c>
      <c r="M174" s="1"/>
      <c r="N174" s="5">
        <f t="shared" si="48"/>
        <v>9.5941725931063634E-2</v>
      </c>
      <c r="O174" s="12"/>
      <c r="P174" s="1">
        <f>SUM(OSRRefP22_0x_0)</f>
        <v>546528.23</v>
      </c>
      <c r="Q174" s="1"/>
      <c r="R174" s="5">
        <f t="shared" si="49"/>
        <v>0.10485399257278391</v>
      </c>
      <c r="S174" s="1"/>
      <c r="T174" s="1">
        <f>SUM(OSRRefT22_0x_0)</f>
        <v>622513.14</v>
      </c>
      <c r="U174" s="1"/>
      <c r="V174" s="5">
        <f t="shared" si="50"/>
        <v>5.4647813617502775E-2</v>
      </c>
      <c r="W174" s="1"/>
      <c r="X174" s="1">
        <f t="shared" si="51"/>
        <v>-75984.910000000033</v>
      </c>
      <c r="Y174" s="1"/>
      <c r="Z174" s="5">
        <f t="shared" si="52"/>
        <v>-0.12206153592195665</v>
      </c>
    </row>
    <row r="175" spans="1:26" s="23" customFormat="1" hidden="1" outlineLevel="2" x14ac:dyDescent="0.25">
      <c r="A175" s="27"/>
      <c r="B175" s="10" t="str">
        <f>CONCATENATE("          ", "6111", " - ", "F.I.C.A.")</f>
        <v xml:space="preserve">          6111 - F.I.C.A.</v>
      </c>
      <c r="C175" s="10"/>
      <c r="D175" s="6">
        <v>8259.76</v>
      </c>
      <c r="E175" s="2"/>
      <c r="F175" s="7">
        <f t="shared" si="45"/>
        <v>1.6298951504948013E-2</v>
      </c>
      <c r="G175" s="2"/>
      <c r="H175" s="6">
        <v>7043.88</v>
      </c>
      <c r="I175" s="2"/>
      <c r="J175" s="7">
        <f t="shared" si="46"/>
        <v>2.6715913181512518E-2</v>
      </c>
      <c r="K175" s="2"/>
      <c r="L175" s="6">
        <f t="shared" si="47"/>
        <v>1215.8800000000001</v>
      </c>
      <c r="M175" s="2"/>
      <c r="N175" s="7">
        <f t="shared" si="48"/>
        <v>0.17261509281816273</v>
      </c>
      <c r="O175" s="10"/>
      <c r="P175" s="6">
        <v>101387.62</v>
      </c>
      <c r="Q175" s="2"/>
      <c r="R175" s="7">
        <f t="shared" si="49"/>
        <v>1.9451688258541076E-2</v>
      </c>
      <c r="S175" s="2"/>
      <c r="T175" s="6">
        <v>122895.72</v>
      </c>
      <c r="U175" s="2"/>
      <c r="V175" s="7">
        <f t="shared" si="50"/>
        <v>1.0788499020195474E-2</v>
      </c>
      <c r="W175" s="2"/>
      <c r="X175" s="6">
        <f t="shared" si="51"/>
        <v>-21508.100000000006</v>
      </c>
      <c r="Y175" s="2"/>
      <c r="Z175" s="7">
        <f t="shared" si="52"/>
        <v>-0.17501097678584743</v>
      </c>
    </row>
    <row r="176" spans="1:26" s="23" customFormat="1" hidden="1" outlineLevel="2" x14ac:dyDescent="0.25">
      <c r="A176" s="27"/>
      <c r="B176" s="10" t="str">
        <f>CONCATENATE("          ", "6112", " - ", "COMPENSATION INSURANCE")</f>
        <v xml:space="preserve">          6112 - COMPENSATION INSURANCE</v>
      </c>
      <c r="C176" s="10"/>
      <c r="D176" s="6">
        <v>2713.69</v>
      </c>
      <c r="E176" s="2"/>
      <c r="F176" s="7">
        <f t="shared" si="45"/>
        <v>5.3549136669179707E-3</v>
      </c>
      <c r="G176" s="2"/>
      <c r="H176" s="6">
        <v>2304.1</v>
      </c>
      <c r="I176" s="2"/>
      <c r="J176" s="7">
        <f t="shared" si="46"/>
        <v>8.7389529011742094E-3</v>
      </c>
      <c r="K176" s="2"/>
      <c r="L176" s="6">
        <f t="shared" si="47"/>
        <v>409.59000000000015</v>
      </c>
      <c r="M176" s="2"/>
      <c r="N176" s="7">
        <f t="shared" si="48"/>
        <v>0.17776572197387272</v>
      </c>
      <c r="O176" s="10"/>
      <c r="P176" s="6">
        <v>25122.69</v>
      </c>
      <c r="Q176" s="2"/>
      <c r="R176" s="7">
        <f t="shared" si="49"/>
        <v>4.8199053700635971E-3</v>
      </c>
      <c r="S176" s="2"/>
      <c r="T176" s="6">
        <v>35578.080000000002</v>
      </c>
      <c r="U176" s="2"/>
      <c r="V176" s="7">
        <f t="shared" si="50"/>
        <v>3.1232501930940817E-3</v>
      </c>
      <c r="W176" s="2"/>
      <c r="X176" s="6">
        <f t="shared" si="51"/>
        <v>-10455.390000000003</v>
      </c>
      <c r="Y176" s="2"/>
      <c r="Z176" s="7">
        <f t="shared" si="52"/>
        <v>-0.29387167604322667</v>
      </c>
    </row>
    <row r="177" spans="1:26" s="23" customFormat="1" hidden="1" outlineLevel="2" x14ac:dyDescent="0.25">
      <c r="A177" s="27"/>
      <c r="B177" s="10" t="str">
        <f>CONCATENATE("          ", "6113", " - ", "GROUP INSURANCE")</f>
        <v xml:space="preserve">          6113 - GROUP INSURANCE</v>
      </c>
      <c r="C177" s="10"/>
      <c r="D177" s="6">
        <v>18284.05</v>
      </c>
      <c r="E177" s="2"/>
      <c r="F177" s="7">
        <f t="shared" si="45"/>
        <v>3.6079843029827106E-2</v>
      </c>
      <c r="G177" s="2"/>
      <c r="H177" s="6">
        <v>18033.84</v>
      </c>
      <c r="I177" s="2"/>
      <c r="J177" s="7">
        <f t="shared" si="46"/>
        <v>6.8398454228250291E-2</v>
      </c>
      <c r="K177" s="2"/>
      <c r="L177" s="6">
        <f t="shared" si="47"/>
        <v>250.20999999999913</v>
      </c>
      <c r="M177" s="2"/>
      <c r="N177" s="7">
        <f t="shared" si="48"/>
        <v>1.3874471549043305E-2</v>
      </c>
      <c r="O177" s="10"/>
      <c r="P177" s="6">
        <v>201221.91</v>
      </c>
      <c r="Q177" s="2"/>
      <c r="R177" s="7">
        <f t="shared" si="49"/>
        <v>3.8605362904348774E-2</v>
      </c>
      <c r="S177" s="2"/>
      <c r="T177" s="6">
        <v>249967.35</v>
      </c>
      <c r="U177" s="2"/>
      <c r="V177" s="7">
        <f t="shared" si="50"/>
        <v>2.1943583637866797E-2</v>
      </c>
      <c r="W177" s="2"/>
      <c r="X177" s="6">
        <f t="shared" si="51"/>
        <v>-48745.440000000002</v>
      </c>
      <c r="Y177" s="2"/>
      <c r="Z177" s="7">
        <f t="shared" si="52"/>
        <v>-0.19500722794396949</v>
      </c>
    </row>
    <row r="178" spans="1:26" s="23" customFormat="1" hidden="1" outlineLevel="2" x14ac:dyDescent="0.25">
      <c r="A178" s="27"/>
      <c r="B178" s="10" t="str">
        <f>CONCATENATE("          ", "6114", " - ", "STATE UNEMPLOYMENT INSURANCE")</f>
        <v xml:space="preserve">          6114 - STATE UNEMPLOYMENT INSURANCE</v>
      </c>
      <c r="C178" s="10"/>
      <c r="D178" s="6">
        <v>481.57</v>
      </c>
      <c r="E178" s="2"/>
      <c r="F178" s="7">
        <f t="shared" si="45"/>
        <v>9.5028016264852916E-4</v>
      </c>
      <c r="G178" s="2"/>
      <c r="H178" s="6">
        <v>389.13</v>
      </c>
      <c r="I178" s="2"/>
      <c r="J178" s="7">
        <f t="shared" si="46"/>
        <v>1.475885917466221E-3</v>
      </c>
      <c r="K178" s="2"/>
      <c r="L178" s="6">
        <f t="shared" si="47"/>
        <v>92.44</v>
      </c>
      <c r="M178" s="2"/>
      <c r="N178" s="7">
        <f t="shared" si="48"/>
        <v>0.23755557268779071</v>
      </c>
      <c r="O178" s="10"/>
      <c r="P178" s="6">
        <v>4147.1499999999996</v>
      </c>
      <c r="Q178" s="2"/>
      <c r="R178" s="7">
        <f t="shared" si="49"/>
        <v>7.9565008983748333E-4</v>
      </c>
      <c r="S178" s="2"/>
      <c r="T178" s="6">
        <v>6505.67</v>
      </c>
      <c r="U178" s="2"/>
      <c r="V178" s="7">
        <f t="shared" si="50"/>
        <v>5.7110544143209457E-4</v>
      </c>
      <c r="W178" s="2"/>
      <c r="X178" s="6">
        <f t="shared" si="51"/>
        <v>-2358.5200000000004</v>
      </c>
      <c r="Y178" s="2"/>
      <c r="Z178" s="7">
        <f t="shared" si="52"/>
        <v>-0.3625329904529434</v>
      </c>
    </row>
    <row r="179" spans="1:26" s="23" customFormat="1" hidden="1" outlineLevel="2" x14ac:dyDescent="0.25">
      <c r="A179" s="27"/>
      <c r="B179" s="10" t="str">
        <f>CONCATENATE("          ", "6115", " - ", "P.E.R.S.")</f>
        <v xml:space="preserve">          6115 - P.E.R.S.</v>
      </c>
      <c r="C179" s="10"/>
      <c r="D179" s="6">
        <v>6355.39</v>
      </c>
      <c r="E179" s="2"/>
      <c r="F179" s="7">
        <f t="shared" si="45"/>
        <v>1.2541065770074623E-2</v>
      </c>
      <c r="G179" s="2"/>
      <c r="H179" s="6">
        <v>5948.8</v>
      </c>
      <c r="I179" s="2"/>
      <c r="J179" s="7">
        <f t="shared" si="46"/>
        <v>2.2562511617770554E-2</v>
      </c>
      <c r="K179" s="2"/>
      <c r="L179" s="6">
        <f t="shared" si="47"/>
        <v>406.59000000000015</v>
      </c>
      <c r="M179" s="2"/>
      <c r="N179" s="7">
        <f t="shared" si="48"/>
        <v>6.8348238300161401E-2</v>
      </c>
      <c r="O179" s="10"/>
      <c r="P179" s="6">
        <v>80225.929999999993</v>
      </c>
      <c r="Q179" s="2"/>
      <c r="R179" s="7">
        <f t="shared" si="49"/>
        <v>1.5391719231712297E-2</v>
      </c>
      <c r="S179" s="2"/>
      <c r="T179" s="6">
        <v>91150.82</v>
      </c>
      <c r="U179" s="2"/>
      <c r="V179" s="7">
        <f t="shared" si="50"/>
        <v>8.0017475975568079E-3</v>
      </c>
      <c r="W179" s="2"/>
      <c r="X179" s="6">
        <f t="shared" si="51"/>
        <v>-10924.890000000014</v>
      </c>
      <c r="Y179" s="2"/>
      <c r="Z179" s="7">
        <f t="shared" si="52"/>
        <v>-0.11985509291084834</v>
      </c>
    </row>
    <row r="180" spans="1:26" s="23" customFormat="1" hidden="1" outlineLevel="2" x14ac:dyDescent="0.25">
      <c r="A180" s="27"/>
      <c r="B180" s="10" t="str">
        <f>CONCATENATE("          ", "6116", " - ", "EDUCATIONAL BENEFITS")</f>
        <v xml:space="preserve">          6116 - EDUCATIONAL BENEFITS</v>
      </c>
      <c r="C180" s="10"/>
      <c r="D180" s="6"/>
      <c r="E180" s="2"/>
      <c r="F180" s="7">
        <f t="shared" si="45"/>
        <v>0</v>
      </c>
      <c r="G180" s="2"/>
      <c r="H180" s="6"/>
      <c r="I180" s="2"/>
      <c r="J180" s="7">
        <f t="shared" si="46"/>
        <v>0</v>
      </c>
      <c r="K180" s="2"/>
      <c r="L180" s="6">
        <f t="shared" si="47"/>
        <v>0</v>
      </c>
      <c r="M180" s="2"/>
      <c r="N180" s="7">
        <f t="shared" si="48"/>
        <v>0</v>
      </c>
      <c r="O180" s="10"/>
      <c r="P180" s="6">
        <v>0</v>
      </c>
      <c r="Q180" s="2"/>
      <c r="R180" s="7">
        <f t="shared" si="49"/>
        <v>0</v>
      </c>
      <c r="S180" s="2"/>
      <c r="T180" s="6"/>
      <c r="U180" s="2"/>
      <c r="V180" s="7">
        <f t="shared" si="50"/>
        <v>0</v>
      </c>
      <c r="W180" s="2"/>
      <c r="X180" s="6">
        <f t="shared" si="51"/>
        <v>0</v>
      </c>
      <c r="Y180" s="2"/>
      <c r="Z180" s="7">
        <f t="shared" si="52"/>
        <v>0</v>
      </c>
    </row>
    <row r="181" spans="1:26" s="23" customFormat="1" hidden="1" outlineLevel="2" x14ac:dyDescent="0.25">
      <c r="A181" s="27"/>
      <c r="B181" s="10" t="str">
        <f>CONCATENATE("          ", "6117", " - ", "RETIREMENT STAFF HOURLY")</f>
        <v xml:space="preserve">          6117 - RETIREMENT STAFF HOURLY</v>
      </c>
      <c r="C181" s="10"/>
      <c r="D181" s="6">
        <v>477.35</v>
      </c>
      <c r="E181" s="2"/>
      <c r="F181" s="7">
        <f t="shared" si="45"/>
        <v>9.4195285345905139E-4</v>
      </c>
      <c r="G181" s="2"/>
      <c r="H181" s="6">
        <v>219.6</v>
      </c>
      <c r="I181" s="2"/>
      <c r="J181" s="7">
        <f t="shared" si="46"/>
        <v>8.3289529842361714E-4</v>
      </c>
      <c r="K181" s="2"/>
      <c r="L181" s="6">
        <f t="shared" si="47"/>
        <v>257.75</v>
      </c>
      <c r="M181" s="2"/>
      <c r="N181" s="7">
        <f t="shared" si="48"/>
        <v>1.1737249544626593</v>
      </c>
      <c r="O181" s="10"/>
      <c r="P181" s="6">
        <v>4238.32</v>
      </c>
      <c r="Q181" s="2"/>
      <c r="R181" s="7">
        <f t="shared" si="49"/>
        <v>8.1314147999469576E-4</v>
      </c>
      <c r="S181" s="2"/>
      <c r="T181" s="6">
        <v>1835.92</v>
      </c>
      <c r="U181" s="2"/>
      <c r="V181" s="7">
        <f t="shared" si="50"/>
        <v>1.6116770479197547E-4</v>
      </c>
      <c r="W181" s="2"/>
      <c r="X181" s="6">
        <f t="shared" si="51"/>
        <v>2402.3999999999996</v>
      </c>
      <c r="Y181" s="2"/>
      <c r="Z181" s="7">
        <f t="shared" si="52"/>
        <v>1.3085537496187196</v>
      </c>
    </row>
    <row r="182" spans="1:26" s="23" customFormat="1" hidden="1" outlineLevel="2" x14ac:dyDescent="0.25">
      <c r="A182" s="27"/>
      <c r="B182" s="10" t="str">
        <f>CONCATENATE("          ", "6118", " - ", "VACATION")</f>
        <v xml:space="preserve">          6118 - VACATION</v>
      </c>
      <c r="C182" s="10"/>
      <c r="D182" s="6">
        <v>5570.12</v>
      </c>
      <c r="E182" s="2"/>
      <c r="F182" s="7">
        <f t="shared" si="45"/>
        <v>1.0991495607226001E-2</v>
      </c>
      <c r="G182" s="2"/>
      <c r="H182" s="6">
        <v>5444.22</v>
      </c>
      <c r="I182" s="2"/>
      <c r="J182" s="7">
        <f t="shared" si="46"/>
        <v>2.0648748823241463E-2</v>
      </c>
      <c r="K182" s="2"/>
      <c r="L182" s="6">
        <f t="shared" si="47"/>
        <v>125.89999999999964</v>
      </c>
      <c r="M182" s="2"/>
      <c r="N182" s="7">
        <f t="shared" si="48"/>
        <v>2.3125443130512659E-2</v>
      </c>
      <c r="O182" s="10"/>
      <c r="P182" s="6">
        <v>66510.73</v>
      </c>
      <c r="Q182" s="2"/>
      <c r="R182" s="7">
        <f t="shared" si="49"/>
        <v>1.2760394077777897E-2</v>
      </c>
      <c r="S182" s="2"/>
      <c r="T182" s="6">
        <v>75740.62</v>
      </c>
      <c r="U182" s="2"/>
      <c r="V182" s="7">
        <f t="shared" si="50"/>
        <v>6.6489508719994291E-3</v>
      </c>
      <c r="W182" s="2"/>
      <c r="X182" s="6">
        <f t="shared" si="51"/>
        <v>-9229.89</v>
      </c>
      <c r="Y182" s="2"/>
      <c r="Z182" s="7">
        <f t="shared" si="52"/>
        <v>-0.1218618226256928</v>
      </c>
    </row>
    <row r="183" spans="1:26" s="23" customFormat="1" hidden="1" outlineLevel="2" x14ac:dyDescent="0.25">
      <c r="A183" s="27"/>
      <c r="B183" s="10" t="str">
        <f>CONCATENATE("          ", "6119", " - ", "SICK LEAVE")</f>
        <v xml:space="preserve">          6119 - SICK LEAVE</v>
      </c>
      <c r="C183" s="10"/>
      <c r="D183" s="6">
        <v>3824.03</v>
      </c>
      <c r="E183" s="2"/>
      <c r="F183" s="7">
        <f t="shared" si="45"/>
        <v>7.5459431658385177E-3</v>
      </c>
      <c r="G183" s="2"/>
      <c r="H183" s="6">
        <v>3497.96</v>
      </c>
      <c r="I183" s="2"/>
      <c r="J183" s="7">
        <f t="shared" si="46"/>
        <v>1.3267005637859181E-2</v>
      </c>
      <c r="K183" s="2"/>
      <c r="L183" s="6">
        <f t="shared" si="47"/>
        <v>326.07000000000016</v>
      </c>
      <c r="M183" s="2"/>
      <c r="N183" s="7">
        <f t="shared" si="48"/>
        <v>9.321718944756377E-2</v>
      </c>
      <c r="O183" s="10"/>
      <c r="P183" s="6">
        <v>46975.76</v>
      </c>
      <c r="Q183" s="2"/>
      <c r="R183" s="7">
        <f t="shared" si="49"/>
        <v>9.0125188778279203E-3</v>
      </c>
      <c r="S183" s="2"/>
      <c r="T183" s="6">
        <v>14916.05</v>
      </c>
      <c r="U183" s="2"/>
      <c r="V183" s="7">
        <f t="shared" si="50"/>
        <v>1.309417372795299E-3</v>
      </c>
      <c r="W183" s="2"/>
      <c r="X183" s="6">
        <f t="shared" si="51"/>
        <v>32059.710000000003</v>
      </c>
      <c r="Y183" s="2"/>
      <c r="Z183" s="7">
        <f t="shared" si="52"/>
        <v>2.1493431572031474</v>
      </c>
    </row>
    <row r="184" spans="1:26" s="23" customFormat="1" hidden="1" outlineLevel="2" x14ac:dyDescent="0.25">
      <c r="A184" s="27"/>
      <c r="B184" s="10" t="str">
        <f>CONCATENATE("          ", "6156", " - ", "EMPLOYEE MEALS")</f>
        <v xml:space="preserve">          6156 - EMPLOYEE MEALS</v>
      </c>
      <c r="C184" s="10"/>
      <c r="D184" s="6">
        <v>1675.12</v>
      </c>
      <c r="E184" s="2"/>
      <c r="F184" s="7">
        <f t="shared" si="45"/>
        <v>3.3055076230990386E-3</v>
      </c>
      <c r="G184" s="2"/>
      <c r="H184" s="6">
        <v>588.91999999999996</v>
      </c>
      <c r="I184" s="2"/>
      <c r="J184" s="7">
        <f t="shared" si="46"/>
        <v>2.2336461709819518E-3</v>
      </c>
      <c r="K184" s="2"/>
      <c r="L184" s="6">
        <f t="shared" si="47"/>
        <v>1086.1999999999998</v>
      </c>
      <c r="M184" s="2"/>
      <c r="N184" s="7">
        <f t="shared" si="48"/>
        <v>1.8443931264008693</v>
      </c>
      <c r="O184" s="10"/>
      <c r="P184" s="6">
        <v>16698.12</v>
      </c>
      <c r="Q184" s="2"/>
      <c r="R184" s="7">
        <f t="shared" si="49"/>
        <v>3.2036122826801725E-3</v>
      </c>
      <c r="S184" s="2"/>
      <c r="T184" s="6">
        <v>23922.91</v>
      </c>
      <c r="U184" s="2"/>
      <c r="V184" s="7">
        <f t="shared" si="50"/>
        <v>2.1000917777708166E-3</v>
      </c>
      <c r="W184" s="2"/>
      <c r="X184" s="6">
        <f t="shared" si="51"/>
        <v>-7224.7900000000009</v>
      </c>
      <c r="Y184" s="2"/>
      <c r="Z184" s="7">
        <f t="shared" si="52"/>
        <v>-0.30200297539053572</v>
      </c>
    </row>
    <row r="185" spans="1:26" s="26" customFormat="1" outlineLevel="1" collapsed="1" x14ac:dyDescent="0.25">
      <c r="A185" s="25"/>
      <c r="B185" s="12" t="str">
        <f>CONCATENATE("     ","*Payroll                                          ")</f>
        <v xml:space="preserve">     *Payroll                                          </v>
      </c>
      <c r="C185" s="12"/>
      <c r="D185" s="1">
        <f>SUM(OSRRefD22_1x_0)</f>
        <v>122510.93000000001</v>
      </c>
      <c r="E185" s="1"/>
      <c r="F185" s="5">
        <f t="shared" ref="F185:F192" si="53">IF(D$12=0,0,D185/D$12)</f>
        <v>0.24175033014228994</v>
      </c>
      <c r="G185" s="1"/>
      <c r="H185" s="1">
        <f>SUM(OSRRefH22_1x_0)</f>
        <v>93313.82</v>
      </c>
      <c r="I185" s="1"/>
      <c r="J185" s="5">
        <f t="shared" ref="J185:J192" si="54">IF(H$12=0,0,H185/H$12)</f>
        <v>0.3539191345899258</v>
      </c>
      <c r="K185" s="1"/>
      <c r="L185" s="1">
        <f t="shared" ref="L185:L192" si="55">+D185-H185</f>
        <v>29197.11</v>
      </c>
      <c r="M185" s="1"/>
      <c r="N185" s="5">
        <f t="shared" ref="N185:N192" si="56">IF(H185=0,0,L185/H185)</f>
        <v>0.31289159526423843</v>
      </c>
      <c r="O185" s="12"/>
      <c r="P185" s="1">
        <f>SUM(OSRRefP22_1x_0)</f>
        <v>1413331.09</v>
      </c>
      <c r="Q185" s="1"/>
      <c r="R185" s="5">
        <f t="shared" ref="R185:R192" si="57">IF(P$12=0,0,P185/P$12)</f>
        <v>0.27115416821880289</v>
      </c>
      <c r="S185" s="1"/>
      <c r="T185" s="1">
        <f>SUM(OSRRefT22_1x_0)</f>
        <v>2302750.35</v>
      </c>
      <c r="U185" s="1"/>
      <c r="V185" s="5">
        <f t="shared" ref="V185:V192" si="58">IF(T$12=0,0,T185/T$12)</f>
        <v>0.20214878024010752</v>
      </c>
      <c r="W185" s="1"/>
      <c r="X185" s="1">
        <f t="shared" ref="X185:X192" si="59">+P185-T185</f>
        <v>-889419.26</v>
      </c>
      <c r="Y185" s="1"/>
      <c r="Z185" s="5">
        <f t="shared" ref="Z185:Z192" si="60">IF(T185=0,0,X185/T185)</f>
        <v>-0.38624215603745321</v>
      </c>
    </row>
    <row r="186" spans="1:26" s="23" customFormat="1" hidden="1" outlineLevel="2" x14ac:dyDescent="0.25">
      <c r="A186" s="27"/>
      <c r="B186" s="10" t="str">
        <f>CONCATENATE("          ", "6001", " - ", "ADMINISTRATIVE SALARIES")</f>
        <v xml:space="preserve">          6001 - ADMINISTRATIVE SALARIES</v>
      </c>
      <c r="C186" s="10"/>
      <c r="D186" s="6">
        <v>4205.74</v>
      </c>
      <c r="E186" s="2"/>
      <c r="F186" s="7">
        <f t="shared" si="53"/>
        <v>8.2991699882829593E-3</v>
      </c>
      <c r="G186" s="2"/>
      <c r="H186" s="6"/>
      <c r="I186" s="2"/>
      <c r="J186" s="7">
        <f t="shared" si="54"/>
        <v>0</v>
      </c>
      <c r="K186" s="2"/>
      <c r="L186" s="6">
        <f t="shared" si="55"/>
        <v>4205.74</v>
      </c>
      <c r="M186" s="2"/>
      <c r="N186" s="7">
        <f t="shared" si="56"/>
        <v>0</v>
      </c>
      <c r="O186" s="10"/>
      <c r="P186" s="6">
        <v>47398.53</v>
      </c>
      <c r="Q186" s="2"/>
      <c r="R186" s="7">
        <f t="shared" si="57"/>
        <v>9.0936292761690917E-3</v>
      </c>
      <c r="S186" s="2"/>
      <c r="T186" s="6">
        <v>93238.31</v>
      </c>
      <c r="U186" s="2"/>
      <c r="V186" s="7">
        <f t="shared" si="58"/>
        <v>8.1849995758980203E-3</v>
      </c>
      <c r="W186" s="2"/>
      <c r="X186" s="6">
        <f t="shared" si="59"/>
        <v>-45839.78</v>
      </c>
      <c r="Y186" s="2"/>
      <c r="Z186" s="7">
        <f t="shared" si="60"/>
        <v>-0.49164104325786256</v>
      </c>
    </row>
    <row r="187" spans="1:26" s="23" customFormat="1" hidden="1" outlineLevel="2" x14ac:dyDescent="0.25">
      <c r="A187" s="27"/>
      <c r="B187" s="10" t="str">
        <f>CONCATENATE("          ", "6002", " - ", "STAFF SALARIES")</f>
        <v xml:space="preserve">          6002 - STAFF SALARIES</v>
      </c>
      <c r="C187" s="10"/>
      <c r="D187" s="6">
        <v>63555.839999999997</v>
      </c>
      <c r="E187" s="2"/>
      <c r="F187" s="7">
        <f t="shared" si="53"/>
        <v>0.12541448589501814</v>
      </c>
      <c r="G187" s="2"/>
      <c r="H187" s="6">
        <v>54188.26</v>
      </c>
      <c r="I187" s="2"/>
      <c r="J187" s="7">
        <f t="shared" si="54"/>
        <v>0.20552434874206083</v>
      </c>
      <c r="K187" s="2"/>
      <c r="L187" s="6">
        <f t="shared" si="55"/>
        <v>9367.5799999999945</v>
      </c>
      <c r="M187" s="2"/>
      <c r="N187" s="7">
        <f t="shared" si="56"/>
        <v>0.17287102409267235</v>
      </c>
      <c r="O187" s="10"/>
      <c r="P187" s="6">
        <v>706559.14</v>
      </c>
      <c r="Q187" s="2"/>
      <c r="R187" s="7">
        <f t="shared" si="57"/>
        <v>0.13555666981336462</v>
      </c>
      <c r="S187" s="2"/>
      <c r="T187" s="6">
        <v>772330.98</v>
      </c>
      <c r="U187" s="2"/>
      <c r="V187" s="7">
        <f t="shared" si="58"/>
        <v>6.7799692462818154E-2</v>
      </c>
      <c r="W187" s="2"/>
      <c r="X187" s="6">
        <f t="shared" si="59"/>
        <v>-65771.839999999967</v>
      </c>
      <c r="Y187" s="2"/>
      <c r="Z187" s="7">
        <f t="shared" si="60"/>
        <v>-8.516017316824448E-2</v>
      </c>
    </row>
    <row r="188" spans="1:26" s="23" customFormat="1" hidden="1" outlineLevel="2" x14ac:dyDescent="0.25">
      <c r="A188" s="27"/>
      <c r="B188" s="10" t="str">
        <f>CONCATENATE("          ", "6004", " - ", "STAFF HOURLY")</f>
        <v xml:space="preserve">          6004 - STAFF HOURLY</v>
      </c>
      <c r="C188" s="10"/>
      <c r="D188" s="6">
        <v>13052.53</v>
      </c>
      <c r="E188" s="2"/>
      <c r="F188" s="7">
        <f t="shared" si="53"/>
        <v>2.5756505453775787E-2</v>
      </c>
      <c r="G188" s="2"/>
      <c r="H188" s="6">
        <v>11060.64</v>
      </c>
      <c r="I188" s="2"/>
      <c r="J188" s="7">
        <f t="shared" si="54"/>
        <v>4.1950614997979037E-2</v>
      </c>
      <c r="K188" s="2"/>
      <c r="L188" s="6">
        <f t="shared" si="55"/>
        <v>1991.8900000000012</v>
      </c>
      <c r="M188" s="2"/>
      <c r="N188" s="7">
        <f t="shared" si="56"/>
        <v>0.18008813233230639</v>
      </c>
      <c r="O188" s="10"/>
      <c r="P188" s="6">
        <v>168344.5</v>
      </c>
      <c r="Q188" s="2"/>
      <c r="R188" s="7">
        <f t="shared" si="57"/>
        <v>3.2297678296817386E-2</v>
      </c>
      <c r="S188" s="2"/>
      <c r="T188" s="6">
        <v>59473.279999999999</v>
      </c>
      <c r="U188" s="2"/>
      <c r="V188" s="7">
        <f t="shared" si="58"/>
        <v>5.2209094263641655E-3</v>
      </c>
      <c r="W188" s="2"/>
      <c r="X188" s="6">
        <f t="shared" si="59"/>
        <v>108871.22</v>
      </c>
      <c r="Y188" s="2"/>
      <c r="Z188" s="7">
        <f t="shared" si="60"/>
        <v>1.8305904769335071</v>
      </c>
    </row>
    <row r="189" spans="1:26" s="23" customFormat="1" hidden="1" outlineLevel="2" x14ac:dyDescent="0.25">
      <c r="A189" s="27"/>
      <c r="B189" s="10" t="str">
        <f>CONCATENATE("          ", "6005", " - ", "TEMPORARY WAGES-HOURLY")</f>
        <v xml:space="preserve">          6005 - TEMPORARY WAGES-HOURLY</v>
      </c>
      <c r="C189" s="10"/>
      <c r="D189" s="6">
        <v>7607.71</v>
      </c>
      <c r="E189" s="2"/>
      <c r="F189" s="7">
        <f t="shared" si="53"/>
        <v>1.5012263837412715E-2</v>
      </c>
      <c r="G189" s="2"/>
      <c r="H189" s="6">
        <v>8052.32</v>
      </c>
      <c r="I189" s="2"/>
      <c r="J189" s="7">
        <f t="shared" si="54"/>
        <v>3.0540707966313575E-2</v>
      </c>
      <c r="K189" s="2"/>
      <c r="L189" s="6">
        <f t="shared" si="55"/>
        <v>-444.60999999999967</v>
      </c>
      <c r="M189" s="2"/>
      <c r="N189" s="7">
        <f t="shared" si="56"/>
        <v>-5.5215142965008804E-2</v>
      </c>
      <c r="O189" s="10"/>
      <c r="P189" s="6">
        <v>161971.72</v>
      </c>
      <c r="Q189" s="2"/>
      <c r="R189" s="7">
        <f t="shared" si="57"/>
        <v>3.1075030700392248E-2</v>
      </c>
      <c r="S189" s="2"/>
      <c r="T189" s="6">
        <v>255635.44</v>
      </c>
      <c r="U189" s="2"/>
      <c r="V189" s="7">
        <f t="shared" si="58"/>
        <v>2.2441161449456813E-2</v>
      </c>
      <c r="W189" s="2"/>
      <c r="X189" s="6">
        <f t="shared" si="59"/>
        <v>-93663.72</v>
      </c>
      <c r="Y189" s="2"/>
      <c r="Z189" s="7">
        <f t="shared" si="60"/>
        <v>-0.36639567659319849</v>
      </c>
    </row>
    <row r="190" spans="1:26" s="23" customFormat="1" hidden="1" outlineLevel="2" x14ac:dyDescent="0.25">
      <c r="A190" s="27"/>
      <c r="B190" s="10" t="str">
        <f>CONCATENATE("          ", "6006", " - ", "TEMPORARY PART TIME")</f>
        <v xml:space="preserve">          6006 - TEMPORARY PART TIME</v>
      </c>
      <c r="C190" s="10"/>
      <c r="D190" s="6">
        <v>2769.97</v>
      </c>
      <c r="E190" s="2"/>
      <c r="F190" s="7">
        <f t="shared" si="53"/>
        <v>5.4659707667245594E-3</v>
      </c>
      <c r="G190" s="2"/>
      <c r="H190" s="6">
        <v>1929.14</v>
      </c>
      <c r="I190" s="2"/>
      <c r="J190" s="7">
        <f t="shared" si="54"/>
        <v>7.3168107286017163E-3</v>
      </c>
      <c r="K190" s="2"/>
      <c r="L190" s="6">
        <f t="shared" si="55"/>
        <v>840.8299999999997</v>
      </c>
      <c r="M190" s="2"/>
      <c r="N190" s="7">
        <f t="shared" si="56"/>
        <v>0.43585742869879823</v>
      </c>
      <c r="O190" s="10"/>
      <c r="P190" s="6">
        <v>19716.73</v>
      </c>
      <c r="Q190" s="2"/>
      <c r="R190" s="7">
        <f t="shared" si="57"/>
        <v>3.7827467045564796E-3</v>
      </c>
      <c r="S190" s="2"/>
      <c r="T190" s="6">
        <v>56870.99</v>
      </c>
      <c r="U190" s="2"/>
      <c r="V190" s="7">
        <f t="shared" si="58"/>
        <v>4.9924653185037414E-3</v>
      </c>
      <c r="W190" s="2"/>
      <c r="X190" s="6">
        <f t="shared" si="59"/>
        <v>-37154.259999999995</v>
      </c>
      <c r="Y190" s="2"/>
      <c r="Z190" s="7">
        <f t="shared" si="60"/>
        <v>-0.65330777607353052</v>
      </c>
    </row>
    <row r="191" spans="1:26" s="23" customFormat="1" hidden="1" outlineLevel="2" x14ac:dyDescent="0.25">
      <c r="A191" s="27"/>
      <c r="B191" s="10" t="str">
        <f>CONCATENATE("          ", "6007", " - ", "STUDENT HOURLY")</f>
        <v xml:space="preserve">          6007 - STUDENT HOURLY</v>
      </c>
      <c r="C191" s="10"/>
      <c r="D191" s="6">
        <v>28779.68</v>
      </c>
      <c r="E191" s="2"/>
      <c r="F191" s="7">
        <f t="shared" si="53"/>
        <v>5.6790827899106298E-2</v>
      </c>
      <c r="G191" s="2"/>
      <c r="H191" s="6">
        <v>18083.46</v>
      </c>
      <c r="I191" s="2"/>
      <c r="J191" s="7">
        <f t="shared" si="54"/>
        <v>6.8586652154970604E-2</v>
      </c>
      <c r="K191" s="2"/>
      <c r="L191" s="6">
        <f t="shared" si="55"/>
        <v>10696.220000000001</v>
      </c>
      <c r="M191" s="2"/>
      <c r="N191" s="7">
        <f t="shared" si="56"/>
        <v>0.59149189369733457</v>
      </c>
      <c r="O191" s="10"/>
      <c r="P191" s="6">
        <v>296799.06</v>
      </c>
      <c r="Q191" s="2"/>
      <c r="R191" s="7">
        <f t="shared" si="57"/>
        <v>5.6942285365294387E-2</v>
      </c>
      <c r="S191" s="2"/>
      <c r="T191" s="6">
        <v>1038884.54</v>
      </c>
      <c r="U191" s="2"/>
      <c r="V191" s="7">
        <f t="shared" si="58"/>
        <v>9.1199309804167517E-2</v>
      </c>
      <c r="W191" s="2"/>
      <c r="X191" s="6">
        <f t="shared" si="59"/>
        <v>-742085.48</v>
      </c>
      <c r="Y191" s="2"/>
      <c r="Z191" s="7">
        <f t="shared" si="60"/>
        <v>-0.714309869314255</v>
      </c>
    </row>
    <row r="192" spans="1:26" s="23" customFormat="1" hidden="1" outlineLevel="2" x14ac:dyDescent="0.25">
      <c r="A192" s="27"/>
      <c r="B192" s="10" t="str">
        <f>CONCATENATE("          ", "6008", " - ", "STUDENT HOURLY-FICA EXEMPT")</f>
        <v xml:space="preserve">          6008 - STUDENT HOURLY-FICA EXEMPT</v>
      </c>
      <c r="C192" s="10"/>
      <c r="D192" s="6">
        <v>2539.46</v>
      </c>
      <c r="E192" s="2"/>
      <c r="F192" s="7">
        <f t="shared" si="53"/>
        <v>5.011106301969462E-3</v>
      </c>
      <c r="G192" s="2"/>
      <c r="H192" s="6"/>
      <c r="I192" s="2"/>
      <c r="J192" s="7">
        <f t="shared" si="54"/>
        <v>0</v>
      </c>
      <c r="K192" s="2"/>
      <c r="L192" s="6">
        <f t="shared" si="55"/>
        <v>2539.46</v>
      </c>
      <c r="M192" s="2"/>
      <c r="N192" s="7">
        <f t="shared" si="56"/>
        <v>0</v>
      </c>
      <c r="O192" s="10"/>
      <c r="P192" s="6">
        <v>12541.41</v>
      </c>
      <c r="Q192" s="2"/>
      <c r="R192" s="7">
        <f t="shared" si="57"/>
        <v>2.4061280622086766E-3</v>
      </c>
      <c r="S192" s="2"/>
      <c r="T192" s="6">
        <v>26316.81</v>
      </c>
      <c r="U192" s="2"/>
      <c r="V192" s="7">
        <f t="shared" si="58"/>
        <v>2.3102422028990956E-3</v>
      </c>
      <c r="W192" s="2"/>
      <c r="X192" s="6">
        <f t="shared" si="59"/>
        <v>-13775.400000000001</v>
      </c>
      <c r="Y192" s="2"/>
      <c r="Z192" s="7">
        <f t="shared" si="60"/>
        <v>-0.52344490080674677</v>
      </c>
    </row>
    <row r="193" spans="1:26" s="26" customFormat="1" outlineLevel="1" collapsed="1" x14ac:dyDescent="0.25">
      <c r="A193" s="25"/>
      <c r="B193" s="12" t="str">
        <f>CONCATENATE("     ","Advertising/Promo                                 ")</f>
        <v xml:space="preserve">     Advertising/Promo                                 </v>
      </c>
      <c r="C193" s="12"/>
      <c r="D193" s="1">
        <f>SUM(OSRRefD22_2x_0)</f>
        <v>7.47</v>
      </c>
      <c r="E193" s="1"/>
      <c r="F193" s="5">
        <f t="shared" ref="F193:F197" si="61">IF(D$12=0,0,D193/D$12)</f>
        <v>1.474052124298547E-5</v>
      </c>
      <c r="G193" s="1"/>
      <c r="H193" s="1">
        <f>SUM(OSRRefH22_2x_0)</f>
        <v>1029</v>
      </c>
      <c r="I193" s="1"/>
      <c r="J193" s="5">
        <f t="shared" ref="J193:J197" si="62">IF(H$12=0,0,H193/H$12)</f>
        <v>3.9027744174767853E-3</v>
      </c>
      <c r="K193" s="1"/>
      <c r="L193" s="1">
        <f t="shared" ref="L193:L197" si="63">+D193-H193</f>
        <v>-1021.53</v>
      </c>
      <c r="M193" s="1"/>
      <c r="N193" s="5">
        <f t="shared" ref="N193:N197" si="64">IF(H193=0,0,L193/H193)</f>
        <v>-0.99274052478134112</v>
      </c>
      <c r="O193" s="12"/>
      <c r="P193" s="1">
        <f>SUM(OSRRefP22_2x_0)</f>
        <v>17543.52</v>
      </c>
      <c r="Q193" s="1"/>
      <c r="R193" s="5">
        <f t="shared" ref="R193:R197" si="65">IF(P$12=0,0,P193/P$12)</f>
        <v>3.3658062197088816E-3</v>
      </c>
      <c r="S193" s="1"/>
      <c r="T193" s="1">
        <f>SUM(OSRRefT22_2x_0)</f>
        <v>49078.68</v>
      </c>
      <c r="U193" s="1"/>
      <c r="V193" s="5">
        <f t="shared" ref="V193:V197" si="66">IF(T$12=0,0,T193/T$12)</f>
        <v>4.3084111561613962E-3</v>
      </c>
      <c r="W193" s="1"/>
      <c r="X193" s="1">
        <f t="shared" ref="X193:X197" si="67">+P193-T193</f>
        <v>-31535.16</v>
      </c>
      <c r="Y193" s="1"/>
      <c r="Z193" s="5">
        <f t="shared" ref="Z193:Z197" si="68">IF(T193=0,0,X193/T193)</f>
        <v>-0.64254295347796642</v>
      </c>
    </row>
    <row r="194" spans="1:26" s="23" customFormat="1" hidden="1" outlineLevel="2" x14ac:dyDescent="0.25">
      <c r="A194" s="27"/>
      <c r="B194" s="10" t="str">
        <f>CONCATENATE("          ", "6362", " - ", "ADVERTISING EXPENSE")</f>
        <v xml:space="preserve">          6362 - ADVERTISING EXPENSE</v>
      </c>
      <c r="C194" s="10"/>
      <c r="D194" s="6">
        <v>7.47</v>
      </c>
      <c r="E194" s="2"/>
      <c r="F194" s="7">
        <f t="shared" si="61"/>
        <v>1.474052124298547E-5</v>
      </c>
      <c r="G194" s="2"/>
      <c r="H194" s="6">
        <v>1029</v>
      </c>
      <c r="I194" s="2"/>
      <c r="J194" s="7">
        <f t="shared" si="62"/>
        <v>3.9027744174767853E-3</v>
      </c>
      <c r="K194" s="2"/>
      <c r="L194" s="6">
        <f t="shared" si="63"/>
        <v>-1021.53</v>
      </c>
      <c r="M194" s="2"/>
      <c r="N194" s="7">
        <f t="shared" si="64"/>
        <v>-0.99274052478134112</v>
      </c>
      <c r="O194" s="10"/>
      <c r="P194" s="6">
        <v>17543.52</v>
      </c>
      <c r="Q194" s="2"/>
      <c r="R194" s="7">
        <f t="shared" si="65"/>
        <v>3.3658062197088816E-3</v>
      </c>
      <c r="S194" s="2"/>
      <c r="T194" s="6">
        <v>49078.68</v>
      </c>
      <c r="U194" s="2"/>
      <c r="V194" s="7">
        <f t="shared" si="66"/>
        <v>4.3084111561613962E-3</v>
      </c>
      <c r="W194" s="2"/>
      <c r="X194" s="6">
        <f t="shared" si="67"/>
        <v>-31535.16</v>
      </c>
      <c r="Y194" s="2"/>
      <c r="Z194" s="7">
        <f t="shared" si="68"/>
        <v>-0.64254295347796642</v>
      </c>
    </row>
    <row r="195" spans="1:26" s="26" customFormat="1" outlineLevel="1" collapsed="1" x14ac:dyDescent="0.25">
      <c r="A195" s="25"/>
      <c r="B195" s="12" t="str">
        <f>CONCATENATE("     ","Bad Debts/Over/Short                              ")</f>
        <v xml:space="preserve">     Bad Debts/Over/Short                              </v>
      </c>
      <c r="C195" s="12"/>
      <c r="D195" s="1">
        <f>SUM(OSRRefD22_3x_0)</f>
        <v>21.56</v>
      </c>
      <c r="E195" s="1"/>
      <c r="F195" s="5">
        <f t="shared" si="61"/>
        <v>4.2544262114962078E-5</v>
      </c>
      <c r="G195" s="1"/>
      <c r="H195" s="1">
        <f>SUM(OSRRefH22_3x_0)</f>
        <v>-4.55</v>
      </c>
      <c r="I195" s="1"/>
      <c r="J195" s="5">
        <f t="shared" si="62"/>
        <v>-1.7257165791564014E-5</v>
      </c>
      <c r="K195" s="1"/>
      <c r="L195" s="1">
        <f t="shared" si="63"/>
        <v>26.11</v>
      </c>
      <c r="M195" s="1"/>
      <c r="N195" s="5">
        <f t="shared" si="64"/>
        <v>-5.7384615384615385</v>
      </c>
      <c r="O195" s="12"/>
      <c r="P195" s="1">
        <f>SUM(OSRRefP22_3x_0)</f>
        <v>5207.57</v>
      </c>
      <c r="Q195" s="1"/>
      <c r="R195" s="5">
        <f t="shared" si="65"/>
        <v>9.9909661775797443E-4</v>
      </c>
      <c r="S195" s="1"/>
      <c r="T195" s="1">
        <f>SUM(OSRRefT22_3x_0)</f>
        <v>-459.84</v>
      </c>
      <c r="U195" s="1"/>
      <c r="V195" s="5">
        <f t="shared" si="66"/>
        <v>-4.0367421985457965E-5</v>
      </c>
      <c r="W195" s="1"/>
      <c r="X195" s="1">
        <f t="shared" si="67"/>
        <v>5667.41</v>
      </c>
      <c r="Y195" s="1"/>
      <c r="Z195" s="5">
        <f t="shared" si="68"/>
        <v>-12.324743389004871</v>
      </c>
    </row>
    <row r="196" spans="1:26" s="23" customFormat="1" hidden="1" outlineLevel="2" x14ac:dyDescent="0.25">
      <c r="A196" s="27"/>
      <c r="B196" s="10" t="str">
        <f>CONCATENATE("          ", "6272", " - ", "CASH (OVER/SHORT)")</f>
        <v xml:space="preserve">          6272 - CASH (OVER/SHORT)</v>
      </c>
      <c r="C196" s="10"/>
      <c r="D196" s="6">
        <v>21.56</v>
      </c>
      <c r="E196" s="2"/>
      <c r="F196" s="7">
        <f t="shared" si="61"/>
        <v>4.2544262114962078E-5</v>
      </c>
      <c r="G196" s="2"/>
      <c r="H196" s="6">
        <v>-4.55</v>
      </c>
      <c r="I196" s="2"/>
      <c r="J196" s="7">
        <f t="shared" si="62"/>
        <v>-1.7257165791564014E-5</v>
      </c>
      <c r="K196" s="2"/>
      <c r="L196" s="6">
        <f t="shared" si="63"/>
        <v>26.11</v>
      </c>
      <c r="M196" s="2"/>
      <c r="N196" s="7">
        <f t="shared" si="64"/>
        <v>-5.7384615384615385</v>
      </c>
      <c r="O196" s="10"/>
      <c r="P196" s="6">
        <v>-141.85</v>
      </c>
      <c r="Q196" s="2"/>
      <c r="R196" s="7">
        <f t="shared" si="65"/>
        <v>-2.7214584773506389E-5</v>
      </c>
      <c r="S196" s="2"/>
      <c r="T196" s="6">
        <v>-504.64</v>
      </c>
      <c r="U196" s="2"/>
      <c r="V196" s="7">
        <f t="shared" si="66"/>
        <v>-4.4300225797541559E-5</v>
      </c>
      <c r="W196" s="2"/>
      <c r="X196" s="6">
        <f t="shared" si="67"/>
        <v>362.78999999999996</v>
      </c>
      <c r="Y196" s="2"/>
      <c r="Z196" s="7">
        <f t="shared" si="68"/>
        <v>-0.71890852885225109</v>
      </c>
    </row>
    <row r="197" spans="1:26" s="23" customFormat="1" hidden="1" outlineLevel="2" x14ac:dyDescent="0.25">
      <c r="A197" s="27"/>
      <c r="B197" s="10" t="str">
        <f>CONCATENATE("          ", "6342", " - ", "BAD DEBT")</f>
        <v xml:space="preserve">          6342 - BAD DEBT</v>
      </c>
      <c r="C197" s="10"/>
      <c r="D197" s="6"/>
      <c r="E197" s="2"/>
      <c r="F197" s="7">
        <f t="shared" si="61"/>
        <v>0</v>
      </c>
      <c r="G197" s="2"/>
      <c r="H197" s="6"/>
      <c r="I197" s="2"/>
      <c r="J197" s="7">
        <f t="shared" si="62"/>
        <v>0</v>
      </c>
      <c r="K197" s="2"/>
      <c r="L197" s="6">
        <f t="shared" si="63"/>
        <v>0</v>
      </c>
      <c r="M197" s="2"/>
      <c r="N197" s="7">
        <f t="shared" si="64"/>
        <v>0</v>
      </c>
      <c r="O197" s="10"/>
      <c r="P197" s="6">
        <v>5349.42</v>
      </c>
      <c r="Q197" s="2"/>
      <c r="R197" s="7">
        <f t="shared" si="65"/>
        <v>1.0263112025314808E-3</v>
      </c>
      <c r="S197" s="2"/>
      <c r="T197" s="6">
        <v>44.8</v>
      </c>
      <c r="U197" s="2"/>
      <c r="V197" s="7">
        <f t="shared" si="66"/>
        <v>3.9328038120835875E-6</v>
      </c>
      <c r="W197" s="2"/>
      <c r="X197" s="6">
        <f t="shared" si="67"/>
        <v>5304.62</v>
      </c>
      <c r="Y197" s="2"/>
      <c r="Z197" s="7">
        <f t="shared" si="68"/>
        <v>118.40669642857144</v>
      </c>
    </row>
    <row r="198" spans="1:26" s="26" customFormat="1" outlineLevel="1" collapsed="1" x14ac:dyDescent="0.25">
      <c r="A198" s="25"/>
      <c r="B198" s="12" t="str">
        <f>CONCATENATE("     ","Bank/card Fees                                    ")</f>
        <v xml:space="preserve">     Bank/card Fees                                    </v>
      </c>
      <c r="C198" s="12"/>
      <c r="D198" s="1">
        <f>SUM(OSRRefD22_4x_0)</f>
        <v>4110.67</v>
      </c>
      <c r="E198" s="1"/>
      <c r="F198" s="5">
        <f t="shared" ref="F198:F203" si="69">IF(D$12=0,0,D198/D$12)</f>
        <v>8.1115687359977345E-3</v>
      </c>
      <c r="G198" s="1"/>
      <c r="H198" s="1">
        <f>SUM(OSRRefH22_4x_0)</f>
        <v>5473.34</v>
      </c>
      <c r="I198" s="1"/>
      <c r="J198" s="5">
        <f t="shared" ref="J198:J203" si="70">IF(H$12=0,0,H198/H$12)</f>
        <v>2.0759194684307473E-2</v>
      </c>
      <c r="K198" s="1"/>
      <c r="L198" s="1">
        <f t="shared" ref="L198:L203" si="71">+D198-H198</f>
        <v>-1362.67</v>
      </c>
      <c r="M198" s="1"/>
      <c r="N198" s="5">
        <f t="shared" ref="N198:N203" si="72">IF(H198=0,0,L198/H198)</f>
        <v>-0.2489649829902765</v>
      </c>
      <c r="O198" s="12"/>
      <c r="P198" s="1">
        <f>SUM(OSRRefP22_4x_0)</f>
        <v>81071.25</v>
      </c>
      <c r="Q198" s="1"/>
      <c r="R198" s="5">
        <f t="shared" ref="R198:R203" si="73">IF(P$12=0,0,P198/P$12)</f>
        <v>1.55538978203675E-2</v>
      </c>
      <c r="S198" s="1"/>
      <c r="T198" s="1">
        <f>SUM(OSRRefT22_4x_0)</f>
        <v>234465.66</v>
      </c>
      <c r="U198" s="1"/>
      <c r="V198" s="5">
        <f t="shared" ref="V198:V203" si="74">IF(T$12=0,0,T198/T$12)</f>
        <v>2.0582755389524428E-2</v>
      </c>
      <c r="W198" s="1"/>
      <c r="X198" s="1">
        <f t="shared" ref="X198:X203" si="75">+P198-T198</f>
        <v>-153394.41</v>
      </c>
      <c r="Y198" s="1"/>
      <c r="Z198" s="5">
        <f t="shared" ref="Z198:Z203" si="76">IF(T198=0,0,X198/T198)</f>
        <v>-0.65422974946523083</v>
      </c>
    </row>
    <row r="199" spans="1:26" s="23" customFormat="1" hidden="1" outlineLevel="2" x14ac:dyDescent="0.25">
      <c r="A199" s="27"/>
      <c r="B199" s="10" t="str">
        <f>CONCATENATE("          ", "6381", " - ", "BANK/CREDIT CARD FEES")</f>
        <v xml:space="preserve">          6381 - BANK/CREDIT CARD FEES</v>
      </c>
      <c r="C199" s="10"/>
      <c r="D199" s="6">
        <v>4110.67</v>
      </c>
      <c r="E199" s="2"/>
      <c r="F199" s="7">
        <f t="shared" si="69"/>
        <v>8.1115687359977345E-3</v>
      </c>
      <c r="G199" s="2"/>
      <c r="H199" s="6">
        <v>5473.34</v>
      </c>
      <c r="I199" s="2"/>
      <c r="J199" s="7">
        <f t="shared" si="70"/>
        <v>2.0759194684307473E-2</v>
      </c>
      <c r="K199" s="2"/>
      <c r="L199" s="6">
        <f t="shared" si="71"/>
        <v>-1362.67</v>
      </c>
      <c r="M199" s="2"/>
      <c r="N199" s="7">
        <f t="shared" si="72"/>
        <v>-0.2489649829902765</v>
      </c>
      <c r="O199" s="10"/>
      <c r="P199" s="6">
        <v>81071.25</v>
      </c>
      <c r="Q199" s="2"/>
      <c r="R199" s="7">
        <f t="shared" si="73"/>
        <v>1.55538978203675E-2</v>
      </c>
      <c r="S199" s="2"/>
      <c r="T199" s="6">
        <v>234465.66</v>
      </c>
      <c r="U199" s="2"/>
      <c r="V199" s="7">
        <f t="shared" si="74"/>
        <v>2.0582755389524428E-2</v>
      </c>
      <c r="W199" s="2"/>
      <c r="X199" s="6">
        <f t="shared" si="75"/>
        <v>-153394.41</v>
      </c>
      <c r="Y199" s="2"/>
      <c r="Z199" s="7">
        <f t="shared" si="76"/>
        <v>-0.65422974946523083</v>
      </c>
    </row>
    <row r="200" spans="1:26" s="26" customFormat="1" outlineLevel="1" collapsed="1" x14ac:dyDescent="0.25">
      <c r="A200" s="25"/>
      <c r="B200" s="12" t="str">
        <f>CONCATENATE("     ","Depreciation                                      ")</f>
        <v xml:space="preserve">     Depreciation                                      </v>
      </c>
      <c r="C200" s="12"/>
      <c r="D200" s="1">
        <f>SUM(OSRRefD22_5x_0)</f>
        <v>39887.94</v>
      </c>
      <c r="E200" s="1"/>
      <c r="F200" s="5">
        <f t="shared" si="69"/>
        <v>7.8710713106951782E-2</v>
      </c>
      <c r="G200" s="1"/>
      <c r="H200" s="1">
        <f>SUM(OSRRefH22_5x_0)</f>
        <v>39340.21</v>
      </c>
      <c r="I200" s="1"/>
      <c r="J200" s="5">
        <f t="shared" si="70"/>
        <v>0.14920890686702079</v>
      </c>
      <c r="K200" s="1"/>
      <c r="L200" s="1">
        <f t="shared" si="71"/>
        <v>547.7300000000032</v>
      </c>
      <c r="M200" s="1"/>
      <c r="N200" s="5">
        <f t="shared" si="72"/>
        <v>1.3922904834519268E-2</v>
      </c>
      <c r="O200" s="12"/>
      <c r="P200" s="1">
        <f>SUM(OSRRefP22_5x_0)</f>
        <v>439244.11</v>
      </c>
      <c r="Q200" s="1"/>
      <c r="R200" s="5">
        <f t="shared" si="73"/>
        <v>8.427103325948794E-2</v>
      </c>
      <c r="S200" s="1"/>
      <c r="T200" s="1">
        <f>SUM(OSRRefT22_5x_0)</f>
        <v>423751.38</v>
      </c>
      <c r="U200" s="1"/>
      <c r="V200" s="5">
        <f t="shared" si="74"/>
        <v>3.719935363035002E-2</v>
      </c>
      <c r="W200" s="1"/>
      <c r="X200" s="1">
        <f t="shared" si="75"/>
        <v>15492.729999999981</v>
      </c>
      <c r="Y200" s="1"/>
      <c r="Z200" s="5">
        <f t="shared" si="76"/>
        <v>3.6560895683690711E-2</v>
      </c>
    </row>
    <row r="201" spans="1:26" s="23" customFormat="1" hidden="1" outlineLevel="2" x14ac:dyDescent="0.25">
      <c r="A201" s="27"/>
      <c r="B201" s="10" t="str">
        <f>CONCATENATE("          ", "6321", " - ", "BUILDING DEPRECIATION")</f>
        <v xml:space="preserve">          6321 - BUILDING DEPRECIATION</v>
      </c>
      <c r="C201" s="10"/>
      <c r="D201" s="6">
        <v>21477.03</v>
      </c>
      <c r="E201" s="2"/>
      <c r="F201" s="7">
        <f t="shared" si="69"/>
        <v>4.2380537744476067E-2</v>
      </c>
      <c r="G201" s="2"/>
      <c r="H201" s="6">
        <v>21477.03</v>
      </c>
      <c r="I201" s="2"/>
      <c r="J201" s="7">
        <f t="shared" si="70"/>
        <v>8.1457729103383322E-2</v>
      </c>
      <c r="K201" s="2"/>
      <c r="L201" s="6">
        <f t="shared" si="71"/>
        <v>0</v>
      </c>
      <c r="M201" s="2"/>
      <c r="N201" s="7">
        <f t="shared" si="72"/>
        <v>0</v>
      </c>
      <c r="O201" s="10"/>
      <c r="P201" s="6">
        <v>236247.33</v>
      </c>
      <c r="Q201" s="2"/>
      <c r="R201" s="7">
        <f t="shared" si="73"/>
        <v>4.5325153259073242E-2</v>
      </c>
      <c r="S201" s="2"/>
      <c r="T201" s="6">
        <v>236247.33</v>
      </c>
      <c r="U201" s="2"/>
      <c r="V201" s="7">
        <f t="shared" si="74"/>
        <v>2.0739160714700208E-2</v>
      </c>
      <c r="W201" s="2"/>
      <c r="X201" s="6">
        <f t="shared" si="75"/>
        <v>0</v>
      </c>
      <c r="Y201" s="2"/>
      <c r="Z201" s="7">
        <f t="shared" si="76"/>
        <v>0</v>
      </c>
    </row>
    <row r="202" spans="1:26" s="23" customFormat="1" hidden="1" outlineLevel="2" x14ac:dyDescent="0.25">
      <c r="A202" s="27"/>
      <c r="B202" s="10" t="str">
        <f>CONCATENATE("          ", "6322", " - ", "EQUIPMENT DEPRECIATION EXPENSE")</f>
        <v xml:space="preserve">          6322 - EQUIPMENT DEPRECIATION EXPENSE</v>
      </c>
      <c r="C202" s="10"/>
      <c r="D202" s="6">
        <v>18410.91</v>
      </c>
      <c r="E202" s="2"/>
      <c r="F202" s="7">
        <f t="shared" si="69"/>
        <v>3.6330175362475715E-2</v>
      </c>
      <c r="G202" s="2"/>
      <c r="H202" s="6">
        <v>17863.18</v>
      </c>
      <c r="I202" s="2"/>
      <c r="J202" s="7">
        <f t="shared" si="70"/>
        <v>6.7751177763637482E-2</v>
      </c>
      <c r="K202" s="2"/>
      <c r="L202" s="6">
        <f t="shared" si="71"/>
        <v>547.72999999999956</v>
      </c>
      <c r="M202" s="2"/>
      <c r="N202" s="7">
        <f t="shared" si="72"/>
        <v>3.0662513617396206E-2</v>
      </c>
      <c r="O202" s="10"/>
      <c r="P202" s="6">
        <v>202996.78</v>
      </c>
      <c r="Q202" s="2"/>
      <c r="R202" s="7">
        <f t="shared" si="73"/>
        <v>3.8945880000414705E-2</v>
      </c>
      <c r="S202" s="2"/>
      <c r="T202" s="6">
        <v>187504.05</v>
      </c>
      <c r="U202" s="2"/>
      <c r="V202" s="7">
        <f t="shared" si="74"/>
        <v>1.6460192915649811E-2</v>
      </c>
      <c r="W202" s="2"/>
      <c r="X202" s="6">
        <f t="shared" si="75"/>
        <v>15492.73000000001</v>
      </c>
      <c r="Y202" s="2"/>
      <c r="Z202" s="7">
        <f t="shared" si="76"/>
        <v>8.2626108609387433E-2</v>
      </c>
    </row>
    <row r="203" spans="1:26" s="23" customFormat="1" hidden="1" outlineLevel="2" x14ac:dyDescent="0.25">
      <c r="A203" s="27"/>
      <c r="B203" s="10" t="str">
        <f>CONCATENATE("          ", "6324", " - ", "FURNITURE + FIXT DEPRECIATION")</f>
        <v xml:space="preserve">          6324 - FURNITURE + FIXT DEPRECIATION</v>
      </c>
      <c r="C203" s="10"/>
      <c r="D203" s="6"/>
      <c r="E203" s="2"/>
      <c r="F203" s="7">
        <f t="shared" si="69"/>
        <v>0</v>
      </c>
      <c r="G203" s="2"/>
      <c r="H203" s="6"/>
      <c r="I203" s="2"/>
      <c r="J203" s="7">
        <f t="shared" si="70"/>
        <v>0</v>
      </c>
      <c r="K203" s="2"/>
      <c r="L203" s="6">
        <f t="shared" si="71"/>
        <v>0</v>
      </c>
      <c r="M203" s="2"/>
      <c r="N203" s="7">
        <f t="shared" si="72"/>
        <v>0</v>
      </c>
      <c r="O203" s="10"/>
      <c r="P203" s="6"/>
      <c r="Q203" s="2"/>
      <c r="R203" s="7">
        <f t="shared" si="73"/>
        <v>0</v>
      </c>
      <c r="S203" s="2"/>
      <c r="T203" s="6">
        <v>0</v>
      </c>
      <c r="U203" s="2"/>
      <c r="V203" s="7">
        <f t="shared" si="74"/>
        <v>0</v>
      </c>
      <c r="W203" s="2"/>
      <c r="X203" s="6">
        <f t="shared" si="75"/>
        <v>0</v>
      </c>
      <c r="Y203" s="2"/>
      <c r="Z203" s="7">
        <f t="shared" si="76"/>
        <v>0</v>
      </c>
    </row>
    <row r="204" spans="1:26" s="26" customFormat="1" outlineLevel="1" collapsed="1" x14ac:dyDescent="0.25">
      <c r="A204" s="25"/>
      <c r="B204" s="12" t="str">
        <f>CONCATENATE("     ","Discounts and Markdowns                           ")</f>
        <v xml:space="preserve">     Discounts and Markdowns                           </v>
      </c>
      <c r="C204" s="12"/>
      <c r="D204" s="1">
        <f>SUM(OSRRefD22_6x_0)</f>
        <v>0</v>
      </c>
      <c r="E204" s="1"/>
      <c r="F204" s="5">
        <f t="shared" ref="F204:F206" si="77">IF(D$12=0,0,D204/D$12)</f>
        <v>0</v>
      </c>
      <c r="G204" s="1"/>
      <c r="H204" s="1">
        <f>SUM(OSRRefH22_6x_0)</f>
        <v>43517.71</v>
      </c>
      <c r="I204" s="1"/>
      <c r="J204" s="5">
        <f t="shared" ref="J204:J206" si="78">IF(H$12=0,0,H204/H$12)</f>
        <v>0.16505326073389084</v>
      </c>
      <c r="K204" s="1"/>
      <c r="L204" s="1">
        <f t="shared" ref="L204:L206" si="79">+D204-H204</f>
        <v>-43517.71</v>
      </c>
      <c r="M204" s="1"/>
      <c r="N204" s="5">
        <f t="shared" ref="N204:N206" si="80">IF(H204=0,0,L204/H204)</f>
        <v>-1</v>
      </c>
      <c r="O204" s="12"/>
      <c r="P204" s="1">
        <f>SUM(OSRRefP22_6x_0)</f>
        <v>-15.43</v>
      </c>
      <c r="Q204" s="1"/>
      <c r="R204" s="5">
        <f t="shared" ref="R204:R206" si="81">IF(P$12=0,0,P204/P$12)</f>
        <v>-2.9603175400437335E-6</v>
      </c>
      <c r="S204" s="1"/>
      <c r="T204" s="1">
        <f>SUM(OSRRefT22_6x_0)</f>
        <v>347538.15</v>
      </c>
      <c r="U204" s="1"/>
      <c r="V204" s="5">
        <f t="shared" ref="V204:V206" si="82">IF(T$12=0,0,T204/T$12)</f>
        <v>3.0508914311707096E-2</v>
      </c>
      <c r="W204" s="1"/>
      <c r="X204" s="1">
        <f t="shared" ref="X204:X206" si="83">+P204-T204</f>
        <v>-347553.58</v>
      </c>
      <c r="Y204" s="1"/>
      <c r="Z204" s="5">
        <f t="shared" ref="Z204:Z206" si="84">IF(T204=0,0,X204/T204)</f>
        <v>-1.0000443980034996</v>
      </c>
    </row>
    <row r="205" spans="1:26" s="23" customFormat="1" hidden="1" outlineLevel="2" x14ac:dyDescent="0.25">
      <c r="A205" s="27"/>
      <c r="B205" s="10" t="str">
        <f>CONCATENATE("          ", "6382", " - ", "DISCOUNTS/MARK DOWNS")</f>
        <v xml:space="preserve">          6382 - DISCOUNTS/MARK DOWNS</v>
      </c>
      <c r="C205" s="10"/>
      <c r="D205" s="6">
        <v>0</v>
      </c>
      <c r="E205" s="2"/>
      <c r="F205" s="7">
        <f t="shared" si="77"/>
        <v>0</v>
      </c>
      <c r="G205" s="2"/>
      <c r="H205" s="6">
        <v>43517.71</v>
      </c>
      <c r="I205" s="2"/>
      <c r="J205" s="7">
        <f t="shared" si="78"/>
        <v>0.16505326073389084</v>
      </c>
      <c r="K205" s="2"/>
      <c r="L205" s="6">
        <f t="shared" si="79"/>
        <v>-43517.71</v>
      </c>
      <c r="M205" s="2"/>
      <c r="N205" s="7">
        <f t="shared" si="80"/>
        <v>-1</v>
      </c>
      <c r="O205" s="10"/>
      <c r="P205" s="6">
        <v>0</v>
      </c>
      <c r="Q205" s="2"/>
      <c r="R205" s="7">
        <f t="shared" si="81"/>
        <v>0</v>
      </c>
      <c r="S205" s="2"/>
      <c r="T205" s="6">
        <v>350769.77</v>
      </c>
      <c r="U205" s="2"/>
      <c r="V205" s="7">
        <f t="shared" si="82"/>
        <v>3.079260465668936E-2</v>
      </c>
      <c r="W205" s="2"/>
      <c r="X205" s="6">
        <f t="shared" si="83"/>
        <v>-350769.77</v>
      </c>
      <c r="Y205" s="2"/>
      <c r="Z205" s="7">
        <f t="shared" si="84"/>
        <v>-1</v>
      </c>
    </row>
    <row r="206" spans="1:26" s="23" customFormat="1" hidden="1" outlineLevel="2" x14ac:dyDescent="0.25">
      <c r="A206" s="27"/>
      <c r="B206" s="10" t="str">
        <f>CONCATENATE("          ", "9175", " - ", "EARNED DISCOUNTS")</f>
        <v xml:space="preserve">          9175 - EARNED DISCOUNTS</v>
      </c>
      <c r="C206" s="10"/>
      <c r="D206" s="6">
        <v>0</v>
      </c>
      <c r="E206" s="2"/>
      <c r="F206" s="7">
        <f t="shared" si="77"/>
        <v>0</v>
      </c>
      <c r="G206" s="2"/>
      <c r="H206" s="6"/>
      <c r="I206" s="2"/>
      <c r="J206" s="7">
        <f t="shared" si="78"/>
        <v>0</v>
      </c>
      <c r="K206" s="2"/>
      <c r="L206" s="6">
        <f t="shared" si="79"/>
        <v>0</v>
      </c>
      <c r="M206" s="2"/>
      <c r="N206" s="7">
        <f t="shared" si="80"/>
        <v>0</v>
      </c>
      <c r="O206" s="10"/>
      <c r="P206" s="6">
        <v>-15.43</v>
      </c>
      <c r="Q206" s="2"/>
      <c r="R206" s="7">
        <f t="shared" si="81"/>
        <v>-2.9603175400437335E-6</v>
      </c>
      <c r="S206" s="2"/>
      <c r="T206" s="6">
        <v>-3231.62</v>
      </c>
      <c r="U206" s="2"/>
      <c r="V206" s="7">
        <f t="shared" si="82"/>
        <v>-2.8369034498226705E-4</v>
      </c>
      <c r="W206" s="2"/>
      <c r="X206" s="6">
        <f t="shared" si="83"/>
        <v>3216.19</v>
      </c>
      <c r="Y206" s="2"/>
      <c r="Z206" s="7">
        <f t="shared" si="84"/>
        <v>-0.9952253049554094</v>
      </c>
    </row>
    <row r="207" spans="1:26" s="26" customFormat="1" outlineLevel="1" collapsed="1" x14ac:dyDescent="0.25">
      <c r="A207" s="25"/>
      <c r="B207" s="12" t="str">
        <f>CONCATENATE("     ","Donations                                         ")</f>
        <v xml:space="preserve">     Donations                                         </v>
      </c>
      <c r="C207" s="12"/>
      <c r="D207" s="1">
        <f>SUM(OSRRefD22_7x_0)</f>
        <v>0</v>
      </c>
      <c r="E207" s="1"/>
      <c r="F207" s="5">
        <f t="shared" ref="F207:F215" si="85">IF(D$12=0,0,D207/D$12)</f>
        <v>0</v>
      </c>
      <c r="G207" s="1"/>
      <c r="H207" s="1">
        <f>SUM(OSRRefH22_7x_0)</f>
        <v>-1385.81</v>
      </c>
      <c r="I207" s="1"/>
      <c r="J207" s="5">
        <f t="shared" ref="J207:J215" si="86">IF(H$12=0,0,H207/H$12)</f>
        <v>-5.2560775660675449E-3</v>
      </c>
      <c r="K207" s="1"/>
      <c r="L207" s="1">
        <f t="shared" ref="L207:L215" si="87">+D207-H207</f>
        <v>1385.81</v>
      </c>
      <c r="M207" s="1"/>
      <c r="N207" s="5">
        <f t="shared" ref="N207:N215" si="88">IF(H207=0,0,L207/H207)</f>
        <v>-1</v>
      </c>
      <c r="O207" s="12"/>
      <c r="P207" s="1">
        <f>SUM(OSRRefP22_7x_0)</f>
        <v>360.9</v>
      </c>
      <c r="Q207" s="1"/>
      <c r="R207" s="5">
        <f t="shared" ref="R207:R215" si="89">IF(P$12=0,0,P207/P$12)</f>
        <v>6.9240349980672936E-5</v>
      </c>
      <c r="S207" s="1"/>
      <c r="T207" s="1">
        <f>SUM(OSRRefT22_7x_0)</f>
        <v>10985.64</v>
      </c>
      <c r="U207" s="1"/>
      <c r="V207" s="5">
        <f t="shared" ref="V207:V215" si="90">IF(T$12=0,0,T207/T$12)</f>
        <v>9.6438318906647198E-4</v>
      </c>
      <c r="W207" s="1"/>
      <c r="X207" s="1">
        <f t="shared" ref="X207:X215" si="91">+P207-T207</f>
        <v>-10624.74</v>
      </c>
      <c r="Y207" s="1"/>
      <c r="Z207" s="5">
        <f t="shared" ref="Z207:Z215" si="92">IF(T207=0,0,X207/T207)</f>
        <v>-0.96714802232732922</v>
      </c>
    </row>
    <row r="208" spans="1:26" s="23" customFormat="1" hidden="1" outlineLevel="2" x14ac:dyDescent="0.25">
      <c r="A208" s="27"/>
      <c r="B208" s="10" t="str">
        <f>CONCATENATE("          ", "6399", " - ", "DONATION-ON CAMPUS")</f>
        <v xml:space="preserve">          6399 - DONATION-ON CAMPUS</v>
      </c>
      <c r="C208" s="10"/>
      <c r="D208" s="6"/>
      <c r="E208" s="2"/>
      <c r="F208" s="7">
        <f t="shared" si="85"/>
        <v>0</v>
      </c>
      <c r="G208" s="2"/>
      <c r="H208" s="6">
        <v>-1385.81</v>
      </c>
      <c r="I208" s="2"/>
      <c r="J208" s="7">
        <f t="shared" si="86"/>
        <v>-5.2560775660675449E-3</v>
      </c>
      <c r="K208" s="2"/>
      <c r="L208" s="6">
        <f t="shared" si="87"/>
        <v>1385.81</v>
      </c>
      <c r="M208" s="2"/>
      <c r="N208" s="7">
        <f t="shared" si="88"/>
        <v>-1</v>
      </c>
      <c r="O208" s="10"/>
      <c r="P208" s="6">
        <v>360.9</v>
      </c>
      <c r="Q208" s="2"/>
      <c r="R208" s="7">
        <f t="shared" si="89"/>
        <v>6.9240349980672936E-5</v>
      </c>
      <c r="S208" s="2"/>
      <c r="T208" s="6">
        <v>10985.64</v>
      </c>
      <c r="U208" s="2"/>
      <c r="V208" s="7">
        <f t="shared" si="90"/>
        <v>9.6438318906647198E-4</v>
      </c>
      <c r="W208" s="2"/>
      <c r="X208" s="6">
        <f t="shared" si="91"/>
        <v>-10624.74</v>
      </c>
      <c r="Y208" s="2"/>
      <c r="Z208" s="7">
        <f t="shared" si="92"/>
        <v>-0.96714802232732922</v>
      </c>
    </row>
    <row r="209" spans="1:26" s="26" customFormat="1" outlineLevel="1" collapsed="1" x14ac:dyDescent="0.25">
      <c r="A209" s="25"/>
      <c r="B209" s="12" t="str">
        <f>CONCATENATE("     ","Employees' Appreciation                           ")</f>
        <v xml:space="preserve">     Employees' Appreciation                           </v>
      </c>
      <c r="C209" s="12"/>
      <c r="D209" s="1">
        <f>SUM(OSRRefD22_8x_0)</f>
        <v>0</v>
      </c>
      <c r="E209" s="1"/>
      <c r="F209" s="5">
        <f t="shared" si="85"/>
        <v>0</v>
      </c>
      <c r="G209" s="1"/>
      <c r="H209" s="1">
        <f>SUM(OSRRefH22_8x_0)</f>
        <v>0</v>
      </c>
      <c r="I209" s="1"/>
      <c r="J209" s="5">
        <f t="shared" si="86"/>
        <v>0</v>
      </c>
      <c r="K209" s="1"/>
      <c r="L209" s="1">
        <f t="shared" si="87"/>
        <v>0</v>
      </c>
      <c r="M209" s="1"/>
      <c r="N209" s="5">
        <f t="shared" si="88"/>
        <v>0</v>
      </c>
      <c r="O209" s="12"/>
      <c r="P209" s="1">
        <f>SUM(OSRRefP22_8x_0)</f>
        <v>186.03</v>
      </c>
      <c r="Q209" s="1"/>
      <c r="R209" s="5">
        <f t="shared" si="89"/>
        <v>3.5690724042406724E-5</v>
      </c>
      <c r="S209" s="1"/>
      <c r="T209" s="1">
        <f>SUM(OSRRefT22_8x_0)</f>
        <v>1718.11</v>
      </c>
      <c r="U209" s="1"/>
      <c r="V209" s="5">
        <f t="shared" si="90"/>
        <v>1.508256597673869E-4</v>
      </c>
      <c r="W209" s="1"/>
      <c r="X209" s="1">
        <f t="shared" si="91"/>
        <v>-1532.08</v>
      </c>
      <c r="Y209" s="1"/>
      <c r="Z209" s="5">
        <f t="shared" si="92"/>
        <v>-0.89172404560825558</v>
      </c>
    </row>
    <row r="210" spans="1:26" s="23" customFormat="1" hidden="1" outlineLevel="2" x14ac:dyDescent="0.25">
      <c r="A210" s="27"/>
      <c r="B210" s="10" t="str">
        <f>CONCATENATE("          ", "6277", " - ", "EMPLOYEE APPRECIATION")</f>
        <v xml:space="preserve">          6277 - EMPLOYEE APPRECIATION</v>
      </c>
      <c r="C210" s="10"/>
      <c r="D210" s="6"/>
      <c r="E210" s="2"/>
      <c r="F210" s="7">
        <f t="shared" si="85"/>
        <v>0</v>
      </c>
      <c r="G210" s="2"/>
      <c r="H210" s="6"/>
      <c r="I210" s="2"/>
      <c r="J210" s="7">
        <f t="shared" si="86"/>
        <v>0</v>
      </c>
      <c r="K210" s="2"/>
      <c r="L210" s="6">
        <f t="shared" si="87"/>
        <v>0</v>
      </c>
      <c r="M210" s="2"/>
      <c r="N210" s="7">
        <f t="shared" si="88"/>
        <v>0</v>
      </c>
      <c r="O210" s="10"/>
      <c r="P210" s="6">
        <v>186.03</v>
      </c>
      <c r="Q210" s="2"/>
      <c r="R210" s="7">
        <f t="shared" si="89"/>
        <v>3.5690724042406724E-5</v>
      </c>
      <c r="S210" s="2"/>
      <c r="T210" s="6">
        <v>1718.11</v>
      </c>
      <c r="U210" s="2"/>
      <c r="V210" s="7">
        <f t="shared" si="90"/>
        <v>1.508256597673869E-4</v>
      </c>
      <c r="W210" s="2"/>
      <c r="X210" s="6">
        <f t="shared" si="91"/>
        <v>-1532.08</v>
      </c>
      <c r="Y210" s="2"/>
      <c r="Z210" s="7">
        <f t="shared" si="92"/>
        <v>-0.89172404560825558</v>
      </c>
    </row>
    <row r="211" spans="1:26" s="26" customFormat="1" outlineLevel="1" collapsed="1" x14ac:dyDescent="0.25">
      <c r="A211" s="25"/>
      <c r="B211" s="12" t="str">
        <f>CONCATENATE("     ","Equipment Rental                                  ")</f>
        <v xml:space="preserve">     Equipment Rental                                  </v>
      </c>
      <c r="C211" s="12"/>
      <c r="D211" s="1">
        <f>SUM(OSRRefD22_9x_0)</f>
        <v>1712.05</v>
      </c>
      <c r="E211" s="1"/>
      <c r="F211" s="5">
        <f t="shared" si="85"/>
        <v>3.3783814449870513E-3</v>
      </c>
      <c r="G211" s="1"/>
      <c r="H211" s="1">
        <f>SUM(OSRRefH22_9x_0)</f>
        <v>1723.77</v>
      </c>
      <c r="I211" s="1"/>
      <c r="J211" s="5">
        <f t="shared" si="86"/>
        <v>6.5378867420932537E-3</v>
      </c>
      <c r="K211" s="1"/>
      <c r="L211" s="1">
        <f t="shared" si="87"/>
        <v>-11.720000000000027</v>
      </c>
      <c r="M211" s="1"/>
      <c r="N211" s="5">
        <f t="shared" si="88"/>
        <v>-6.799050917465803E-3</v>
      </c>
      <c r="O211" s="12"/>
      <c r="P211" s="1">
        <f>SUM(OSRRefP22_9x_0)</f>
        <v>17163.57</v>
      </c>
      <c r="Q211" s="1"/>
      <c r="R211" s="5">
        <f t="shared" si="89"/>
        <v>3.2929110382870007E-3</v>
      </c>
      <c r="S211" s="1"/>
      <c r="T211" s="1">
        <f>SUM(OSRRefT22_9x_0)</f>
        <v>19437.75</v>
      </c>
      <c r="U211" s="1"/>
      <c r="V211" s="5">
        <f t="shared" si="90"/>
        <v>1.7063584218376731E-3</v>
      </c>
      <c r="W211" s="1"/>
      <c r="X211" s="1">
        <f t="shared" si="91"/>
        <v>-2274.1800000000003</v>
      </c>
      <c r="Y211" s="1"/>
      <c r="Z211" s="5">
        <f t="shared" si="92"/>
        <v>-0.11699810934907591</v>
      </c>
    </row>
    <row r="212" spans="1:26" s="23" customFormat="1" hidden="1" outlineLevel="2" x14ac:dyDescent="0.25">
      <c r="A212" s="27"/>
      <c r="B212" s="10" t="str">
        <f>CONCATENATE("          ", "6351", " - ", "EQUIPMENT RENTAL")</f>
        <v xml:space="preserve">          6351 - EQUIPMENT RENTAL</v>
      </c>
      <c r="C212" s="10"/>
      <c r="D212" s="6">
        <v>1712.05</v>
      </c>
      <c r="E212" s="2"/>
      <c r="F212" s="7">
        <f t="shared" si="85"/>
        <v>3.3783814449870513E-3</v>
      </c>
      <c r="G212" s="2"/>
      <c r="H212" s="6">
        <v>1723.77</v>
      </c>
      <c r="I212" s="2"/>
      <c r="J212" s="7">
        <f t="shared" si="86"/>
        <v>6.5378867420932537E-3</v>
      </c>
      <c r="K212" s="2"/>
      <c r="L212" s="6">
        <f t="shared" si="87"/>
        <v>-11.720000000000027</v>
      </c>
      <c r="M212" s="2"/>
      <c r="N212" s="7">
        <f t="shared" si="88"/>
        <v>-6.799050917465803E-3</v>
      </c>
      <c r="O212" s="10"/>
      <c r="P212" s="6">
        <v>17163.57</v>
      </c>
      <c r="Q212" s="2"/>
      <c r="R212" s="7">
        <f t="shared" si="89"/>
        <v>3.2929110382870007E-3</v>
      </c>
      <c r="S212" s="2"/>
      <c r="T212" s="6">
        <v>19437.75</v>
      </c>
      <c r="U212" s="2"/>
      <c r="V212" s="7">
        <f t="shared" si="90"/>
        <v>1.7063584218376731E-3</v>
      </c>
      <c r="W212" s="2"/>
      <c r="X212" s="6">
        <f t="shared" si="91"/>
        <v>-2274.1800000000003</v>
      </c>
      <c r="Y212" s="2"/>
      <c r="Z212" s="7">
        <f t="shared" si="92"/>
        <v>-0.11699810934907591</v>
      </c>
    </row>
    <row r="213" spans="1:26" s="26" customFormat="1" outlineLevel="1" collapsed="1" x14ac:dyDescent="0.25">
      <c r="A213" s="25"/>
      <c r="B213" s="12" t="str">
        <f>CONCATENATE("     ","Freight out/Postage                               ")</f>
        <v xml:space="preserve">     Freight out/Postage                               </v>
      </c>
      <c r="C213" s="12"/>
      <c r="D213" s="1">
        <f>SUM(OSRRefD22_10x_0)</f>
        <v>-20865.219999999998</v>
      </c>
      <c r="E213" s="1"/>
      <c r="F213" s="5">
        <f t="shared" si="85"/>
        <v>-4.1173255508643272E-2</v>
      </c>
      <c r="G213" s="1"/>
      <c r="H213" s="1">
        <f>SUM(OSRRefH22_10x_0)</f>
        <v>6098.17</v>
      </c>
      <c r="I213" s="1"/>
      <c r="J213" s="5">
        <f t="shared" si="86"/>
        <v>2.3129039717613615E-2</v>
      </c>
      <c r="K213" s="1"/>
      <c r="L213" s="1">
        <f t="shared" si="87"/>
        <v>-26963.39</v>
      </c>
      <c r="M213" s="1"/>
      <c r="N213" s="5">
        <f t="shared" si="88"/>
        <v>-4.4215543351530044</v>
      </c>
      <c r="O213" s="12"/>
      <c r="P213" s="1">
        <f>SUM(OSRRefP22_10x_0)</f>
        <v>-67606.669999999984</v>
      </c>
      <c r="Q213" s="1"/>
      <c r="R213" s="5">
        <f t="shared" si="89"/>
        <v>-1.2970655283535219E-2</v>
      </c>
      <c r="S213" s="1"/>
      <c r="T213" s="1">
        <f>SUM(OSRRefT22_10x_0)</f>
        <v>16323.549999999996</v>
      </c>
      <c r="U213" s="1"/>
      <c r="V213" s="5">
        <f t="shared" si="90"/>
        <v>1.4329758854182374E-3</v>
      </c>
      <c r="W213" s="1"/>
      <c r="X213" s="1">
        <f t="shared" si="91"/>
        <v>-83930.219999999972</v>
      </c>
      <c r="Y213" s="1"/>
      <c r="Z213" s="5">
        <f t="shared" si="92"/>
        <v>-5.141664650152693</v>
      </c>
    </row>
    <row r="214" spans="1:26" s="23" customFormat="1" hidden="1" outlineLevel="2" x14ac:dyDescent="0.25">
      <c r="A214" s="27"/>
      <c r="B214" s="10" t="str">
        <f>CONCATENATE("          ", "6305", " - ", "FREIGHT OUT")</f>
        <v xml:space="preserve">          6305 - FREIGHT OUT</v>
      </c>
      <c r="C214" s="10"/>
      <c r="D214" s="6">
        <v>22482.81</v>
      </c>
      <c r="E214" s="2"/>
      <c r="F214" s="7">
        <f t="shared" si="85"/>
        <v>4.4365239411915149E-2</v>
      </c>
      <c r="G214" s="2"/>
      <c r="H214" s="6">
        <v>7586</v>
      </c>
      <c r="I214" s="2"/>
      <c r="J214" s="7">
        <f t="shared" si="86"/>
        <v>2.8772057075781239E-2</v>
      </c>
      <c r="K214" s="2"/>
      <c r="L214" s="6">
        <f t="shared" si="87"/>
        <v>14896.810000000001</v>
      </c>
      <c r="M214" s="2"/>
      <c r="N214" s="7">
        <f t="shared" si="88"/>
        <v>1.963723965199051</v>
      </c>
      <c r="O214" s="10"/>
      <c r="P214" s="6">
        <v>224663.74</v>
      </c>
      <c r="Q214" s="2"/>
      <c r="R214" s="7">
        <f t="shared" si="89"/>
        <v>4.3102787435763117E-2</v>
      </c>
      <c r="S214" s="2"/>
      <c r="T214" s="6">
        <v>70242.37</v>
      </c>
      <c r="U214" s="2"/>
      <c r="V214" s="7">
        <f t="shared" si="90"/>
        <v>6.1662826005755766E-3</v>
      </c>
      <c r="W214" s="2"/>
      <c r="X214" s="6">
        <f t="shared" si="91"/>
        <v>154421.37</v>
      </c>
      <c r="Y214" s="2"/>
      <c r="Z214" s="7">
        <f t="shared" si="92"/>
        <v>2.198407741652225</v>
      </c>
    </row>
    <row r="215" spans="1:26" s="23" customFormat="1" hidden="1" outlineLevel="2" x14ac:dyDescent="0.25">
      <c r="A215" s="27"/>
      <c r="B215" s="10" t="str">
        <f>CONCATENATE("          ", "6307", " - ", "POSTAGE")</f>
        <v xml:space="preserve">          6307 - POSTAGE</v>
      </c>
      <c r="C215" s="10"/>
      <c r="D215" s="6">
        <v>-43348.03</v>
      </c>
      <c r="E215" s="2"/>
      <c r="F215" s="7">
        <f t="shared" si="85"/>
        <v>-8.5538494920558428E-2</v>
      </c>
      <c r="G215" s="2"/>
      <c r="H215" s="6">
        <v>-1487.83</v>
      </c>
      <c r="I215" s="2"/>
      <c r="J215" s="7">
        <f t="shared" si="86"/>
        <v>-5.6430173581676242E-3</v>
      </c>
      <c r="K215" s="2"/>
      <c r="L215" s="6">
        <f t="shared" si="87"/>
        <v>-41860.199999999997</v>
      </c>
      <c r="M215" s="2"/>
      <c r="N215" s="7">
        <f t="shared" si="88"/>
        <v>28.135069194733269</v>
      </c>
      <c r="O215" s="10"/>
      <c r="P215" s="6">
        <v>-292270.40999999997</v>
      </c>
      <c r="Q215" s="2"/>
      <c r="R215" s="7">
        <f t="shared" si="89"/>
        <v>-5.6073442719298337E-2</v>
      </c>
      <c r="S215" s="2"/>
      <c r="T215" s="6">
        <v>-53918.82</v>
      </c>
      <c r="U215" s="2"/>
      <c r="V215" s="7">
        <f t="shared" si="90"/>
        <v>-4.7333067151573392E-3</v>
      </c>
      <c r="W215" s="2"/>
      <c r="X215" s="6">
        <f t="shared" si="91"/>
        <v>-238351.58999999997</v>
      </c>
      <c r="Y215" s="2"/>
      <c r="Z215" s="7">
        <f t="shared" si="92"/>
        <v>4.4205639144180076</v>
      </c>
    </row>
    <row r="216" spans="1:26" s="26" customFormat="1" outlineLevel="1" collapsed="1" x14ac:dyDescent="0.25">
      <c r="A216" s="25"/>
      <c r="B216" s="12" t="str">
        <f>CONCATENATE("     ","General                                           ")</f>
        <v xml:space="preserve">     General                                           </v>
      </c>
      <c r="C216" s="12"/>
      <c r="D216" s="1">
        <f>SUM(OSRRefD22_11x_0)</f>
        <v>-646.37</v>
      </c>
      <c r="E216" s="1"/>
      <c r="F216" s="5">
        <f t="shared" ref="F216:F225" si="93">IF(D$12=0,0,D216/D$12)</f>
        <v>-1.2754793461617828E-3</v>
      </c>
      <c r="G216" s="1"/>
      <c r="H216" s="1">
        <f>SUM(OSRRefH22_11x_0)</f>
        <v>120.99</v>
      </c>
      <c r="I216" s="1"/>
      <c r="J216" s="5">
        <f t="shared" ref="J216:J225" si="94">IF(H$12=0,0,H216/H$12)</f>
        <v>4.5888889870798467E-4</v>
      </c>
      <c r="K216" s="1"/>
      <c r="L216" s="1">
        <f t="shared" ref="L216:L225" si="95">+D216-H216</f>
        <v>-767.36</v>
      </c>
      <c r="M216" s="1"/>
      <c r="N216" s="5">
        <f t="shared" ref="N216:N225" si="96">IF(H216=0,0,L216/H216)</f>
        <v>-6.3423423423423424</v>
      </c>
      <c r="O216" s="12"/>
      <c r="P216" s="1">
        <f>SUM(OSRRefP22_11x_0)</f>
        <v>5512.12</v>
      </c>
      <c r="Q216" s="1"/>
      <c r="R216" s="5">
        <f t="shared" ref="R216:R225" si="97">IF(P$12=0,0,P216/P$12)</f>
        <v>1.0575259571500885E-3</v>
      </c>
      <c r="S216" s="1"/>
      <c r="T216" s="1">
        <f>SUM(OSRRefT22_11x_0)</f>
        <v>9210.51</v>
      </c>
      <c r="U216" s="1"/>
      <c r="V216" s="5">
        <f t="shared" ref="V216:V225" si="98">IF(T$12=0,0,T216/T$12)</f>
        <v>8.0855198301861629E-4</v>
      </c>
      <c r="W216" s="1"/>
      <c r="X216" s="1">
        <f t="shared" ref="X216:X225" si="99">+P216-T216</f>
        <v>-3698.3900000000003</v>
      </c>
      <c r="Y216" s="1"/>
      <c r="Z216" s="5">
        <f t="shared" ref="Z216:Z225" si="100">IF(T216=0,0,X216/T216)</f>
        <v>-0.40154019701406329</v>
      </c>
    </row>
    <row r="217" spans="1:26" s="23" customFormat="1" hidden="1" outlineLevel="2" x14ac:dyDescent="0.25">
      <c r="A217" s="27"/>
      <c r="B217" s="10" t="str">
        <f>CONCATENATE("          ", "6279", " - ", "GENERAL EXPENSE")</f>
        <v xml:space="preserve">          6279 - GENERAL EXPENSE</v>
      </c>
      <c r="C217" s="10"/>
      <c r="D217" s="6">
        <v>-646.37</v>
      </c>
      <c r="E217" s="2"/>
      <c r="F217" s="7">
        <f t="shared" si="93"/>
        <v>-1.2754793461617828E-3</v>
      </c>
      <c r="G217" s="2"/>
      <c r="H217" s="6">
        <v>120.99</v>
      </c>
      <c r="I217" s="2"/>
      <c r="J217" s="7">
        <f t="shared" si="94"/>
        <v>4.5888889870798467E-4</v>
      </c>
      <c r="K217" s="2"/>
      <c r="L217" s="6">
        <f t="shared" si="95"/>
        <v>-767.36</v>
      </c>
      <c r="M217" s="2"/>
      <c r="N217" s="7">
        <f t="shared" si="96"/>
        <v>-6.3423423423423424</v>
      </c>
      <c r="O217" s="10"/>
      <c r="P217" s="6">
        <v>5512.12</v>
      </c>
      <c r="Q217" s="2"/>
      <c r="R217" s="7">
        <f t="shared" si="97"/>
        <v>1.0575259571500885E-3</v>
      </c>
      <c r="S217" s="2"/>
      <c r="T217" s="6">
        <v>9210.51</v>
      </c>
      <c r="U217" s="2"/>
      <c r="V217" s="7">
        <f t="shared" si="98"/>
        <v>8.0855198301861629E-4</v>
      </c>
      <c r="W217" s="2"/>
      <c r="X217" s="6">
        <f t="shared" si="99"/>
        <v>-3698.3900000000003</v>
      </c>
      <c r="Y217" s="2"/>
      <c r="Z217" s="7">
        <f t="shared" si="100"/>
        <v>-0.40154019701406329</v>
      </c>
    </row>
    <row r="218" spans="1:26" s="26" customFormat="1" outlineLevel="1" collapsed="1" x14ac:dyDescent="0.25">
      <c r="A218" s="25"/>
      <c r="B218" s="12" t="str">
        <f>CONCATENATE("     ","Insurance                                         ")</f>
        <v xml:space="preserve">     Insurance                                         </v>
      </c>
      <c r="C218" s="12"/>
      <c r="D218" s="1">
        <f>SUM(OSRRefD22_12x_0)</f>
        <v>4288.28</v>
      </c>
      <c r="E218" s="1"/>
      <c r="F218" s="5">
        <f t="shared" si="93"/>
        <v>8.4620458414818907E-3</v>
      </c>
      <c r="G218" s="1"/>
      <c r="H218" s="1">
        <f>SUM(OSRRefH22_12x_0)</f>
        <v>4288.28</v>
      </c>
      <c r="I218" s="1"/>
      <c r="J218" s="5">
        <f t="shared" si="94"/>
        <v>1.6264518444098493E-2</v>
      </c>
      <c r="K218" s="1"/>
      <c r="L218" s="1">
        <f t="shared" si="95"/>
        <v>0</v>
      </c>
      <c r="M218" s="1"/>
      <c r="N218" s="5">
        <f t="shared" si="96"/>
        <v>0</v>
      </c>
      <c r="O218" s="12"/>
      <c r="P218" s="1">
        <f>SUM(OSRRefP22_12x_0)</f>
        <v>47171.08</v>
      </c>
      <c r="Q218" s="1"/>
      <c r="R218" s="5">
        <f t="shared" si="97"/>
        <v>9.0499919317437571E-3</v>
      </c>
      <c r="S218" s="1"/>
      <c r="T218" s="1">
        <f>SUM(OSRRefT22_12x_0)</f>
        <v>47171.08</v>
      </c>
      <c r="U218" s="1"/>
      <c r="V218" s="5">
        <f t="shared" si="98"/>
        <v>4.140950965270087E-3</v>
      </c>
      <c r="W218" s="1"/>
      <c r="X218" s="1">
        <f t="shared" si="99"/>
        <v>0</v>
      </c>
      <c r="Y218" s="1"/>
      <c r="Z218" s="5">
        <f t="shared" si="100"/>
        <v>0</v>
      </c>
    </row>
    <row r="219" spans="1:26" s="23" customFormat="1" hidden="1" outlineLevel="2" x14ac:dyDescent="0.25">
      <c r="A219" s="27"/>
      <c r="B219" s="10" t="str">
        <f>CONCATENATE("          ", "6314", " - ", "LIABILITY INSURANCE")</f>
        <v xml:space="preserve">          6314 - LIABILITY INSURANCE</v>
      </c>
      <c r="C219" s="10"/>
      <c r="D219" s="6">
        <v>4288.28</v>
      </c>
      <c r="E219" s="2"/>
      <c r="F219" s="7">
        <f t="shared" si="93"/>
        <v>8.4620458414818907E-3</v>
      </c>
      <c r="G219" s="2"/>
      <c r="H219" s="6">
        <v>4288.28</v>
      </c>
      <c r="I219" s="2"/>
      <c r="J219" s="7">
        <f t="shared" si="94"/>
        <v>1.6264518444098493E-2</v>
      </c>
      <c r="K219" s="2"/>
      <c r="L219" s="6">
        <f t="shared" si="95"/>
        <v>0</v>
      </c>
      <c r="M219" s="2"/>
      <c r="N219" s="7">
        <f t="shared" si="96"/>
        <v>0</v>
      </c>
      <c r="O219" s="10"/>
      <c r="P219" s="6">
        <v>47171.08</v>
      </c>
      <c r="Q219" s="2"/>
      <c r="R219" s="7">
        <f t="shared" si="97"/>
        <v>9.0499919317437571E-3</v>
      </c>
      <c r="S219" s="2"/>
      <c r="T219" s="6">
        <v>47171.08</v>
      </c>
      <c r="U219" s="2"/>
      <c r="V219" s="7">
        <f t="shared" si="98"/>
        <v>4.140950965270087E-3</v>
      </c>
      <c r="W219" s="2"/>
      <c r="X219" s="6">
        <f t="shared" si="99"/>
        <v>0</v>
      </c>
      <c r="Y219" s="2"/>
      <c r="Z219" s="7">
        <f t="shared" si="100"/>
        <v>0</v>
      </c>
    </row>
    <row r="220" spans="1:26" s="26" customFormat="1" outlineLevel="1" collapsed="1" x14ac:dyDescent="0.25">
      <c r="A220" s="25"/>
      <c r="B220" s="12" t="str">
        <f>CONCATENATE("     ","Interest                                          ")</f>
        <v xml:space="preserve">     Interest                                          </v>
      </c>
      <c r="C220" s="12"/>
      <c r="D220" s="1">
        <f>SUM(OSRRefD22_13x_0)</f>
        <v>4044</v>
      </c>
      <c r="E220" s="1"/>
      <c r="F220" s="5">
        <f t="shared" si="93"/>
        <v>7.9800090905800848E-3</v>
      </c>
      <c r="G220" s="1"/>
      <c r="H220" s="1">
        <f>SUM(OSRRefH22_13x_0)</f>
        <v>4175</v>
      </c>
      <c r="I220" s="1"/>
      <c r="J220" s="5">
        <f t="shared" si="94"/>
        <v>1.5834871907643905E-2</v>
      </c>
      <c r="K220" s="1"/>
      <c r="L220" s="1">
        <f t="shared" si="95"/>
        <v>-131</v>
      </c>
      <c r="M220" s="1"/>
      <c r="N220" s="5">
        <f t="shared" si="96"/>
        <v>-3.1377245508982035E-2</v>
      </c>
      <c r="O220" s="12"/>
      <c r="P220" s="1">
        <f>SUM(OSRRefP22_13x_0)</f>
        <v>43390.85</v>
      </c>
      <c r="Q220" s="1"/>
      <c r="R220" s="5">
        <f t="shared" si="97"/>
        <v>8.3247371569933008E-3</v>
      </c>
      <c r="S220" s="1"/>
      <c r="T220" s="1">
        <f>SUM(OSRRefT22_13x_0)</f>
        <v>44668.77</v>
      </c>
      <c r="U220" s="1"/>
      <c r="V220" s="5">
        <f t="shared" si="98"/>
        <v>3.9212836816313618E-3</v>
      </c>
      <c r="W220" s="1"/>
      <c r="X220" s="1">
        <f t="shared" si="99"/>
        <v>-1277.9199999999983</v>
      </c>
      <c r="Y220" s="1"/>
      <c r="Z220" s="5">
        <f t="shared" si="100"/>
        <v>-2.8608802078051363E-2</v>
      </c>
    </row>
    <row r="221" spans="1:26" s="23" customFormat="1" hidden="1" outlineLevel="2" x14ac:dyDescent="0.25">
      <c r="A221" s="27"/>
      <c r="B221" s="10" t="str">
        <f>CONCATENATE("          ", "6401", " - ", "INTEREST EXPENSE")</f>
        <v xml:space="preserve">          6401 - INTEREST EXPENSE</v>
      </c>
      <c r="C221" s="10"/>
      <c r="D221" s="6">
        <v>4044</v>
      </c>
      <c r="E221" s="2"/>
      <c r="F221" s="7">
        <f t="shared" si="93"/>
        <v>7.9800090905800848E-3</v>
      </c>
      <c r="G221" s="2"/>
      <c r="H221" s="6">
        <v>4175</v>
      </c>
      <c r="I221" s="2"/>
      <c r="J221" s="7">
        <f t="shared" si="94"/>
        <v>1.5834871907643905E-2</v>
      </c>
      <c r="K221" s="2"/>
      <c r="L221" s="6">
        <f t="shared" si="95"/>
        <v>-131</v>
      </c>
      <c r="M221" s="2"/>
      <c r="N221" s="7">
        <f t="shared" si="96"/>
        <v>-3.1377245508982035E-2</v>
      </c>
      <c r="O221" s="10"/>
      <c r="P221" s="6">
        <v>43390.85</v>
      </c>
      <c r="Q221" s="2"/>
      <c r="R221" s="7">
        <f t="shared" si="97"/>
        <v>8.3247371569933008E-3</v>
      </c>
      <c r="S221" s="2"/>
      <c r="T221" s="6">
        <v>44668.77</v>
      </c>
      <c r="U221" s="2"/>
      <c r="V221" s="7">
        <f t="shared" si="98"/>
        <v>3.9212836816313618E-3</v>
      </c>
      <c r="W221" s="2"/>
      <c r="X221" s="6">
        <f t="shared" si="99"/>
        <v>-1277.9199999999983</v>
      </c>
      <c r="Y221" s="2"/>
      <c r="Z221" s="7">
        <f t="shared" si="100"/>
        <v>-2.8608802078051363E-2</v>
      </c>
    </row>
    <row r="222" spans="1:26" s="26" customFormat="1" outlineLevel="1" collapsed="1" x14ac:dyDescent="0.25">
      <c r="A222" s="25"/>
      <c r="B222" s="12" t="str">
        <f>CONCATENATE("     ","Inventory Adjustment                              ")</f>
        <v xml:space="preserve">     Inventory Adjustment                              </v>
      </c>
      <c r="C222" s="12"/>
      <c r="D222" s="1">
        <f>SUM(OSRRefD22_14x_0)</f>
        <v>2100</v>
      </c>
      <c r="E222" s="1"/>
      <c r="F222" s="5">
        <f t="shared" si="93"/>
        <v>4.1439216345742283E-3</v>
      </c>
      <c r="G222" s="1"/>
      <c r="H222" s="1">
        <f>SUM(OSRRefH22_14x_0)</f>
        <v>4550</v>
      </c>
      <c r="I222" s="1"/>
      <c r="J222" s="5">
        <f t="shared" si="94"/>
        <v>1.7257165791564017E-2</v>
      </c>
      <c r="K222" s="1"/>
      <c r="L222" s="1">
        <f t="shared" si="95"/>
        <v>-2450</v>
      </c>
      <c r="M222" s="1"/>
      <c r="N222" s="5">
        <f t="shared" si="96"/>
        <v>-0.53846153846153844</v>
      </c>
      <c r="O222" s="12"/>
      <c r="P222" s="1">
        <f>SUM(OSRRefP22_14x_0)</f>
        <v>28100</v>
      </c>
      <c r="Q222" s="1"/>
      <c r="R222" s="5">
        <f t="shared" si="97"/>
        <v>5.3911161941172332E-3</v>
      </c>
      <c r="S222" s="1"/>
      <c r="T222" s="1">
        <f>SUM(OSRRefT22_14x_0)</f>
        <v>53350</v>
      </c>
      <c r="U222" s="1"/>
      <c r="V222" s="5">
        <f t="shared" si="98"/>
        <v>4.6833723967557904E-3</v>
      </c>
      <c r="W222" s="1"/>
      <c r="X222" s="1">
        <f t="shared" si="99"/>
        <v>-25250</v>
      </c>
      <c r="Y222" s="1"/>
      <c r="Z222" s="5">
        <f t="shared" si="100"/>
        <v>-0.4732895970009372</v>
      </c>
    </row>
    <row r="223" spans="1:26" s="23" customFormat="1" hidden="1" outlineLevel="2" x14ac:dyDescent="0.25">
      <c r="A223" s="27"/>
      <c r="B223" s="10" t="str">
        <f>CONCATENATE("          ", "6408", " - ", "INVENTORY ADJUSTMENT")</f>
        <v xml:space="preserve">          6408 - INVENTORY ADJUSTMENT</v>
      </c>
      <c r="C223" s="10"/>
      <c r="D223" s="6">
        <v>2100</v>
      </c>
      <c r="E223" s="2"/>
      <c r="F223" s="7">
        <f t="shared" si="93"/>
        <v>4.1439216345742283E-3</v>
      </c>
      <c r="G223" s="2"/>
      <c r="H223" s="6">
        <v>4550</v>
      </c>
      <c r="I223" s="2"/>
      <c r="J223" s="7">
        <f t="shared" si="94"/>
        <v>1.7257165791564017E-2</v>
      </c>
      <c r="K223" s="2"/>
      <c r="L223" s="6">
        <f t="shared" si="95"/>
        <v>-2450</v>
      </c>
      <c r="M223" s="2"/>
      <c r="N223" s="7">
        <f t="shared" si="96"/>
        <v>-0.53846153846153844</v>
      </c>
      <c r="O223" s="10"/>
      <c r="P223" s="6">
        <v>28100</v>
      </c>
      <c r="Q223" s="2"/>
      <c r="R223" s="7">
        <f t="shared" si="97"/>
        <v>5.3911161941172332E-3</v>
      </c>
      <c r="S223" s="2"/>
      <c r="T223" s="6">
        <v>53350</v>
      </c>
      <c r="U223" s="2"/>
      <c r="V223" s="7">
        <f t="shared" si="98"/>
        <v>4.6833723967557904E-3</v>
      </c>
      <c r="W223" s="2"/>
      <c r="X223" s="6">
        <f t="shared" si="99"/>
        <v>-25250</v>
      </c>
      <c r="Y223" s="2"/>
      <c r="Z223" s="7">
        <f t="shared" si="100"/>
        <v>-0.4732895970009372</v>
      </c>
    </row>
    <row r="224" spans="1:26" s="23" customFormat="1" hidden="1" outlineLevel="2" x14ac:dyDescent="0.25">
      <c r="A224" s="27"/>
      <c r="B224" s="10" t="str">
        <f>CONCATENATE("          ", "7701", " - ", "INV. SHRINKAGE-NEW TEXT")</f>
        <v xml:space="preserve">          7701 - INV. SHRINKAGE-NEW TEXT</v>
      </c>
      <c r="C224" s="10"/>
      <c r="D224" s="6"/>
      <c r="E224" s="2"/>
      <c r="F224" s="7">
        <f t="shared" si="93"/>
        <v>0</v>
      </c>
      <c r="G224" s="2"/>
      <c r="H224" s="6"/>
      <c r="I224" s="2"/>
      <c r="J224" s="7">
        <f t="shared" si="94"/>
        <v>0</v>
      </c>
      <c r="K224" s="2"/>
      <c r="L224" s="6">
        <f t="shared" si="95"/>
        <v>0</v>
      </c>
      <c r="M224" s="2"/>
      <c r="N224" s="7">
        <f t="shared" si="96"/>
        <v>0</v>
      </c>
      <c r="O224" s="10"/>
      <c r="P224" s="6"/>
      <c r="Q224" s="2"/>
      <c r="R224" s="7">
        <f t="shared" si="97"/>
        <v>0</v>
      </c>
      <c r="S224" s="2"/>
      <c r="T224" s="6">
        <v>0</v>
      </c>
      <c r="U224" s="2"/>
      <c r="V224" s="7">
        <f t="shared" si="98"/>
        <v>0</v>
      </c>
      <c r="W224" s="2"/>
      <c r="X224" s="6">
        <f t="shared" si="99"/>
        <v>0</v>
      </c>
      <c r="Y224" s="2"/>
      <c r="Z224" s="7">
        <f t="shared" si="100"/>
        <v>0</v>
      </c>
    </row>
    <row r="225" spans="1:26" s="23" customFormat="1" hidden="1" outlineLevel="2" x14ac:dyDescent="0.25">
      <c r="A225" s="27"/>
      <c r="B225" s="10" t="str">
        <f>CONCATENATE("          ", "7741", " - ", "INV. SHRINKAGE-LOGO GIFTS")</f>
        <v xml:space="preserve">          7741 - INV. SHRINKAGE-LOGO GIFTS</v>
      </c>
      <c r="C225" s="10"/>
      <c r="D225" s="6"/>
      <c r="E225" s="2"/>
      <c r="F225" s="7">
        <f t="shared" si="93"/>
        <v>0</v>
      </c>
      <c r="G225" s="2"/>
      <c r="H225" s="6"/>
      <c r="I225" s="2"/>
      <c r="J225" s="7">
        <f t="shared" si="94"/>
        <v>0</v>
      </c>
      <c r="K225" s="2"/>
      <c r="L225" s="6">
        <f t="shared" si="95"/>
        <v>0</v>
      </c>
      <c r="M225" s="2"/>
      <c r="N225" s="7">
        <f t="shared" si="96"/>
        <v>0</v>
      </c>
      <c r="O225" s="10"/>
      <c r="P225" s="6">
        <v>0</v>
      </c>
      <c r="Q225" s="2"/>
      <c r="R225" s="7">
        <f t="shared" si="97"/>
        <v>0</v>
      </c>
      <c r="S225" s="2"/>
      <c r="T225" s="6"/>
      <c r="U225" s="2"/>
      <c r="V225" s="7">
        <f t="shared" si="98"/>
        <v>0</v>
      </c>
      <c r="W225" s="2"/>
      <c r="X225" s="6">
        <f t="shared" si="99"/>
        <v>0</v>
      </c>
      <c r="Y225" s="2"/>
      <c r="Z225" s="7">
        <f t="shared" si="100"/>
        <v>0</v>
      </c>
    </row>
    <row r="226" spans="1:26" s="26" customFormat="1" outlineLevel="1" collapsed="1" x14ac:dyDescent="0.25">
      <c r="A226" s="25"/>
      <c r="B226" s="12" t="str">
        <f>CONCATENATE("     ","Professional Services                             ")</f>
        <v xml:space="preserve">     Professional Services                             </v>
      </c>
      <c r="C226" s="12"/>
      <c r="D226" s="1">
        <f>SUM(OSRRefD22_15x_0)</f>
        <v>0</v>
      </c>
      <c r="E226" s="1"/>
      <c r="F226" s="5">
        <f t="shared" ref="F226:F234" si="101">IF(D$12=0,0,D226/D$12)</f>
        <v>0</v>
      </c>
      <c r="G226" s="1"/>
      <c r="H226" s="1">
        <f>SUM(OSRRefH22_15x_0)</f>
        <v>0</v>
      </c>
      <c r="I226" s="1"/>
      <c r="J226" s="5">
        <f t="shared" ref="J226:J234" si="102">IF(H$12=0,0,H226/H$12)</f>
        <v>0</v>
      </c>
      <c r="K226" s="1"/>
      <c r="L226" s="1">
        <f t="shared" ref="L226:L234" si="103">+D226-H226</f>
        <v>0</v>
      </c>
      <c r="M226" s="1"/>
      <c r="N226" s="5">
        <f t="shared" ref="N226:N234" si="104">IF(H226=0,0,L226/H226)</f>
        <v>0</v>
      </c>
      <c r="O226" s="12"/>
      <c r="P226" s="1">
        <f>SUM(OSRRefP22_15x_0)</f>
        <v>0</v>
      </c>
      <c r="Q226" s="1"/>
      <c r="R226" s="5">
        <f t="shared" ref="R226:R234" si="105">IF(P$12=0,0,P226/P$12)</f>
        <v>0</v>
      </c>
      <c r="S226" s="1"/>
      <c r="T226" s="1">
        <f>SUM(OSRRefT22_15x_0)</f>
        <v>9129.56</v>
      </c>
      <c r="U226" s="1"/>
      <c r="V226" s="5">
        <f t="shared" ref="V226:V234" si="106">IF(T$12=0,0,T226/T$12)</f>
        <v>8.0144572255905883E-4</v>
      </c>
      <c r="W226" s="1"/>
      <c r="X226" s="1">
        <f t="shared" ref="X226:X234" si="107">+P226-T226</f>
        <v>-9129.56</v>
      </c>
      <c r="Y226" s="1"/>
      <c r="Z226" s="5">
        <f t="shared" ref="Z226:Z234" si="108">IF(T226=0,0,X226/T226)</f>
        <v>-1</v>
      </c>
    </row>
    <row r="227" spans="1:26" s="23" customFormat="1" hidden="1" outlineLevel="2" x14ac:dyDescent="0.25">
      <c r="A227" s="27"/>
      <c r="B227" s="10" t="str">
        <f>CONCATENATE("          ", "6336", " - ", "PROFESSIONAL SERVICES")</f>
        <v xml:space="preserve">          6336 - PROFESSIONAL SERVICES</v>
      </c>
      <c r="C227" s="10"/>
      <c r="D227" s="6"/>
      <c r="E227" s="2"/>
      <c r="F227" s="7">
        <f t="shared" si="101"/>
        <v>0</v>
      </c>
      <c r="G227" s="2"/>
      <c r="H227" s="6"/>
      <c r="I227" s="2"/>
      <c r="J227" s="7">
        <f t="shared" si="102"/>
        <v>0</v>
      </c>
      <c r="K227" s="2"/>
      <c r="L227" s="6">
        <f t="shared" si="103"/>
        <v>0</v>
      </c>
      <c r="M227" s="2"/>
      <c r="N227" s="7">
        <f t="shared" si="104"/>
        <v>0</v>
      </c>
      <c r="O227" s="10"/>
      <c r="P227" s="6"/>
      <c r="Q227" s="2"/>
      <c r="R227" s="7">
        <f t="shared" si="105"/>
        <v>0</v>
      </c>
      <c r="S227" s="2"/>
      <c r="T227" s="6">
        <v>9129.56</v>
      </c>
      <c r="U227" s="2"/>
      <c r="V227" s="7">
        <f t="shared" si="106"/>
        <v>8.0144572255905883E-4</v>
      </c>
      <c r="W227" s="2"/>
      <c r="X227" s="6">
        <f t="shared" si="107"/>
        <v>-9129.56</v>
      </c>
      <c r="Y227" s="2"/>
      <c r="Z227" s="7">
        <f t="shared" si="108"/>
        <v>-1</v>
      </c>
    </row>
    <row r="228" spans="1:26" s="26" customFormat="1" outlineLevel="1" collapsed="1" x14ac:dyDescent="0.25">
      <c r="A228" s="25"/>
      <c r="B228" s="12" t="str">
        <f>CONCATENATE("     ","Rent                                              ")</f>
        <v xml:space="preserve">     Rent                                              </v>
      </c>
      <c r="C228" s="12"/>
      <c r="D228" s="1">
        <f>SUM(OSRRefD22_16x_0)</f>
        <v>6100</v>
      </c>
      <c r="E228" s="1"/>
      <c r="F228" s="5">
        <f t="shared" si="101"/>
        <v>1.2037105700429901E-2</v>
      </c>
      <c r="G228" s="1"/>
      <c r="H228" s="1">
        <f>SUM(OSRRefH22_16x_0)</f>
        <v>7250</v>
      </c>
      <c r="I228" s="1"/>
      <c r="J228" s="5">
        <f t="shared" si="102"/>
        <v>2.7497681755788816E-2</v>
      </c>
      <c r="K228" s="1"/>
      <c r="L228" s="1">
        <f t="shared" si="103"/>
        <v>-1150</v>
      </c>
      <c r="M228" s="1"/>
      <c r="N228" s="5">
        <f t="shared" si="104"/>
        <v>-0.15862068965517243</v>
      </c>
      <c r="O228" s="12"/>
      <c r="P228" s="1">
        <f>SUM(OSRRefP22_16x_0)</f>
        <v>67100</v>
      </c>
      <c r="Q228" s="1"/>
      <c r="R228" s="5">
        <f t="shared" si="105"/>
        <v>1.287344827847923E-2</v>
      </c>
      <c r="S228" s="1"/>
      <c r="T228" s="1">
        <f>SUM(OSRRefT22_16x_0)</f>
        <v>81350</v>
      </c>
      <c r="U228" s="1"/>
      <c r="V228" s="5">
        <f t="shared" si="106"/>
        <v>7.1413747793080328E-3</v>
      </c>
      <c r="W228" s="1"/>
      <c r="X228" s="1">
        <f t="shared" si="107"/>
        <v>-14250</v>
      </c>
      <c r="Y228" s="1"/>
      <c r="Z228" s="5">
        <f t="shared" si="108"/>
        <v>-0.17516902274124155</v>
      </c>
    </row>
    <row r="229" spans="1:26" s="23" customFormat="1" hidden="1" outlineLevel="2" x14ac:dyDescent="0.25">
      <c r="A229" s="27"/>
      <c r="B229" s="10" t="str">
        <f>CONCATENATE("          ", "6273", " - ", "RENT")</f>
        <v xml:space="preserve">          6273 - RENT</v>
      </c>
      <c r="C229" s="10"/>
      <c r="D229" s="6">
        <v>6100</v>
      </c>
      <c r="E229" s="2"/>
      <c r="F229" s="7">
        <f t="shared" si="101"/>
        <v>1.2037105700429901E-2</v>
      </c>
      <c r="G229" s="2"/>
      <c r="H229" s="6">
        <v>7250</v>
      </c>
      <c r="I229" s="2"/>
      <c r="J229" s="7">
        <f t="shared" si="102"/>
        <v>2.7497681755788816E-2</v>
      </c>
      <c r="K229" s="2"/>
      <c r="L229" s="6">
        <f t="shared" si="103"/>
        <v>-1150</v>
      </c>
      <c r="M229" s="2"/>
      <c r="N229" s="7">
        <f t="shared" si="104"/>
        <v>-0.15862068965517243</v>
      </c>
      <c r="O229" s="10"/>
      <c r="P229" s="6">
        <v>67100</v>
      </c>
      <c r="Q229" s="2"/>
      <c r="R229" s="7">
        <f t="shared" si="105"/>
        <v>1.287344827847923E-2</v>
      </c>
      <c r="S229" s="2"/>
      <c r="T229" s="6">
        <v>81350</v>
      </c>
      <c r="U229" s="2"/>
      <c r="V229" s="7">
        <f t="shared" si="106"/>
        <v>7.1413747793080328E-3</v>
      </c>
      <c r="W229" s="2"/>
      <c r="X229" s="6">
        <f t="shared" si="107"/>
        <v>-14250</v>
      </c>
      <c r="Y229" s="2"/>
      <c r="Z229" s="7">
        <f t="shared" si="108"/>
        <v>-0.17516902274124155</v>
      </c>
    </row>
    <row r="230" spans="1:26" s="26" customFormat="1" outlineLevel="1" collapsed="1" x14ac:dyDescent="0.25">
      <c r="A230" s="25"/>
      <c r="B230" s="12" t="str">
        <f>CONCATENATE("     ","Repair and Maintenance                            ")</f>
        <v xml:space="preserve">     Repair and Maintenance                            </v>
      </c>
      <c r="C230" s="12"/>
      <c r="D230" s="1">
        <f>SUM(OSRRefD22_17x_0)</f>
        <v>9444.35</v>
      </c>
      <c r="E230" s="1"/>
      <c r="F230" s="5">
        <f t="shared" si="101"/>
        <v>1.8636498233091006E-2</v>
      </c>
      <c r="G230" s="1"/>
      <c r="H230" s="1">
        <f>SUM(OSRRefH22_17x_0)</f>
        <v>5388.07</v>
      </c>
      <c r="I230" s="1"/>
      <c r="J230" s="5">
        <f t="shared" si="102"/>
        <v>2.043578401902249E-2</v>
      </c>
      <c r="K230" s="1"/>
      <c r="L230" s="1">
        <f t="shared" si="103"/>
        <v>4056.2800000000007</v>
      </c>
      <c r="M230" s="1"/>
      <c r="N230" s="5">
        <f t="shared" si="104"/>
        <v>0.75282615110791073</v>
      </c>
      <c r="O230" s="12"/>
      <c r="P230" s="1">
        <f>SUM(OSRRefP22_17x_0)</f>
        <v>145186.34</v>
      </c>
      <c r="Q230" s="1"/>
      <c r="R230" s="5">
        <f t="shared" si="105"/>
        <v>2.7854677179309985E-2</v>
      </c>
      <c r="S230" s="1"/>
      <c r="T230" s="1">
        <f>SUM(OSRRefT22_17x_0)</f>
        <v>151255</v>
      </c>
      <c r="U230" s="1"/>
      <c r="V230" s="5">
        <f t="shared" si="106"/>
        <v>1.3278041084747836E-2</v>
      </c>
      <c r="W230" s="1"/>
      <c r="X230" s="1">
        <f t="shared" si="107"/>
        <v>-6068.6600000000035</v>
      </c>
      <c r="Y230" s="1"/>
      <c r="Z230" s="5">
        <f t="shared" si="108"/>
        <v>-4.0122045552213173E-2</v>
      </c>
    </row>
    <row r="231" spans="1:26" s="23" customFormat="1" hidden="1" outlineLevel="2" x14ac:dyDescent="0.25">
      <c r="A231" s="27"/>
      <c r="B231" s="10" t="str">
        <f>CONCATENATE("          ", "6371", " - ", "COMPUTER SOFTWARE MAINTENANCE")</f>
        <v xml:space="preserve">          6371 - COMPUTER SOFTWARE MAINTENANCE</v>
      </c>
      <c r="C231" s="10"/>
      <c r="D231" s="6"/>
      <c r="E231" s="2"/>
      <c r="F231" s="7">
        <f t="shared" si="101"/>
        <v>0</v>
      </c>
      <c r="G231" s="2"/>
      <c r="H231" s="6"/>
      <c r="I231" s="2"/>
      <c r="J231" s="7">
        <f t="shared" si="102"/>
        <v>0</v>
      </c>
      <c r="K231" s="2"/>
      <c r="L231" s="6">
        <f t="shared" si="103"/>
        <v>0</v>
      </c>
      <c r="M231" s="2"/>
      <c r="N231" s="7">
        <f t="shared" si="104"/>
        <v>0</v>
      </c>
      <c r="O231" s="10"/>
      <c r="P231" s="6">
        <v>59767.72</v>
      </c>
      <c r="Q231" s="2"/>
      <c r="R231" s="7">
        <f t="shared" si="105"/>
        <v>1.1466716127311902E-2</v>
      </c>
      <c r="S231" s="2"/>
      <c r="T231" s="6">
        <v>17729.43</v>
      </c>
      <c r="U231" s="2"/>
      <c r="V231" s="7">
        <f t="shared" si="106"/>
        <v>1.5563921850461858E-3</v>
      </c>
      <c r="W231" s="2"/>
      <c r="X231" s="6">
        <f t="shared" si="107"/>
        <v>42038.29</v>
      </c>
      <c r="Y231" s="2"/>
      <c r="Z231" s="7">
        <f t="shared" si="108"/>
        <v>2.3711021730535049</v>
      </c>
    </row>
    <row r="232" spans="1:26" s="23" customFormat="1" hidden="1" outlineLevel="2" x14ac:dyDescent="0.25">
      <c r="A232" s="27"/>
      <c r="B232" s="10" t="str">
        <f>CONCATENATE("          ", "6372", " - ", "COMPUTER HARDWARE MAINTENANCE")</f>
        <v xml:space="preserve">          6372 - COMPUTER HARDWARE MAINTENANCE</v>
      </c>
      <c r="C232" s="10"/>
      <c r="D232" s="6"/>
      <c r="E232" s="2"/>
      <c r="F232" s="7">
        <f t="shared" si="101"/>
        <v>0</v>
      </c>
      <c r="G232" s="2"/>
      <c r="H232" s="6"/>
      <c r="I232" s="2"/>
      <c r="J232" s="7">
        <f t="shared" si="102"/>
        <v>0</v>
      </c>
      <c r="K232" s="2"/>
      <c r="L232" s="6">
        <f t="shared" si="103"/>
        <v>0</v>
      </c>
      <c r="M232" s="2"/>
      <c r="N232" s="7">
        <f t="shared" si="104"/>
        <v>0</v>
      </c>
      <c r="O232" s="10"/>
      <c r="P232" s="6">
        <v>-1.1499999999999999</v>
      </c>
      <c r="Q232" s="2"/>
      <c r="R232" s="7">
        <f t="shared" si="105"/>
        <v>-2.2063286915426399E-7</v>
      </c>
      <c r="S232" s="2"/>
      <c r="T232" s="6">
        <v>52.32</v>
      </c>
      <c r="U232" s="2"/>
      <c r="V232" s="7">
        <f t="shared" si="106"/>
        <v>4.5929530233976187E-6</v>
      </c>
      <c r="W232" s="2"/>
      <c r="X232" s="6">
        <f t="shared" si="107"/>
        <v>-53.47</v>
      </c>
      <c r="Y232" s="2"/>
      <c r="Z232" s="7">
        <f t="shared" si="108"/>
        <v>-1.0219801223241589</v>
      </c>
    </row>
    <row r="233" spans="1:26" s="23" customFormat="1" hidden="1" outlineLevel="2" x14ac:dyDescent="0.25">
      <c r="A233" s="27"/>
      <c r="B233" s="10" t="str">
        <f>CONCATENATE("          ", "6373", " - ", "MAINTENANCE CONTRACTS")</f>
        <v xml:space="preserve">          6373 - MAINTENANCE CONTRACTS</v>
      </c>
      <c r="C233" s="10"/>
      <c r="D233" s="6">
        <v>3187.44</v>
      </c>
      <c r="E233" s="2"/>
      <c r="F233" s="7">
        <f t="shared" si="101"/>
        <v>6.2897626547177522E-3</v>
      </c>
      <c r="G233" s="2"/>
      <c r="H233" s="6">
        <v>3743.93</v>
      </c>
      <c r="I233" s="2"/>
      <c r="J233" s="7">
        <f t="shared" si="102"/>
        <v>1.4199916642200059E-2</v>
      </c>
      <c r="K233" s="2"/>
      <c r="L233" s="6">
        <f t="shared" si="103"/>
        <v>-556.48999999999978</v>
      </c>
      <c r="M233" s="2"/>
      <c r="N233" s="7">
        <f t="shared" si="104"/>
        <v>-0.14863792859375036</v>
      </c>
      <c r="O233" s="10"/>
      <c r="P233" s="6">
        <v>50564.07</v>
      </c>
      <c r="Q233" s="2"/>
      <c r="R233" s="7">
        <f t="shared" si="105"/>
        <v>9.7009529045365608E-3</v>
      </c>
      <c r="S233" s="2"/>
      <c r="T233" s="6">
        <v>79558.12</v>
      </c>
      <c r="U233" s="2"/>
      <c r="V233" s="7">
        <f t="shared" si="106"/>
        <v>6.9840731611206137E-3</v>
      </c>
      <c r="W233" s="2"/>
      <c r="X233" s="6">
        <f t="shared" si="107"/>
        <v>-28994.049999999996</v>
      </c>
      <c r="Y233" s="2"/>
      <c r="Z233" s="7">
        <f t="shared" si="108"/>
        <v>-0.36443860161602609</v>
      </c>
    </row>
    <row r="234" spans="1:26" s="23" customFormat="1" hidden="1" outlineLevel="2" x14ac:dyDescent="0.25">
      <c r="A234" s="27"/>
      <c r="B234" s="10" t="str">
        <f>CONCATENATE("          ", "6375", " - ", "OUTSIDE REPAIRS &amp; MAINTENANCE")</f>
        <v xml:space="preserve">          6375 - OUTSIDE REPAIRS &amp; MAINTENANCE</v>
      </c>
      <c r="C234" s="10"/>
      <c r="D234" s="6">
        <v>6256.91</v>
      </c>
      <c r="E234" s="2"/>
      <c r="F234" s="7">
        <f t="shared" si="101"/>
        <v>1.2346735578373255E-2</v>
      </c>
      <c r="G234" s="2"/>
      <c r="H234" s="6">
        <v>1644.14</v>
      </c>
      <c r="I234" s="2"/>
      <c r="J234" s="7">
        <f t="shared" si="102"/>
        <v>6.2358673768224317E-3</v>
      </c>
      <c r="K234" s="2"/>
      <c r="L234" s="6">
        <f t="shared" si="103"/>
        <v>4612.7699999999995</v>
      </c>
      <c r="M234" s="2"/>
      <c r="N234" s="7">
        <f t="shared" si="104"/>
        <v>2.8055822496867657</v>
      </c>
      <c r="O234" s="10"/>
      <c r="P234" s="6">
        <v>34855.699999999997</v>
      </c>
      <c r="Q234" s="2"/>
      <c r="R234" s="7">
        <f t="shared" si="105"/>
        <v>6.6872287803306776E-3</v>
      </c>
      <c r="S234" s="2"/>
      <c r="T234" s="6">
        <v>53915.13</v>
      </c>
      <c r="U234" s="2"/>
      <c r="V234" s="7">
        <f t="shared" si="106"/>
        <v>4.7329827855576382E-3</v>
      </c>
      <c r="W234" s="2"/>
      <c r="X234" s="6">
        <f t="shared" si="107"/>
        <v>-19059.43</v>
      </c>
      <c r="Y234" s="2"/>
      <c r="Z234" s="7">
        <f t="shared" si="108"/>
        <v>-0.35350800415393602</v>
      </c>
    </row>
    <row r="235" spans="1:26" s="26" customFormat="1" outlineLevel="1" collapsed="1" x14ac:dyDescent="0.25">
      <c r="A235" s="25"/>
      <c r="B235" s="12" t="str">
        <f>CONCATENATE("     ","Royalty &amp; Commissions                             ")</f>
        <v xml:space="preserve">     Royalty &amp; Commissions                             </v>
      </c>
      <c r="C235" s="12"/>
      <c r="D235" s="1">
        <f>SUM(OSRRefD22_18x_0)</f>
        <v>393.98</v>
      </c>
      <c r="E235" s="1"/>
      <c r="F235" s="5">
        <f t="shared" ref="F235:F238" si="109">IF(D$12=0,0,D235/D$12)</f>
        <v>7.7743916456645453E-4</v>
      </c>
      <c r="G235" s="1"/>
      <c r="H235" s="1">
        <f>SUM(OSRRefH22_18x_0)</f>
        <v>0</v>
      </c>
      <c r="I235" s="1"/>
      <c r="J235" s="5">
        <f t="shared" ref="J235:J238" si="110">IF(H$12=0,0,H235/H$12)</f>
        <v>0</v>
      </c>
      <c r="K235" s="1"/>
      <c r="L235" s="1">
        <f t="shared" ref="L235:L238" si="111">+D235-H235</f>
        <v>393.98</v>
      </c>
      <c r="M235" s="1"/>
      <c r="N235" s="5">
        <f t="shared" ref="N235:N238" si="112">IF(H235=0,0,L235/H235)</f>
        <v>0</v>
      </c>
      <c r="O235" s="12"/>
      <c r="P235" s="1">
        <f>SUM(OSRRefP22_18x_0)</f>
        <v>48972.63</v>
      </c>
      <c r="Q235" s="1"/>
      <c r="R235" s="5">
        <f t="shared" ref="R235:R238" si="113">IF(P$12=0,0,P235/P$12)</f>
        <v>9.3956277103740722E-3</v>
      </c>
      <c r="S235" s="1"/>
      <c r="T235" s="1">
        <f>SUM(OSRRefT22_18x_0)</f>
        <v>148005.54</v>
      </c>
      <c r="U235" s="1"/>
      <c r="V235" s="5">
        <f t="shared" ref="V235:V238" si="114">IF(T$12=0,0,T235/T$12)</f>
        <v>1.2992784641104687E-2</v>
      </c>
      <c r="W235" s="1"/>
      <c r="X235" s="1">
        <f t="shared" ref="X235:X238" si="115">+P235-T235</f>
        <v>-99032.91</v>
      </c>
      <c r="Y235" s="1"/>
      <c r="Z235" s="5">
        <f t="shared" ref="Z235:Z238" si="116">IF(T235=0,0,X235/T235)</f>
        <v>-0.66911623713544777</v>
      </c>
    </row>
    <row r="236" spans="1:26" s="23" customFormat="1" hidden="1" outlineLevel="2" x14ac:dyDescent="0.25">
      <c r="A236" s="27"/>
      <c r="B236" s="10" t="str">
        <f>CONCATENATE("          ", "6253", " - ", "ROYALTY DUE ATHLETICS-LRG")</f>
        <v xml:space="preserve">          6253 - ROYALTY DUE ATHLETICS-LRG</v>
      </c>
      <c r="C236" s="10"/>
      <c r="D236" s="6"/>
      <c r="E236" s="2"/>
      <c r="F236" s="7">
        <f t="shared" si="109"/>
        <v>0</v>
      </c>
      <c r="G236" s="2"/>
      <c r="H236" s="6"/>
      <c r="I236" s="2"/>
      <c r="J236" s="7">
        <f t="shared" si="110"/>
        <v>0</v>
      </c>
      <c r="K236" s="2"/>
      <c r="L236" s="6">
        <f t="shared" si="111"/>
        <v>0</v>
      </c>
      <c r="M236" s="2"/>
      <c r="N236" s="7">
        <f t="shared" si="112"/>
        <v>0</v>
      </c>
      <c r="O236" s="10"/>
      <c r="P236" s="6">
        <v>35159.06</v>
      </c>
      <c r="Q236" s="2"/>
      <c r="R236" s="7">
        <f t="shared" si="113"/>
        <v>6.7454298126668841E-3</v>
      </c>
      <c r="S236" s="2"/>
      <c r="T236" s="6">
        <v>32870.44</v>
      </c>
      <c r="U236" s="2"/>
      <c r="V236" s="7">
        <f t="shared" si="114"/>
        <v>2.885557851269305E-3</v>
      </c>
      <c r="W236" s="2"/>
      <c r="X236" s="6">
        <f t="shared" si="115"/>
        <v>2288.6199999999953</v>
      </c>
      <c r="Y236" s="2"/>
      <c r="Z236" s="7">
        <f t="shared" si="116"/>
        <v>6.962547504688088E-2</v>
      </c>
    </row>
    <row r="237" spans="1:26" s="23" customFormat="1" hidden="1" outlineLevel="2" x14ac:dyDescent="0.25">
      <c r="A237" s="27"/>
      <c r="B237" s="10" t="str">
        <f>CONCATENATE("          ", "6254", " - ", "ROYALTY &amp; COMMISSIONS")</f>
        <v xml:space="preserve">          6254 - ROYALTY &amp; COMMISSIONS</v>
      </c>
      <c r="C237" s="10"/>
      <c r="D237" s="6"/>
      <c r="E237" s="2"/>
      <c r="F237" s="7">
        <f t="shared" si="109"/>
        <v>0</v>
      </c>
      <c r="G237" s="2"/>
      <c r="H237" s="6"/>
      <c r="I237" s="2"/>
      <c r="J237" s="7">
        <f t="shared" si="110"/>
        <v>0</v>
      </c>
      <c r="K237" s="2"/>
      <c r="L237" s="6">
        <f t="shared" si="111"/>
        <v>0</v>
      </c>
      <c r="M237" s="2"/>
      <c r="N237" s="7">
        <f t="shared" si="112"/>
        <v>0</v>
      </c>
      <c r="O237" s="10"/>
      <c r="P237" s="6">
        <v>185.7</v>
      </c>
      <c r="Q237" s="2"/>
      <c r="R237" s="7">
        <f t="shared" si="113"/>
        <v>3.562741200169289E-5</v>
      </c>
      <c r="S237" s="2"/>
      <c r="T237" s="6">
        <v>32527.360000000001</v>
      </c>
      <c r="U237" s="2"/>
      <c r="V237" s="7">
        <f t="shared" si="114"/>
        <v>2.8554402992190895E-3</v>
      </c>
      <c r="W237" s="2"/>
      <c r="X237" s="6">
        <f t="shared" si="115"/>
        <v>-32341.66</v>
      </c>
      <c r="Y237" s="2"/>
      <c r="Z237" s="7">
        <f t="shared" si="116"/>
        <v>-0.9942909599795372</v>
      </c>
    </row>
    <row r="238" spans="1:26" s="23" customFormat="1" hidden="1" outlineLevel="2" x14ac:dyDescent="0.25">
      <c r="A238" s="27"/>
      <c r="B238" s="10" t="str">
        <f>CONCATENATE("          ", "6259", " - ", "ROYALTY &amp; COMMISSIONS")</f>
        <v xml:space="preserve">          6259 - ROYALTY &amp; COMMISSIONS</v>
      </c>
      <c r="C238" s="10"/>
      <c r="D238" s="6">
        <v>393.98</v>
      </c>
      <c r="E238" s="2"/>
      <c r="F238" s="7">
        <f t="shared" si="109"/>
        <v>7.7743916456645453E-4</v>
      </c>
      <c r="G238" s="2"/>
      <c r="H238" s="6"/>
      <c r="I238" s="2"/>
      <c r="J238" s="7">
        <f t="shared" si="110"/>
        <v>0</v>
      </c>
      <c r="K238" s="2"/>
      <c r="L238" s="6">
        <f t="shared" si="111"/>
        <v>393.98</v>
      </c>
      <c r="M238" s="2"/>
      <c r="N238" s="7">
        <f t="shared" si="112"/>
        <v>0</v>
      </c>
      <c r="O238" s="10"/>
      <c r="P238" s="6">
        <v>13627.87</v>
      </c>
      <c r="Q238" s="2"/>
      <c r="R238" s="7">
        <f t="shared" si="113"/>
        <v>2.6145704857054954E-3</v>
      </c>
      <c r="S238" s="2"/>
      <c r="T238" s="6">
        <v>82607.740000000005</v>
      </c>
      <c r="U238" s="2"/>
      <c r="V238" s="7">
        <f t="shared" si="114"/>
        <v>7.251786490616292E-3</v>
      </c>
      <c r="W238" s="2"/>
      <c r="X238" s="6">
        <f t="shared" si="115"/>
        <v>-68979.87000000001</v>
      </c>
      <c r="Y238" s="2"/>
      <c r="Z238" s="7">
        <f t="shared" si="116"/>
        <v>-0.83502913891603869</v>
      </c>
    </row>
    <row r="239" spans="1:26" s="26" customFormat="1" outlineLevel="1" collapsed="1" x14ac:dyDescent="0.25">
      <c r="A239" s="25"/>
      <c r="B239" s="12" t="str">
        <f>CONCATENATE("     ","Services                                          ")</f>
        <v xml:space="preserve">     Services                                          </v>
      </c>
      <c r="C239" s="12"/>
      <c r="D239" s="1">
        <f>SUM(OSRRefD22_19x_0)</f>
        <v>4906.57</v>
      </c>
      <c r="E239" s="1"/>
      <c r="F239" s="5">
        <f t="shared" ref="F239:F244" si="117">IF(D$12=0,0,D239/D$12)</f>
        <v>9.6821150355013673E-3</v>
      </c>
      <c r="G239" s="1"/>
      <c r="H239" s="1">
        <f>SUM(OSRRefH22_19x_0)</f>
        <v>5301.0099999999993</v>
      </c>
      <c r="I239" s="1"/>
      <c r="J239" s="5">
        <f t="shared" ref="J239:J244" si="118">IF(H$12=0,0,H239/H$12)</f>
        <v>2.0105584270931596E-2</v>
      </c>
      <c r="K239" s="1"/>
      <c r="L239" s="1">
        <f t="shared" ref="L239:L244" si="119">+D239-H239</f>
        <v>-394.4399999999996</v>
      </c>
      <c r="M239" s="1"/>
      <c r="N239" s="5">
        <f t="shared" ref="N239:N244" si="120">IF(H239=0,0,L239/H239)</f>
        <v>-7.4408461783697755E-2</v>
      </c>
      <c r="O239" s="12"/>
      <c r="P239" s="1">
        <f>SUM(OSRRefP22_19x_0)</f>
        <v>47496.76</v>
      </c>
      <c r="Q239" s="1"/>
      <c r="R239" s="5">
        <f t="shared" ref="R239:R244" si="121">IF(P$12=0,0,P239/P$12)</f>
        <v>9.1124751602882446E-3</v>
      </c>
      <c r="S239" s="1"/>
      <c r="T239" s="1">
        <f>SUM(OSRRefT22_19x_0)</f>
        <v>67738.39</v>
      </c>
      <c r="U239" s="1"/>
      <c r="V239" s="5">
        <f t="shared" ref="V239:V244" si="122">IF(T$12=0,0,T239/T$12)</f>
        <v>5.9464687146518922E-3</v>
      </c>
      <c r="W239" s="1"/>
      <c r="X239" s="1">
        <f t="shared" ref="X239:X244" si="123">+P239-T239</f>
        <v>-20241.629999999997</v>
      </c>
      <c r="Y239" s="1"/>
      <c r="Z239" s="5">
        <f t="shared" ref="Z239:Z244" si="124">IF(T239=0,0,X239/T239)</f>
        <v>-0.29882065398956187</v>
      </c>
    </row>
    <row r="240" spans="1:26" s="23" customFormat="1" hidden="1" outlineLevel="2" x14ac:dyDescent="0.25">
      <c r="A240" s="27"/>
      <c r="B240" s="10" t="str">
        <f>CONCATENATE("          ", "6282", " - ", "JANITORIAL/EXTERMINATOR EXPENS")</f>
        <v xml:space="preserve">          6282 - JANITORIAL/EXTERMINATOR EXPENS</v>
      </c>
      <c r="C240" s="10"/>
      <c r="D240" s="6">
        <v>611.25</v>
      </c>
      <c r="E240" s="2"/>
      <c r="F240" s="7">
        <f t="shared" si="117"/>
        <v>1.20617719006357E-3</v>
      </c>
      <c r="G240" s="2"/>
      <c r="H240" s="6">
        <v>372</v>
      </c>
      <c r="I240" s="2"/>
      <c r="J240" s="7">
        <f t="shared" si="118"/>
        <v>1.4109155328487504E-3</v>
      </c>
      <c r="K240" s="2"/>
      <c r="L240" s="6">
        <f t="shared" si="119"/>
        <v>239.25</v>
      </c>
      <c r="M240" s="2"/>
      <c r="N240" s="7">
        <f t="shared" si="120"/>
        <v>0.64314516129032262</v>
      </c>
      <c r="O240" s="10"/>
      <c r="P240" s="6">
        <v>10104.18</v>
      </c>
      <c r="Q240" s="2"/>
      <c r="R240" s="7">
        <f t="shared" si="121"/>
        <v>1.9385341076966359E-3</v>
      </c>
      <c r="S240" s="2"/>
      <c r="T240" s="6">
        <v>9104.11</v>
      </c>
      <c r="U240" s="2"/>
      <c r="V240" s="7">
        <f t="shared" si="122"/>
        <v>7.9921157396491778E-4</v>
      </c>
      <c r="W240" s="2"/>
      <c r="X240" s="6">
        <f t="shared" si="123"/>
        <v>1000.0699999999997</v>
      </c>
      <c r="Y240" s="2"/>
      <c r="Z240" s="7">
        <f t="shared" si="124"/>
        <v>0.10984818944410817</v>
      </c>
    </row>
    <row r="241" spans="1:26" s="23" customFormat="1" hidden="1" outlineLevel="2" x14ac:dyDescent="0.25">
      <c r="A241" s="27"/>
      <c r="B241" s="10" t="str">
        <f>CONCATENATE("          ", "6283", " - ", "PLANT SERVICE")</f>
        <v xml:space="preserve">          6283 - PLANT SERVICE</v>
      </c>
      <c r="C241" s="10"/>
      <c r="D241" s="6"/>
      <c r="E241" s="2"/>
      <c r="F241" s="7">
        <f t="shared" si="117"/>
        <v>0</v>
      </c>
      <c r="G241" s="2"/>
      <c r="H241" s="6"/>
      <c r="I241" s="2"/>
      <c r="J241" s="7">
        <f t="shared" si="118"/>
        <v>0</v>
      </c>
      <c r="K241" s="2"/>
      <c r="L241" s="6">
        <f t="shared" si="119"/>
        <v>0</v>
      </c>
      <c r="M241" s="2"/>
      <c r="N241" s="7">
        <f t="shared" si="120"/>
        <v>0</v>
      </c>
      <c r="O241" s="10"/>
      <c r="P241" s="6">
        <v>171.31</v>
      </c>
      <c r="Q241" s="2"/>
      <c r="R241" s="7">
        <f t="shared" si="121"/>
        <v>3.2866623317232146E-5</v>
      </c>
      <c r="S241" s="2"/>
      <c r="T241" s="6">
        <v>541.98</v>
      </c>
      <c r="U241" s="2"/>
      <c r="V241" s="7">
        <f t="shared" si="122"/>
        <v>4.7578147546273726E-5</v>
      </c>
      <c r="W241" s="2"/>
      <c r="X241" s="6">
        <f t="shared" si="123"/>
        <v>-370.67</v>
      </c>
      <c r="Y241" s="2"/>
      <c r="Z241" s="7">
        <f t="shared" si="124"/>
        <v>-0.68391822576478833</v>
      </c>
    </row>
    <row r="242" spans="1:26" s="23" customFormat="1" hidden="1" outlineLevel="2" x14ac:dyDescent="0.25">
      <c r="A242" s="27"/>
      <c r="B242" s="10" t="str">
        <f>CONCATENATE("          ", "6284", " - ", "TRASH REMOVAL EXPENSE")</f>
        <v xml:space="preserve">          6284 - TRASH REMOVAL EXPENSE</v>
      </c>
      <c r="C242" s="10"/>
      <c r="D242" s="6">
        <v>431.57</v>
      </c>
      <c r="E242" s="2"/>
      <c r="F242" s="7">
        <f t="shared" si="117"/>
        <v>8.5161536182533316E-4</v>
      </c>
      <c r="G242" s="2"/>
      <c r="H242" s="6">
        <v>423.82</v>
      </c>
      <c r="I242" s="2"/>
      <c r="J242" s="7">
        <f t="shared" si="118"/>
        <v>1.6074575836880574E-3</v>
      </c>
      <c r="K242" s="2"/>
      <c r="L242" s="6">
        <f t="shared" si="119"/>
        <v>7.75</v>
      </c>
      <c r="M242" s="2"/>
      <c r="N242" s="7">
        <f t="shared" si="120"/>
        <v>1.8286064838846681E-2</v>
      </c>
      <c r="O242" s="10"/>
      <c r="P242" s="6">
        <v>3036.29</v>
      </c>
      <c r="Q242" s="2"/>
      <c r="R242" s="7">
        <f t="shared" si="121"/>
        <v>5.8252641242121761E-4</v>
      </c>
      <c r="S242" s="2"/>
      <c r="T242" s="6">
        <v>4661.0200000000004</v>
      </c>
      <c r="U242" s="2"/>
      <c r="V242" s="7">
        <f t="shared" si="122"/>
        <v>4.0917136661155909E-4</v>
      </c>
      <c r="W242" s="2"/>
      <c r="X242" s="6">
        <f t="shared" si="123"/>
        <v>-1624.7300000000005</v>
      </c>
      <c r="Y242" s="2"/>
      <c r="Z242" s="7">
        <f t="shared" si="124"/>
        <v>-0.34857820820335472</v>
      </c>
    </row>
    <row r="243" spans="1:26" s="23" customFormat="1" hidden="1" outlineLevel="2" x14ac:dyDescent="0.25">
      <c r="A243" s="27"/>
      <c r="B243" s="10" t="str">
        <f>CONCATENATE("          ", "6285", " - ", "JANITORIAL SERVICES")</f>
        <v xml:space="preserve">          6285 - JANITORIAL SERVICES</v>
      </c>
      <c r="C243" s="10"/>
      <c r="D243" s="6">
        <v>3863.75</v>
      </c>
      <c r="E243" s="2"/>
      <c r="F243" s="7">
        <f t="shared" si="117"/>
        <v>7.6243224836124645E-3</v>
      </c>
      <c r="G243" s="2"/>
      <c r="H243" s="6">
        <v>4375.66</v>
      </c>
      <c r="I243" s="2"/>
      <c r="J243" s="7">
        <f t="shared" si="118"/>
        <v>1.659593188297033E-2</v>
      </c>
      <c r="K243" s="2"/>
      <c r="L243" s="6">
        <f t="shared" si="119"/>
        <v>-511.90999999999985</v>
      </c>
      <c r="M243" s="2"/>
      <c r="N243" s="7">
        <f t="shared" si="120"/>
        <v>-0.11699035116988063</v>
      </c>
      <c r="O243" s="10"/>
      <c r="P243" s="6">
        <v>34184.980000000003</v>
      </c>
      <c r="Q243" s="2"/>
      <c r="R243" s="7">
        <f t="shared" si="121"/>
        <v>6.5585480168531586E-3</v>
      </c>
      <c r="S243" s="2"/>
      <c r="T243" s="6">
        <v>47244.11</v>
      </c>
      <c r="U243" s="2"/>
      <c r="V243" s="7">
        <f t="shared" si="122"/>
        <v>4.1473619621985791E-3</v>
      </c>
      <c r="W243" s="2"/>
      <c r="X243" s="6">
        <f t="shared" si="123"/>
        <v>-13059.129999999997</v>
      </c>
      <c r="Y243" s="2"/>
      <c r="Z243" s="7">
        <f t="shared" si="124"/>
        <v>-0.27641816090937044</v>
      </c>
    </row>
    <row r="244" spans="1:26" s="23" customFormat="1" hidden="1" outlineLevel="2" x14ac:dyDescent="0.25">
      <c r="A244" s="27"/>
      <c r="B244" s="10" t="str">
        <f>CONCATENATE("          ", "6286", " - ", "LAUNDRY EXPENSE")</f>
        <v xml:space="preserve">          6286 - LAUNDRY EXPENSE</v>
      </c>
      <c r="C244" s="10"/>
      <c r="D244" s="6"/>
      <c r="E244" s="2"/>
      <c r="F244" s="7">
        <f t="shared" si="117"/>
        <v>0</v>
      </c>
      <c r="G244" s="2"/>
      <c r="H244" s="6">
        <v>129.53</v>
      </c>
      <c r="I244" s="2"/>
      <c r="J244" s="7">
        <f t="shared" si="118"/>
        <v>4.9127927142445871E-4</v>
      </c>
      <c r="K244" s="2"/>
      <c r="L244" s="6">
        <f t="shared" si="119"/>
        <v>-129.53</v>
      </c>
      <c r="M244" s="2"/>
      <c r="N244" s="7">
        <f t="shared" si="120"/>
        <v>-1</v>
      </c>
      <c r="O244" s="10"/>
      <c r="P244" s="6"/>
      <c r="Q244" s="2"/>
      <c r="R244" s="7">
        <f t="shared" si="121"/>
        <v>0</v>
      </c>
      <c r="S244" s="2"/>
      <c r="T244" s="6">
        <v>6187.17</v>
      </c>
      <c r="U244" s="2"/>
      <c r="V244" s="7">
        <f t="shared" si="122"/>
        <v>5.4314566433056276E-4</v>
      </c>
      <c r="W244" s="2"/>
      <c r="X244" s="6">
        <f t="shared" si="123"/>
        <v>-6187.17</v>
      </c>
      <c r="Y244" s="2"/>
      <c r="Z244" s="7">
        <f t="shared" si="124"/>
        <v>-1</v>
      </c>
    </row>
    <row r="245" spans="1:26" s="26" customFormat="1" outlineLevel="1" collapsed="1" x14ac:dyDescent="0.25">
      <c r="A245" s="25"/>
      <c r="B245" s="12" t="str">
        <f>CONCATENATE("     ","Subscriptions &amp; Dues                              ")</f>
        <v xml:space="preserve">     Subscriptions &amp; Dues                              </v>
      </c>
      <c r="C245" s="12"/>
      <c r="D245" s="1">
        <f>SUM(OSRRefD22_20x_0)</f>
        <v>611.22</v>
      </c>
      <c r="E245" s="1"/>
      <c r="F245" s="5">
        <f t="shared" ref="F245:F247" si="125">IF(D$12=0,0,D245/D$12)</f>
        <v>1.2061179911830762E-3</v>
      </c>
      <c r="G245" s="1"/>
      <c r="H245" s="1">
        <f>SUM(OSRRefH22_20x_0)</f>
        <v>260</v>
      </c>
      <c r="I245" s="1"/>
      <c r="J245" s="5">
        <f t="shared" ref="J245:J247" si="126">IF(H$12=0,0,H245/H$12)</f>
        <v>9.8612375951794375E-4</v>
      </c>
      <c r="K245" s="1"/>
      <c r="L245" s="1">
        <f t="shared" ref="L245:L247" si="127">+D245-H245</f>
        <v>351.22</v>
      </c>
      <c r="M245" s="1"/>
      <c r="N245" s="5">
        <f t="shared" ref="N245:N247" si="128">IF(H245=0,0,L245/H245)</f>
        <v>1.350846153846154</v>
      </c>
      <c r="O245" s="12"/>
      <c r="P245" s="1">
        <f>SUM(OSRRefP22_20x_0)</f>
        <v>7289.13</v>
      </c>
      <c r="Q245" s="1"/>
      <c r="R245" s="5">
        <f t="shared" ref="R245:R247" si="129">IF(P$12=0,0,P245/P$12)</f>
        <v>1.3984536222073221E-3</v>
      </c>
      <c r="S245" s="1"/>
      <c r="T245" s="1">
        <f>SUM(OSRRefT22_20x_0)</f>
        <v>8770.0499999999993</v>
      </c>
      <c r="U245" s="1"/>
      <c r="V245" s="5">
        <f t="shared" ref="V245:V247" si="130">IF(T$12=0,0,T245/T$12)</f>
        <v>7.6988584982508183E-4</v>
      </c>
      <c r="W245" s="1"/>
      <c r="X245" s="1">
        <f t="shared" ref="X245:X247" si="131">+P245-T245</f>
        <v>-1480.9199999999992</v>
      </c>
      <c r="Y245" s="1"/>
      <c r="Z245" s="5">
        <f t="shared" ref="Z245:Z247" si="132">IF(T245=0,0,X245/T245)</f>
        <v>-0.16886106692664229</v>
      </c>
    </row>
    <row r="246" spans="1:26" s="23" customFormat="1" hidden="1" outlineLevel="2" x14ac:dyDescent="0.25">
      <c r="A246" s="27"/>
      <c r="B246" s="10" t="str">
        <f>CONCATENATE("          ", "6258", " - ", "MEMBERSHIP DUES")</f>
        <v xml:space="preserve">          6258 - MEMBERSHIP DUES</v>
      </c>
      <c r="C246" s="10"/>
      <c r="D246" s="6">
        <v>611.22</v>
      </c>
      <c r="E246" s="2"/>
      <c r="F246" s="7">
        <f t="shared" si="125"/>
        <v>1.2061179911830762E-3</v>
      </c>
      <c r="G246" s="2"/>
      <c r="H246" s="6">
        <v>260</v>
      </c>
      <c r="I246" s="2"/>
      <c r="J246" s="7">
        <f t="shared" si="126"/>
        <v>9.8612375951794375E-4</v>
      </c>
      <c r="K246" s="2"/>
      <c r="L246" s="6">
        <f t="shared" si="127"/>
        <v>351.22</v>
      </c>
      <c r="M246" s="2"/>
      <c r="N246" s="7">
        <f t="shared" si="128"/>
        <v>1.350846153846154</v>
      </c>
      <c r="O246" s="10"/>
      <c r="P246" s="6">
        <v>3046.45</v>
      </c>
      <c r="Q246" s="2"/>
      <c r="R246" s="7">
        <f t="shared" si="129"/>
        <v>5.8447565585652826E-4</v>
      </c>
      <c r="S246" s="2"/>
      <c r="T246" s="6">
        <v>4566.41</v>
      </c>
      <c r="U246" s="2"/>
      <c r="V246" s="7">
        <f t="shared" si="130"/>
        <v>4.0086595213251376E-4</v>
      </c>
      <c r="W246" s="2"/>
      <c r="X246" s="6">
        <f t="shared" si="131"/>
        <v>-1519.96</v>
      </c>
      <c r="Y246" s="2"/>
      <c r="Z246" s="7">
        <f t="shared" si="132"/>
        <v>-0.33285666420667442</v>
      </c>
    </row>
    <row r="247" spans="1:26" s="23" customFormat="1" hidden="1" outlineLevel="2" x14ac:dyDescent="0.25">
      <c r="A247" s="27"/>
      <c r="B247" s="10" t="str">
        <f>CONCATENATE("          ", "6275", " - ", "SUBSCRIPTIONS")</f>
        <v xml:space="preserve">          6275 - SUBSCRIPTIONS</v>
      </c>
      <c r="C247" s="10"/>
      <c r="D247" s="6"/>
      <c r="E247" s="2"/>
      <c r="F247" s="7">
        <f t="shared" si="125"/>
        <v>0</v>
      </c>
      <c r="G247" s="2"/>
      <c r="H247" s="6"/>
      <c r="I247" s="2"/>
      <c r="J247" s="7">
        <f t="shared" si="126"/>
        <v>0</v>
      </c>
      <c r="K247" s="2"/>
      <c r="L247" s="6">
        <f t="shared" si="127"/>
        <v>0</v>
      </c>
      <c r="M247" s="2"/>
      <c r="N247" s="7">
        <f t="shared" si="128"/>
        <v>0</v>
      </c>
      <c r="O247" s="10"/>
      <c r="P247" s="6">
        <v>4242.68</v>
      </c>
      <c r="Q247" s="2"/>
      <c r="R247" s="7">
        <f t="shared" si="129"/>
        <v>8.1397796635079378E-4</v>
      </c>
      <c r="S247" s="2"/>
      <c r="T247" s="6">
        <v>4203.6400000000003</v>
      </c>
      <c r="U247" s="2"/>
      <c r="V247" s="7">
        <f t="shared" si="130"/>
        <v>3.6901989769256817E-4</v>
      </c>
      <c r="W247" s="2"/>
      <c r="X247" s="6">
        <f t="shared" si="131"/>
        <v>39.039999999999964</v>
      </c>
      <c r="Y247" s="2"/>
      <c r="Z247" s="7">
        <f t="shared" si="132"/>
        <v>9.287189197933211E-3</v>
      </c>
    </row>
    <row r="248" spans="1:26" s="26" customFormat="1" outlineLevel="1" collapsed="1" x14ac:dyDescent="0.25">
      <c r="A248" s="25"/>
      <c r="B248" s="12" t="str">
        <f>CONCATENATE("     ","Supplies                                          ")</f>
        <v xml:space="preserve">     Supplies                                          </v>
      </c>
      <c r="C248" s="12"/>
      <c r="D248" s="1">
        <f>SUM(OSRRefD22_21x_0)</f>
        <v>10202.06</v>
      </c>
      <c r="E248" s="1"/>
      <c r="F248" s="5">
        <f t="shared" ref="F248:F257" si="133">IF(D$12=0,0,D248/D$12)</f>
        <v>2.0131684357725881E-2</v>
      </c>
      <c r="G248" s="1"/>
      <c r="H248" s="1">
        <f>SUM(OSRRefH22_21x_0)</f>
        <v>5232.17</v>
      </c>
      <c r="I248" s="1"/>
      <c r="J248" s="5">
        <f t="shared" ref="J248:J257" si="134">IF(H$12=0,0,H248/H$12)</f>
        <v>1.984448904168077E-2</v>
      </c>
      <c r="K248" s="1"/>
      <c r="L248" s="1">
        <f t="shared" ref="L248:L257" si="135">+D248-H248</f>
        <v>4969.8899999999994</v>
      </c>
      <c r="M248" s="1"/>
      <c r="N248" s="5">
        <f t="shared" ref="N248:N257" si="136">IF(H248=0,0,L248/H248)</f>
        <v>0.94987165936886597</v>
      </c>
      <c r="O248" s="12"/>
      <c r="P248" s="1">
        <f>SUM(OSRRefP22_21x_0)</f>
        <v>122992.84</v>
      </c>
      <c r="Q248" s="1"/>
      <c r="R248" s="5">
        <f t="shared" ref="R248:R257" si="137">IF(P$12=0,0,P248/P$12)</f>
        <v>2.3596750586635937E-2</v>
      </c>
      <c r="S248" s="1"/>
      <c r="T248" s="1">
        <f>SUM(OSRRefT22_21x_0)</f>
        <v>143274.62</v>
      </c>
      <c r="U248" s="1"/>
      <c r="V248" s="5">
        <f t="shared" ref="V248:V257" si="138">IF(T$12=0,0,T248/T$12)</f>
        <v>1.2577477047116684E-2</v>
      </c>
      <c r="W248" s="1"/>
      <c r="X248" s="1">
        <f t="shared" ref="X248:X257" si="139">+P248-T248</f>
        <v>-20281.78</v>
      </c>
      <c r="Y248" s="1"/>
      <c r="Z248" s="5">
        <f t="shared" ref="Z248:Z257" si="140">IF(T248=0,0,X248/T248)</f>
        <v>-0.14155877712326159</v>
      </c>
    </row>
    <row r="249" spans="1:26" s="23" customFormat="1" hidden="1" outlineLevel="2" x14ac:dyDescent="0.25">
      <c r="A249" s="27"/>
      <c r="B249" s="10" t="str">
        <f>CONCATENATE("          ", "6234", " - ", "EXPENDABLE SUPPLIES &amp; EQUIPMEN")</f>
        <v xml:space="preserve">          6234 - EXPENDABLE SUPPLIES &amp; EQUIPMEN</v>
      </c>
      <c r="C249" s="10"/>
      <c r="D249" s="6"/>
      <c r="E249" s="2"/>
      <c r="F249" s="7">
        <f t="shared" si="133"/>
        <v>0</v>
      </c>
      <c r="G249" s="2"/>
      <c r="H249" s="6">
        <v>700.76</v>
      </c>
      <c r="I249" s="2"/>
      <c r="J249" s="7">
        <f t="shared" si="134"/>
        <v>2.657831098922286E-3</v>
      </c>
      <c r="K249" s="2"/>
      <c r="L249" s="6">
        <f t="shared" si="135"/>
        <v>-700.76</v>
      </c>
      <c r="M249" s="2"/>
      <c r="N249" s="7">
        <f t="shared" si="136"/>
        <v>-1</v>
      </c>
      <c r="O249" s="10"/>
      <c r="P249" s="6">
        <v>316.83</v>
      </c>
      <c r="Q249" s="2"/>
      <c r="R249" s="7">
        <f t="shared" si="137"/>
        <v>6.0785314725343878E-5</v>
      </c>
      <c r="S249" s="2"/>
      <c r="T249" s="6">
        <v>5235.0200000000004</v>
      </c>
      <c r="U249" s="2"/>
      <c r="V249" s="7">
        <f t="shared" si="138"/>
        <v>4.5956041545388004E-4</v>
      </c>
      <c r="W249" s="2"/>
      <c r="X249" s="6">
        <f t="shared" si="139"/>
        <v>-4918.1900000000005</v>
      </c>
      <c r="Y249" s="2"/>
      <c r="Z249" s="7">
        <f t="shared" si="140"/>
        <v>-0.93947874124645181</v>
      </c>
    </row>
    <row r="250" spans="1:26" s="23" customFormat="1" hidden="1" outlineLevel="2" x14ac:dyDescent="0.25">
      <c r="A250" s="27"/>
      <c r="B250" s="10" t="str">
        <f>CONCATENATE("          ", "6235", " - ", "COVID-19 EXPENSES")</f>
        <v xml:space="preserve">          6235 - COVID-19 EXPENSES</v>
      </c>
      <c r="C250" s="10"/>
      <c r="D250" s="6">
        <v>2928.27</v>
      </c>
      <c r="E250" s="2"/>
      <c r="F250" s="7">
        <f t="shared" si="133"/>
        <v>5.7783435261307978E-3</v>
      </c>
      <c r="G250" s="2"/>
      <c r="H250" s="6">
        <v>1550</v>
      </c>
      <c r="I250" s="2"/>
      <c r="J250" s="7">
        <f t="shared" si="134"/>
        <v>5.8788147202031267E-3</v>
      </c>
      <c r="K250" s="2"/>
      <c r="L250" s="6">
        <f t="shared" si="135"/>
        <v>1378.27</v>
      </c>
      <c r="M250" s="2"/>
      <c r="N250" s="7">
        <f t="shared" si="136"/>
        <v>0.88920645161290324</v>
      </c>
      <c r="O250" s="10"/>
      <c r="P250" s="6">
        <v>44205.33</v>
      </c>
      <c r="Q250" s="2"/>
      <c r="R250" s="7">
        <f t="shared" si="137"/>
        <v>8.4809989476617928E-3</v>
      </c>
      <c r="S250" s="2"/>
      <c r="T250" s="6">
        <v>1550</v>
      </c>
      <c r="U250" s="2"/>
      <c r="V250" s="7">
        <f t="shared" si="138"/>
        <v>1.3606798903414199E-4</v>
      </c>
      <c r="W250" s="2"/>
      <c r="X250" s="6">
        <f t="shared" si="139"/>
        <v>42655.33</v>
      </c>
      <c r="Y250" s="2"/>
      <c r="Z250" s="7">
        <f t="shared" si="140"/>
        <v>27.519567741935486</v>
      </c>
    </row>
    <row r="251" spans="1:26" s="23" customFormat="1" hidden="1" outlineLevel="2" x14ac:dyDescent="0.25">
      <c r="A251" s="27"/>
      <c r="B251" s="10" t="str">
        <f>CONCATENATE("          ", "6237", " - ", "JANITORIAL SUPPLIES")</f>
        <v xml:space="preserve">          6237 - JANITORIAL SUPPLIES</v>
      </c>
      <c r="C251" s="10"/>
      <c r="D251" s="6">
        <v>390.73</v>
      </c>
      <c r="E251" s="2"/>
      <c r="F251" s="7">
        <f t="shared" si="133"/>
        <v>7.7102595251294682E-4</v>
      </c>
      <c r="G251" s="2"/>
      <c r="H251" s="6"/>
      <c r="I251" s="2"/>
      <c r="J251" s="7">
        <f t="shared" si="134"/>
        <v>0</v>
      </c>
      <c r="K251" s="2"/>
      <c r="L251" s="6">
        <f t="shared" si="135"/>
        <v>390.73</v>
      </c>
      <c r="M251" s="2"/>
      <c r="N251" s="7">
        <f t="shared" si="136"/>
        <v>0</v>
      </c>
      <c r="O251" s="10"/>
      <c r="P251" s="6">
        <v>4197.8500000000004</v>
      </c>
      <c r="Q251" s="2"/>
      <c r="R251" s="7">
        <f t="shared" si="137"/>
        <v>8.0537712154715409E-4</v>
      </c>
      <c r="S251" s="2"/>
      <c r="T251" s="6">
        <v>9724.01</v>
      </c>
      <c r="U251" s="2"/>
      <c r="V251" s="7">
        <f t="shared" si="138"/>
        <v>8.5362999099863684E-4</v>
      </c>
      <c r="W251" s="2"/>
      <c r="X251" s="6">
        <f t="shared" si="139"/>
        <v>-5526.16</v>
      </c>
      <c r="Y251" s="2"/>
      <c r="Z251" s="7">
        <f t="shared" si="140"/>
        <v>-0.56830052622323501</v>
      </c>
    </row>
    <row r="252" spans="1:26" s="23" customFormat="1" hidden="1" outlineLevel="2" x14ac:dyDescent="0.25">
      <c r="A252" s="27"/>
      <c r="B252" s="10" t="str">
        <f>CONCATENATE("          ", "6239", " - ", "KITCHEN SUPPLIES")</f>
        <v xml:space="preserve">          6239 - KITCHEN SUPPLIES</v>
      </c>
      <c r="C252" s="10"/>
      <c r="D252" s="6"/>
      <c r="E252" s="2"/>
      <c r="F252" s="7">
        <f t="shared" si="133"/>
        <v>0</v>
      </c>
      <c r="G252" s="2"/>
      <c r="H252" s="6"/>
      <c r="I252" s="2"/>
      <c r="J252" s="7">
        <f t="shared" si="134"/>
        <v>0</v>
      </c>
      <c r="K252" s="2"/>
      <c r="L252" s="6">
        <f t="shared" si="135"/>
        <v>0</v>
      </c>
      <c r="M252" s="2"/>
      <c r="N252" s="7">
        <f t="shared" si="136"/>
        <v>0</v>
      </c>
      <c r="O252" s="10"/>
      <c r="P252" s="6"/>
      <c r="Q252" s="2"/>
      <c r="R252" s="7">
        <f t="shared" si="137"/>
        <v>0</v>
      </c>
      <c r="S252" s="2"/>
      <c r="T252" s="6">
        <v>441.2</v>
      </c>
      <c r="U252" s="2"/>
      <c r="V252" s="7">
        <f t="shared" si="138"/>
        <v>3.873109468507319E-5</v>
      </c>
      <c r="W252" s="2"/>
      <c r="X252" s="6">
        <f t="shared" si="139"/>
        <v>-441.2</v>
      </c>
      <c r="Y252" s="2"/>
      <c r="Z252" s="7">
        <f t="shared" si="140"/>
        <v>-1</v>
      </c>
    </row>
    <row r="253" spans="1:26" s="23" customFormat="1" hidden="1" outlineLevel="2" x14ac:dyDescent="0.25">
      <c r="A253" s="27"/>
      <c r="B253" s="10" t="str">
        <f>CONCATENATE("          ", "6241", " - ", "OFFICE EXPENSE")</f>
        <v xml:space="preserve">          6241 - OFFICE EXPENSE</v>
      </c>
      <c r="C253" s="10"/>
      <c r="D253" s="6">
        <v>137.71</v>
      </c>
      <c r="E253" s="2"/>
      <c r="F253" s="7">
        <f t="shared" si="133"/>
        <v>2.717425944272462E-4</v>
      </c>
      <c r="G253" s="2"/>
      <c r="H253" s="6">
        <v>1299.8699999999999</v>
      </c>
      <c r="I253" s="2"/>
      <c r="J253" s="7">
        <f t="shared" si="134"/>
        <v>4.9301257357099596E-3</v>
      </c>
      <c r="K253" s="2"/>
      <c r="L253" s="6">
        <f t="shared" si="135"/>
        <v>-1162.1599999999999</v>
      </c>
      <c r="M253" s="2"/>
      <c r="N253" s="7">
        <f t="shared" si="136"/>
        <v>-0.89405863663289398</v>
      </c>
      <c r="O253" s="10"/>
      <c r="P253" s="6">
        <v>11136.72</v>
      </c>
      <c r="Q253" s="2"/>
      <c r="R253" s="7">
        <f t="shared" si="137"/>
        <v>2.1366317274501521E-3</v>
      </c>
      <c r="S253" s="2"/>
      <c r="T253" s="6">
        <v>26757.759999999998</v>
      </c>
      <c r="U253" s="2"/>
      <c r="V253" s="7">
        <f t="shared" si="138"/>
        <v>2.3489513511343245E-3</v>
      </c>
      <c r="W253" s="2"/>
      <c r="X253" s="6">
        <f t="shared" si="139"/>
        <v>-15621.039999999999</v>
      </c>
      <c r="Y253" s="2"/>
      <c r="Z253" s="7">
        <f t="shared" si="140"/>
        <v>-0.58379475710971318</v>
      </c>
    </row>
    <row r="254" spans="1:26" s="23" customFormat="1" hidden="1" outlineLevel="2" x14ac:dyDescent="0.25">
      <c r="A254" s="27"/>
      <c r="B254" s="10" t="str">
        <f>CONCATENATE("          ", "6243", " - ", "PAPER SUPPLIES")</f>
        <v xml:space="preserve">          6243 - PAPER SUPPLIES</v>
      </c>
      <c r="C254" s="10"/>
      <c r="D254" s="6"/>
      <c r="E254" s="2"/>
      <c r="F254" s="7">
        <f t="shared" si="133"/>
        <v>0</v>
      </c>
      <c r="G254" s="2"/>
      <c r="H254" s="6">
        <v>50.85</v>
      </c>
      <c r="I254" s="2"/>
      <c r="J254" s="7">
        <f t="shared" si="134"/>
        <v>1.928630506595671E-4</v>
      </c>
      <c r="K254" s="2"/>
      <c r="L254" s="6">
        <f t="shared" si="135"/>
        <v>-50.85</v>
      </c>
      <c r="M254" s="2"/>
      <c r="N254" s="7">
        <f t="shared" si="136"/>
        <v>-1</v>
      </c>
      <c r="O254" s="10"/>
      <c r="P254" s="6">
        <v>6682.58</v>
      </c>
      <c r="Q254" s="2"/>
      <c r="R254" s="7">
        <f t="shared" si="137"/>
        <v>1.2820841728286099E-3</v>
      </c>
      <c r="S254" s="2"/>
      <c r="T254" s="6">
        <v>22904.13</v>
      </c>
      <c r="U254" s="2"/>
      <c r="V254" s="7">
        <f t="shared" si="138"/>
        <v>2.0106573610816532E-3</v>
      </c>
      <c r="W254" s="2"/>
      <c r="X254" s="6">
        <f t="shared" si="139"/>
        <v>-16221.550000000001</v>
      </c>
      <c r="Y254" s="2"/>
      <c r="Z254" s="7">
        <f t="shared" si="140"/>
        <v>-0.70823689876017992</v>
      </c>
    </row>
    <row r="255" spans="1:26" s="23" customFormat="1" hidden="1" outlineLevel="2" x14ac:dyDescent="0.25">
      <c r="A255" s="27"/>
      <c r="B255" s="10" t="str">
        <f>CONCATENATE("          ", "6245", " - ", "PRINTING")</f>
        <v xml:space="preserve">          6245 - PRINTING</v>
      </c>
      <c r="C255" s="10"/>
      <c r="D255" s="6">
        <v>5963.79</v>
      </c>
      <c r="E255" s="2"/>
      <c r="F255" s="7">
        <f t="shared" si="133"/>
        <v>1.1768323050027351E-2</v>
      </c>
      <c r="G255" s="2"/>
      <c r="H255" s="6">
        <v>66.150000000000006</v>
      </c>
      <c r="I255" s="2"/>
      <c r="J255" s="7">
        <f t="shared" si="134"/>
        <v>2.5089264112350765E-4</v>
      </c>
      <c r="K255" s="2"/>
      <c r="L255" s="6">
        <f t="shared" si="135"/>
        <v>5897.64</v>
      </c>
      <c r="M255" s="2"/>
      <c r="N255" s="7">
        <f t="shared" si="136"/>
        <v>89.155555555555551</v>
      </c>
      <c r="O255" s="10"/>
      <c r="P255" s="6">
        <v>9084.3799999999992</v>
      </c>
      <c r="Q255" s="2"/>
      <c r="R255" s="7">
        <f t="shared" si="137"/>
        <v>1.7428807164240109E-3</v>
      </c>
      <c r="S255" s="2"/>
      <c r="T255" s="6">
        <v>10709.34</v>
      </c>
      <c r="U255" s="2"/>
      <c r="V255" s="7">
        <f t="shared" si="138"/>
        <v>9.4012797269864398E-4</v>
      </c>
      <c r="W255" s="2"/>
      <c r="X255" s="6">
        <f t="shared" si="139"/>
        <v>-1624.9600000000009</v>
      </c>
      <c r="Y255" s="2"/>
      <c r="Z255" s="7">
        <f t="shared" si="140"/>
        <v>-0.15173297327379662</v>
      </c>
    </row>
    <row r="256" spans="1:26" s="23" customFormat="1" hidden="1" outlineLevel="2" x14ac:dyDescent="0.25">
      <c r="A256" s="27"/>
      <c r="B256" s="10" t="str">
        <f>CONCATENATE("          ", "6247", " - ", "STORE SUPPLIES")</f>
        <v xml:space="preserve">          6247 - STORE SUPPLIES</v>
      </c>
      <c r="C256" s="10"/>
      <c r="D256" s="6">
        <v>781.56</v>
      </c>
      <c r="E256" s="2"/>
      <c r="F256" s="7">
        <f t="shared" si="133"/>
        <v>1.5422492346275399E-3</v>
      </c>
      <c r="G256" s="2"/>
      <c r="H256" s="6">
        <v>1523.47</v>
      </c>
      <c r="I256" s="2"/>
      <c r="J256" s="7">
        <f t="shared" si="134"/>
        <v>5.7781921688953922E-3</v>
      </c>
      <c r="K256" s="2"/>
      <c r="L256" s="6">
        <f t="shared" si="135"/>
        <v>-741.91000000000008</v>
      </c>
      <c r="M256" s="2"/>
      <c r="N256" s="7">
        <f t="shared" si="136"/>
        <v>-0.48698694427852213</v>
      </c>
      <c r="O256" s="10"/>
      <c r="P256" s="6">
        <v>47369.15</v>
      </c>
      <c r="Q256" s="2"/>
      <c r="R256" s="7">
        <f t="shared" si="137"/>
        <v>9.087992585998874E-3</v>
      </c>
      <c r="S256" s="2"/>
      <c r="T256" s="6">
        <v>65715.070000000007</v>
      </c>
      <c r="U256" s="2"/>
      <c r="V256" s="7">
        <f t="shared" si="138"/>
        <v>5.768849951056693E-3</v>
      </c>
      <c r="W256" s="2"/>
      <c r="X256" s="6">
        <f t="shared" si="139"/>
        <v>-18345.920000000006</v>
      </c>
      <c r="Y256" s="2"/>
      <c r="Z256" s="7">
        <f t="shared" si="140"/>
        <v>-0.27917371160070292</v>
      </c>
    </row>
    <row r="257" spans="1:26" s="23" customFormat="1" hidden="1" outlineLevel="2" x14ac:dyDescent="0.25">
      <c r="A257" s="27"/>
      <c r="B257" s="10" t="str">
        <f>CONCATENATE("          ", "6248", " - ", "UNIFORMS")</f>
        <v xml:space="preserve">          6248 - UNIFORMS</v>
      </c>
      <c r="C257" s="10"/>
      <c r="D257" s="6"/>
      <c r="E257" s="2"/>
      <c r="F257" s="7">
        <f t="shared" si="133"/>
        <v>0</v>
      </c>
      <c r="G257" s="2"/>
      <c r="H257" s="6">
        <v>41.07</v>
      </c>
      <c r="I257" s="2"/>
      <c r="J257" s="7">
        <f t="shared" si="134"/>
        <v>1.5576962616693058E-4</v>
      </c>
      <c r="K257" s="2"/>
      <c r="L257" s="6">
        <f t="shared" si="135"/>
        <v>-41.07</v>
      </c>
      <c r="M257" s="2"/>
      <c r="N257" s="7">
        <f t="shared" si="136"/>
        <v>-1</v>
      </c>
      <c r="O257" s="10"/>
      <c r="P257" s="6"/>
      <c r="Q257" s="2"/>
      <c r="R257" s="7">
        <f t="shared" si="137"/>
        <v>0</v>
      </c>
      <c r="S257" s="2"/>
      <c r="T257" s="6">
        <v>238.09</v>
      </c>
      <c r="U257" s="2"/>
      <c r="V257" s="7">
        <f t="shared" si="138"/>
        <v>2.0900920973637979E-5</v>
      </c>
      <c r="W257" s="2"/>
      <c r="X257" s="6">
        <f t="shared" si="139"/>
        <v>-238.09</v>
      </c>
      <c r="Y257" s="2"/>
      <c r="Z257" s="7">
        <f t="shared" si="140"/>
        <v>-1</v>
      </c>
    </row>
    <row r="258" spans="1:26" s="26" customFormat="1" outlineLevel="1" collapsed="1" x14ac:dyDescent="0.25">
      <c r="A258" s="25"/>
      <c r="B258" s="12" t="str">
        <f>CONCATENATE("     ","Telephone/Data Lines                              ")</f>
        <v xml:space="preserve">     Telephone/Data Lines                              </v>
      </c>
      <c r="C258" s="12"/>
      <c r="D258" s="1">
        <f>SUM(OSRRefD22_22x_0)</f>
        <v>1888.05</v>
      </c>
      <c r="E258" s="1"/>
      <c r="F258" s="5">
        <f t="shared" ref="F258:F260" si="141">IF(D$12=0,0,D258/D$12)</f>
        <v>3.7256815438847009E-3</v>
      </c>
      <c r="G258" s="1"/>
      <c r="H258" s="1">
        <f>SUM(OSRRefH22_22x_0)</f>
        <v>3139.38</v>
      </c>
      <c r="I258" s="1"/>
      <c r="J258" s="5">
        <f t="shared" ref="J258:J260" si="142">IF(H$12=0,0,H258/H$12)</f>
        <v>1.1906989262136318E-2</v>
      </c>
      <c r="K258" s="1"/>
      <c r="L258" s="1">
        <f t="shared" ref="L258:L260" si="143">+D258-H258</f>
        <v>-1251.3300000000002</v>
      </c>
      <c r="M258" s="1"/>
      <c r="N258" s="5">
        <f t="shared" ref="N258:N260" si="144">IF(H258=0,0,L258/H258)</f>
        <v>-0.3985914416222312</v>
      </c>
      <c r="O258" s="12"/>
      <c r="P258" s="1">
        <f>SUM(OSRRefP22_22x_0)</f>
        <v>27237.87</v>
      </c>
      <c r="Q258" s="1"/>
      <c r="R258" s="5">
        <f t="shared" ref="R258:R260" si="145">IF(P$12=0,0,P258/P$12)</f>
        <v>5.2257125284790023E-3</v>
      </c>
      <c r="S258" s="1"/>
      <c r="T258" s="1">
        <f>SUM(OSRRefT22_22x_0)</f>
        <v>32233.14</v>
      </c>
      <c r="U258" s="1"/>
      <c r="V258" s="5">
        <f t="shared" ref="V258:V260" si="146">IF(T$12=0,0,T258/T$12)</f>
        <v>2.8296119613264279E-3</v>
      </c>
      <c r="W258" s="1"/>
      <c r="X258" s="1">
        <f t="shared" ref="X258:X260" si="147">+P258-T258</f>
        <v>-4995.2700000000004</v>
      </c>
      <c r="Y258" s="1"/>
      <c r="Z258" s="5">
        <f t="shared" ref="Z258:Z260" si="148">IF(T258=0,0,X258/T258)</f>
        <v>-0.15497311152435042</v>
      </c>
    </row>
    <row r="259" spans="1:26" s="23" customFormat="1" hidden="1" outlineLevel="2" x14ac:dyDescent="0.25">
      <c r="A259" s="27"/>
      <c r="B259" s="10" t="str">
        <f>CONCATENATE("          ", "6303", " - ", "DATA PHONE LINES")</f>
        <v xml:space="preserve">          6303 - DATA PHONE LINES</v>
      </c>
      <c r="C259" s="10"/>
      <c r="D259" s="6"/>
      <c r="E259" s="2"/>
      <c r="F259" s="7">
        <f t="shared" si="141"/>
        <v>0</v>
      </c>
      <c r="G259" s="2"/>
      <c r="H259" s="6">
        <v>590</v>
      </c>
      <c r="I259" s="2"/>
      <c r="J259" s="7">
        <f t="shared" si="142"/>
        <v>2.2377423773676419E-3</v>
      </c>
      <c r="K259" s="2"/>
      <c r="L259" s="6">
        <f t="shared" si="143"/>
        <v>-590</v>
      </c>
      <c r="M259" s="2"/>
      <c r="N259" s="7">
        <f t="shared" si="144"/>
        <v>-1</v>
      </c>
      <c r="O259" s="10"/>
      <c r="P259" s="6">
        <v>3540</v>
      </c>
      <c r="Q259" s="2"/>
      <c r="R259" s="7">
        <f t="shared" si="145"/>
        <v>6.7916552765747351E-4</v>
      </c>
      <c r="S259" s="2"/>
      <c r="T259" s="6">
        <v>2950</v>
      </c>
      <c r="U259" s="2"/>
      <c r="V259" s="7">
        <f t="shared" si="146"/>
        <v>2.5896810816175412E-4</v>
      </c>
      <c r="W259" s="2"/>
      <c r="X259" s="6">
        <f t="shared" si="147"/>
        <v>590</v>
      </c>
      <c r="Y259" s="2"/>
      <c r="Z259" s="7">
        <f t="shared" si="148"/>
        <v>0.2</v>
      </c>
    </row>
    <row r="260" spans="1:26" s="23" customFormat="1" hidden="1" outlineLevel="2" x14ac:dyDescent="0.25">
      <c r="A260" s="27"/>
      <c r="B260" s="10" t="str">
        <f>CONCATENATE("          ", "6309", " - ", "TELEPHONE")</f>
        <v xml:space="preserve">          6309 - TELEPHONE</v>
      </c>
      <c r="C260" s="10"/>
      <c r="D260" s="6">
        <v>1888.05</v>
      </c>
      <c r="E260" s="2"/>
      <c r="F260" s="7">
        <f t="shared" si="141"/>
        <v>3.7256815438847009E-3</v>
      </c>
      <c r="G260" s="2"/>
      <c r="H260" s="6">
        <v>2549.38</v>
      </c>
      <c r="I260" s="2"/>
      <c r="J260" s="7">
        <f t="shared" si="142"/>
        <v>9.6692468847686761E-3</v>
      </c>
      <c r="K260" s="2"/>
      <c r="L260" s="6">
        <f t="shared" si="143"/>
        <v>-661.33000000000015</v>
      </c>
      <c r="M260" s="2"/>
      <c r="N260" s="7">
        <f t="shared" si="144"/>
        <v>-0.25940816982952725</v>
      </c>
      <c r="O260" s="10"/>
      <c r="P260" s="6">
        <v>23697.87</v>
      </c>
      <c r="Q260" s="2"/>
      <c r="R260" s="7">
        <f t="shared" si="145"/>
        <v>4.5465470008215284E-3</v>
      </c>
      <c r="S260" s="2"/>
      <c r="T260" s="6">
        <v>29283.14</v>
      </c>
      <c r="U260" s="2"/>
      <c r="V260" s="7">
        <f t="shared" si="146"/>
        <v>2.570643853164674E-3</v>
      </c>
      <c r="W260" s="2"/>
      <c r="X260" s="6">
        <f t="shared" si="147"/>
        <v>-5585.27</v>
      </c>
      <c r="Y260" s="2"/>
      <c r="Z260" s="7">
        <f t="shared" si="148"/>
        <v>-0.1907333025078595</v>
      </c>
    </row>
    <row r="261" spans="1:26" s="26" customFormat="1" outlineLevel="1" collapsed="1" x14ac:dyDescent="0.25">
      <c r="A261" s="25"/>
      <c r="B261" s="12" t="str">
        <f>CONCATENATE("     ","Training                                          ")</f>
        <v xml:space="preserve">     Training                                          </v>
      </c>
      <c r="C261" s="12"/>
      <c r="D261" s="1">
        <f>SUM(OSRRefD22_23x_0)</f>
        <v>0</v>
      </c>
      <c r="E261" s="1"/>
      <c r="F261" s="5">
        <f t="shared" ref="F261:F266" si="149">IF(D$12=0,0,D261/D$12)</f>
        <v>0</v>
      </c>
      <c r="G261" s="1"/>
      <c r="H261" s="1">
        <f>SUM(OSRRefH22_23x_0)</f>
        <v>2140.13</v>
      </c>
      <c r="I261" s="1"/>
      <c r="J261" s="5">
        <f t="shared" ref="J261:J266" si="150">IF(H$12=0,0,H261/H$12)</f>
        <v>8.1170501594505281E-3</v>
      </c>
      <c r="K261" s="1"/>
      <c r="L261" s="1">
        <f t="shared" ref="L261:L266" si="151">+D261-H261</f>
        <v>-2140.13</v>
      </c>
      <c r="M261" s="1"/>
      <c r="N261" s="5">
        <f t="shared" ref="N261:N266" si="152">IF(H261=0,0,L261/H261)</f>
        <v>-1</v>
      </c>
      <c r="O261" s="12"/>
      <c r="P261" s="1">
        <f>SUM(OSRRefP22_23x_0)</f>
        <v>895.63</v>
      </c>
      <c r="Q261" s="1"/>
      <c r="R261" s="5">
        <f t="shared" ref="R261:R266" si="153">IF(P$12=0,0,P261/P$12)</f>
        <v>1.718307970440291E-4</v>
      </c>
      <c r="S261" s="1"/>
      <c r="T261" s="1">
        <f>SUM(OSRRefT22_23x_0)</f>
        <v>23967.01</v>
      </c>
      <c r="U261" s="1"/>
      <c r="V261" s="5">
        <f t="shared" ref="V261:V266" si="154">IF(T$12=0,0,T261/T$12)</f>
        <v>2.1039631315233364E-3</v>
      </c>
      <c r="W261" s="1"/>
      <c r="X261" s="1">
        <f t="shared" ref="X261:X266" si="155">+P261-T261</f>
        <v>-23071.379999999997</v>
      </c>
      <c r="Y261" s="1"/>
      <c r="Z261" s="5">
        <f t="shared" ref="Z261:Z266" si="156">IF(T261=0,0,X261/T261)</f>
        <v>-0.96263071613855877</v>
      </c>
    </row>
    <row r="262" spans="1:26" s="23" customFormat="1" hidden="1" outlineLevel="2" x14ac:dyDescent="0.25">
      <c r="A262" s="27"/>
      <c r="B262" s="10" t="str">
        <f>CONCATENATE("          ", "6376", " - ", "TRAINING")</f>
        <v xml:space="preserve">          6376 - TRAINING</v>
      </c>
      <c r="C262" s="10"/>
      <c r="D262" s="6"/>
      <c r="E262" s="2"/>
      <c r="F262" s="7">
        <f t="shared" si="149"/>
        <v>0</v>
      </c>
      <c r="G262" s="2"/>
      <c r="H262" s="6">
        <v>2140.13</v>
      </c>
      <c r="I262" s="2"/>
      <c r="J262" s="7">
        <f t="shared" si="150"/>
        <v>8.1170501594505281E-3</v>
      </c>
      <c r="K262" s="2"/>
      <c r="L262" s="6">
        <f t="shared" si="151"/>
        <v>-2140.13</v>
      </c>
      <c r="M262" s="2"/>
      <c r="N262" s="7">
        <f t="shared" si="152"/>
        <v>-1</v>
      </c>
      <c r="O262" s="10"/>
      <c r="P262" s="6">
        <v>895.63</v>
      </c>
      <c r="Q262" s="2"/>
      <c r="R262" s="7">
        <f t="shared" si="153"/>
        <v>1.718307970440291E-4</v>
      </c>
      <c r="S262" s="2"/>
      <c r="T262" s="6">
        <v>23967.01</v>
      </c>
      <c r="U262" s="2"/>
      <c r="V262" s="7">
        <f t="shared" si="154"/>
        <v>2.1039631315233364E-3</v>
      </c>
      <c r="W262" s="2"/>
      <c r="X262" s="6">
        <f t="shared" si="155"/>
        <v>-23071.379999999997</v>
      </c>
      <c r="Y262" s="2"/>
      <c r="Z262" s="7">
        <f t="shared" si="156"/>
        <v>-0.96263071613855877</v>
      </c>
    </row>
    <row r="263" spans="1:26" s="26" customFormat="1" outlineLevel="1" collapsed="1" x14ac:dyDescent="0.25">
      <c r="A263" s="25"/>
      <c r="B263" s="12" t="str">
        <f>CONCATENATE("     ","Travel                                            ")</f>
        <v xml:space="preserve">     Travel                                            </v>
      </c>
      <c r="C263" s="12"/>
      <c r="D263" s="1">
        <f>SUM(OSRRefD22_24x_0)</f>
        <v>0</v>
      </c>
      <c r="E263" s="1"/>
      <c r="F263" s="5">
        <f t="shared" si="149"/>
        <v>0</v>
      </c>
      <c r="G263" s="1"/>
      <c r="H263" s="1">
        <f>SUM(OSRRefH22_24x_0)</f>
        <v>0</v>
      </c>
      <c r="I263" s="1"/>
      <c r="J263" s="5">
        <f t="shared" si="150"/>
        <v>0</v>
      </c>
      <c r="K263" s="1"/>
      <c r="L263" s="1">
        <f t="shared" si="151"/>
        <v>0</v>
      </c>
      <c r="M263" s="1"/>
      <c r="N263" s="5">
        <f t="shared" si="152"/>
        <v>0</v>
      </c>
      <c r="O263" s="12"/>
      <c r="P263" s="1">
        <f>SUM(OSRRefP22_24x_0)</f>
        <v>972.4</v>
      </c>
      <c r="Q263" s="1"/>
      <c r="R263" s="5">
        <f t="shared" si="153"/>
        <v>1.8655947997009244E-4</v>
      </c>
      <c r="S263" s="1"/>
      <c r="T263" s="1">
        <f>SUM(OSRRefT22_24x_0)</f>
        <v>1383.79</v>
      </c>
      <c r="U263" s="1"/>
      <c r="V263" s="5">
        <f t="shared" si="154"/>
        <v>1.2147711131971312E-4</v>
      </c>
      <c r="W263" s="1"/>
      <c r="X263" s="1">
        <f t="shared" si="155"/>
        <v>-411.39</v>
      </c>
      <c r="Y263" s="1"/>
      <c r="Z263" s="5">
        <f t="shared" si="156"/>
        <v>-0.29729221919510906</v>
      </c>
    </row>
    <row r="264" spans="1:26" s="23" customFormat="1" hidden="1" outlineLevel="2" x14ac:dyDescent="0.25">
      <c r="A264" s="27"/>
      <c r="B264" s="10" t="str">
        <f>CONCATENATE("          ", "6292", " - ", "TRAVEL/CONFERENCE")</f>
        <v xml:space="preserve">          6292 - TRAVEL/CONFERENCE</v>
      </c>
      <c r="C264" s="10"/>
      <c r="D264" s="6"/>
      <c r="E264" s="2"/>
      <c r="F264" s="7">
        <f t="shared" si="149"/>
        <v>0</v>
      </c>
      <c r="G264" s="2"/>
      <c r="H264" s="6"/>
      <c r="I264" s="2"/>
      <c r="J264" s="7">
        <f t="shared" si="150"/>
        <v>0</v>
      </c>
      <c r="K264" s="2"/>
      <c r="L264" s="6">
        <f t="shared" si="151"/>
        <v>0</v>
      </c>
      <c r="M264" s="2"/>
      <c r="N264" s="7">
        <f t="shared" si="152"/>
        <v>0</v>
      </c>
      <c r="O264" s="10"/>
      <c r="P264" s="6">
        <v>299.16000000000003</v>
      </c>
      <c r="Q264" s="2"/>
      <c r="R264" s="7">
        <f t="shared" si="153"/>
        <v>5.7395242727121411E-5</v>
      </c>
      <c r="S264" s="2"/>
      <c r="T264" s="6">
        <v>504.66</v>
      </c>
      <c r="U264" s="2"/>
      <c r="V264" s="7">
        <f t="shared" si="154"/>
        <v>4.4301981513529098E-5</v>
      </c>
      <c r="W264" s="2"/>
      <c r="X264" s="6">
        <f t="shared" si="155"/>
        <v>-205.5</v>
      </c>
      <c r="Y264" s="2"/>
      <c r="Z264" s="7">
        <f t="shared" si="156"/>
        <v>-0.40720485079063129</v>
      </c>
    </row>
    <row r="265" spans="1:26" s="23" customFormat="1" hidden="1" outlineLevel="2" x14ac:dyDescent="0.25">
      <c r="A265" s="27"/>
      <c r="B265" s="10" t="str">
        <f>CONCATENATE("          ", "6294", " - ", "TRAVEL OPERATIONAL")</f>
        <v xml:space="preserve">          6294 - TRAVEL OPERATIONAL</v>
      </c>
      <c r="C265" s="10"/>
      <c r="D265" s="6"/>
      <c r="E265" s="2"/>
      <c r="F265" s="7">
        <f t="shared" si="149"/>
        <v>0</v>
      </c>
      <c r="G265" s="2"/>
      <c r="H265" s="6"/>
      <c r="I265" s="2"/>
      <c r="J265" s="7">
        <f t="shared" si="150"/>
        <v>0</v>
      </c>
      <c r="K265" s="2"/>
      <c r="L265" s="6">
        <f t="shared" si="151"/>
        <v>0</v>
      </c>
      <c r="M265" s="2"/>
      <c r="N265" s="7">
        <f t="shared" si="152"/>
        <v>0</v>
      </c>
      <c r="O265" s="10"/>
      <c r="P265" s="6">
        <v>613.35</v>
      </c>
      <c r="Q265" s="2"/>
      <c r="R265" s="7">
        <f t="shared" si="153"/>
        <v>1.1767406112675463E-4</v>
      </c>
      <c r="S265" s="2"/>
      <c r="T265" s="6">
        <v>361.61</v>
      </c>
      <c r="U265" s="2"/>
      <c r="V265" s="7">
        <f t="shared" si="154"/>
        <v>3.174422291266844E-5</v>
      </c>
      <c r="W265" s="2"/>
      <c r="X265" s="6">
        <f t="shared" si="155"/>
        <v>251.74</v>
      </c>
      <c r="Y265" s="2"/>
      <c r="Z265" s="7">
        <f t="shared" si="156"/>
        <v>0.69616437598517744</v>
      </c>
    </row>
    <row r="266" spans="1:26" s="23" customFormat="1" hidden="1" outlineLevel="2" x14ac:dyDescent="0.25">
      <c r="A266" s="27"/>
      <c r="B266" s="10" t="str">
        <f>CONCATENATE("          ", "6298", " - ", "VEHICLE MILEAGE")</f>
        <v xml:space="preserve">          6298 - VEHICLE MILEAGE</v>
      </c>
      <c r="C266" s="10"/>
      <c r="D266" s="6"/>
      <c r="E266" s="2"/>
      <c r="F266" s="7">
        <f t="shared" si="149"/>
        <v>0</v>
      </c>
      <c r="G266" s="2"/>
      <c r="H266" s="6"/>
      <c r="I266" s="2"/>
      <c r="J266" s="7">
        <f t="shared" si="150"/>
        <v>0</v>
      </c>
      <c r="K266" s="2"/>
      <c r="L266" s="6">
        <f t="shared" si="151"/>
        <v>0</v>
      </c>
      <c r="M266" s="2"/>
      <c r="N266" s="7">
        <f t="shared" si="152"/>
        <v>0</v>
      </c>
      <c r="O266" s="10"/>
      <c r="P266" s="6">
        <v>59.89</v>
      </c>
      <c r="Q266" s="2"/>
      <c r="R266" s="7">
        <f t="shared" si="153"/>
        <v>1.149017611621641E-5</v>
      </c>
      <c r="S266" s="2"/>
      <c r="T266" s="6">
        <v>517.52</v>
      </c>
      <c r="U266" s="2"/>
      <c r="V266" s="7">
        <f t="shared" si="154"/>
        <v>4.543090689351559E-5</v>
      </c>
      <c r="W266" s="2"/>
      <c r="X266" s="6">
        <f t="shared" si="155"/>
        <v>-457.63</v>
      </c>
      <c r="Y266" s="2"/>
      <c r="Z266" s="7">
        <f t="shared" si="156"/>
        <v>-0.88427500386458502</v>
      </c>
    </row>
    <row r="267" spans="1:26" s="26" customFormat="1" outlineLevel="1" collapsed="1" x14ac:dyDescent="0.25">
      <c r="A267" s="25"/>
      <c r="B267" s="12" t="str">
        <f>CONCATENATE("     ","Utilities                                         ")</f>
        <v xml:space="preserve">     Utilities                                         </v>
      </c>
      <c r="C267" s="12"/>
      <c r="D267" s="1">
        <f>SUM(OSRRefD22_25x_0)</f>
        <v>7298.9</v>
      </c>
      <c r="E267" s="1"/>
      <c r="F267" s="5">
        <f t="shared" ref="F267:F268" si="157">IF(D$12=0,0,D267/D$12)</f>
        <v>1.4402890294568493E-2</v>
      </c>
      <c r="G267" s="1"/>
      <c r="H267" s="1">
        <f>SUM(OSRRefH22_25x_0)</f>
        <v>7268.43</v>
      </c>
      <c r="I267" s="1"/>
      <c r="J267" s="5">
        <f t="shared" ref="J267:J268" si="158">IF(H$12=0,0,H267/H$12)</f>
        <v>2.7567582759203881E-2</v>
      </c>
      <c r="K267" s="1"/>
      <c r="L267" s="1">
        <f t="shared" ref="L267:L268" si="159">+D267-H267</f>
        <v>30.469999999999345</v>
      </c>
      <c r="M267" s="1"/>
      <c r="N267" s="5">
        <f t="shared" ref="N267:N268" si="160">IF(H267=0,0,L267/H267)</f>
        <v>4.1921020082740486E-3</v>
      </c>
      <c r="O267" s="12"/>
      <c r="P267" s="1">
        <f>SUM(OSRRefP22_25x_0)</f>
        <v>71762.45</v>
      </c>
      <c r="Q267" s="1"/>
      <c r="R267" s="5">
        <f t="shared" ref="R267:R268" si="161">IF(P$12=0,0,P267/P$12)</f>
        <v>1.3767961079164706E-2</v>
      </c>
      <c r="S267" s="1"/>
      <c r="T267" s="1">
        <f>SUM(OSRRefT22_25x_0)</f>
        <v>76968.52</v>
      </c>
      <c r="U267" s="1"/>
      <c r="V267" s="5">
        <f t="shared" ref="V267:V268" si="162">IF(T$12=0,0,T267/T$12)</f>
        <v>6.7567430550542831E-3</v>
      </c>
      <c r="W267" s="1"/>
      <c r="X267" s="1">
        <f t="shared" ref="X267:X268" si="163">+P267-T267</f>
        <v>-5206.070000000007</v>
      </c>
      <c r="Y267" s="1"/>
      <c r="Z267" s="5">
        <f t="shared" ref="Z267:Z268" si="164">IF(T267=0,0,X267/T267)</f>
        <v>-6.7638951612945225E-2</v>
      </c>
    </row>
    <row r="268" spans="1:26" s="23" customFormat="1" hidden="1" outlineLevel="2" x14ac:dyDescent="0.25">
      <c r="A268" s="27"/>
      <c r="B268" s="10" t="str">
        <f>CONCATENATE("          ", "6274", " - ", "UTILITIES")</f>
        <v xml:space="preserve">          6274 - UTILITIES</v>
      </c>
      <c r="C268" s="10"/>
      <c r="D268" s="6">
        <v>7298.9</v>
      </c>
      <c r="E268" s="2"/>
      <c r="F268" s="7">
        <f t="shared" si="157"/>
        <v>1.4402890294568493E-2</v>
      </c>
      <c r="G268" s="2"/>
      <c r="H268" s="6">
        <v>7268.43</v>
      </c>
      <c r="I268" s="2"/>
      <c r="J268" s="7">
        <f t="shared" si="158"/>
        <v>2.7567582759203881E-2</v>
      </c>
      <c r="K268" s="2"/>
      <c r="L268" s="6">
        <f t="shared" si="159"/>
        <v>30.469999999999345</v>
      </c>
      <c r="M268" s="2"/>
      <c r="N268" s="7">
        <f t="shared" si="160"/>
        <v>4.1921020082740486E-3</v>
      </c>
      <c r="O268" s="10"/>
      <c r="P268" s="6">
        <v>71762.45</v>
      </c>
      <c r="Q268" s="2"/>
      <c r="R268" s="7">
        <f t="shared" si="161"/>
        <v>1.3767961079164706E-2</v>
      </c>
      <c r="S268" s="2"/>
      <c r="T268" s="6">
        <v>76968.52</v>
      </c>
      <c r="U268" s="2"/>
      <c r="V268" s="7">
        <f t="shared" si="162"/>
        <v>6.7567430550542831E-3</v>
      </c>
      <c r="W268" s="2"/>
      <c r="X268" s="6">
        <f t="shared" si="163"/>
        <v>-5206.070000000007</v>
      </c>
      <c r="Y268" s="2"/>
      <c r="Z268" s="7">
        <f t="shared" si="164"/>
        <v>-6.7638951612945225E-2</v>
      </c>
    </row>
    <row r="269" spans="1:26" s="57" customFormat="1" x14ac:dyDescent="0.25">
      <c r="A269" s="37"/>
      <c r="B269" s="37"/>
      <c r="C269" s="37"/>
      <c r="D269" s="1"/>
      <c r="E269" s="1"/>
      <c r="F269" s="5"/>
      <c r="G269" s="1"/>
      <c r="H269" s="1"/>
      <c r="I269" s="1"/>
      <c r="J269" s="5"/>
      <c r="K269" s="1"/>
      <c r="L269" s="1"/>
      <c r="M269" s="1"/>
      <c r="N269" s="5"/>
      <c r="O269" s="37"/>
      <c r="P269" s="1"/>
      <c r="Q269" s="1"/>
      <c r="R269" s="5"/>
      <c r="S269" s="1"/>
      <c r="T269" s="1"/>
      <c r="U269" s="1"/>
      <c r="V269" s="5"/>
      <c r="W269" s="1"/>
      <c r="X269" s="1"/>
      <c r="Y269" s="1"/>
      <c r="Z269" s="5"/>
    </row>
    <row r="270" spans="1:26" s="24" customFormat="1" collapsed="1" x14ac:dyDescent="0.25">
      <c r="A270" s="11"/>
      <c r="B270" s="29" t="s">
        <v>292</v>
      </c>
      <c r="C270" s="11"/>
      <c r="D270" s="4">
        <f>SUM(OSRRefD25x_0)</f>
        <v>60098.659999999996</v>
      </c>
      <c r="E270" s="4"/>
      <c r="F270" s="13">
        <f t="shared" ref="F270:F279" si="165">IF(D$12=0,0,D270/D$12)</f>
        <v>0.11859244637281942</v>
      </c>
      <c r="G270" s="4"/>
      <c r="H270" s="4">
        <f>SUM(OSRRefH25x_0)</f>
        <v>108077.11</v>
      </c>
      <c r="I270" s="4"/>
      <c r="J270" s="13">
        <f t="shared" ref="J270:J279" si="166">IF(H$12=0,0,H270/H$12)</f>
        <v>0.40991310011936294</v>
      </c>
      <c r="K270" s="4"/>
      <c r="L270" s="4">
        <f t="shared" ref="L270:L279" si="167">+D270-H270</f>
        <v>-47978.450000000004</v>
      </c>
      <c r="M270" s="4"/>
      <c r="N270" s="13">
        <f t="shared" ref="N270:N279" si="168">IF(H270=0,0,L270/H270)</f>
        <v>-0.44392795107123056</v>
      </c>
      <c r="O270" s="11"/>
      <c r="P270" s="4">
        <f>SUM(OSRRefP25x_0)</f>
        <v>1053091.8299999998</v>
      </c>
      <c r="Q270" s="4"/>
      <c r="R270" s="13">
        <f t="shared" ref="R270:R279" si="169">IF(P$12=0,0,P270/P$12)</f>
        <v>0.20204058429201252</v>
      </c>
      <c r="S270" s="4"/>
      <c r="T270" s="4">
        <f>SUM(OSRRefT25x_0)</f>
        <v>1169105.1499999999</v>
      </c>
      <c r="U270" s="4"/>
      <c r="V270" s="13">
        <f t="shared" ref="V270:V279" si="170">IF(T$12=0,0,T270/T$12)</f>
        <v>0.10263083014836059</v>
      </c>
      <c r="W270" s="4"/>
      <c r="X270" s="4">
        <f t="shared" ref="X270:X279" si="171">+P270-T270</f>
        <v>-116013.32000000007</v>
      </c>
      <c r="Y270" s="4"/>
      <c r="Z270" s="13">
        <f t="shared" ref="Z270:Z279" si="172">IF(T270=0,0,X270/T270)</f>
        <v>-9.9232579721336506E-2</v>
      </c>
    </row>
    <row r="271" spans="1:26" s="23" customFormat="1" hidden="1" outlineLevel="1" x14ac:dyDescent="0.25">
      <c r="A271" s="44"/>
      <c r="B271" s="10" t="str">
        <f>CONCATENATE("          ", "4098", " - ", "TAXABLE SALES-GRAD RENTALS")</f>
        <v xml:space="preserve">          4098 - TAXABLE SALES-GRAD RENTALS</v>
      </c>
      <c r="C271" s="10"/>
      <c r="D271" s="2">
        <f t="shared" ref="D271:D273" si="173">0</f>
        <v>0</v>
      </c>
      <c r="E271" s="2"/>
      <c r="F271" s="19">
        <f t="shared" si="165"/>
        <v>0</v>
      </c>
      <c r="G271" s="2"/>
      <c r="H271" s="2">
        <f>-152</f>
        <v>-152</v>
      </c>
      <c r="I271" s="2"/>
      <c r="J271" s="19">
        <f t="shared" si="166"/>
        <v>-5.7650312094895172E-4</v>
      </c>
      <c r="K271" s="2"/>
      <c r="L271" s="2">
        <f t="shared" si="167"/>
        <v>152</v>
      </c>
      <c r="M271" s="2"/>
      <c r="N271" s="19">
        <f t="shared" si="168"/>
        <v>-1</v>
      </c>
      <c r="O271" s="10"/>
      <c r="P271" s="2">
        <f>--49.95</f>
        <v>49.95</v>
      </c>
      <c r="Q271" s="2"/>
      <c r="R271" s="19">
        <f t="shared" si="169"/>
        <v>9.58314070804825E-6</v>
      </c>
      <c r="S271" s="2"/>
      <c r="T271" s="2">
        <f>--1946.85</f>
        <v>1946.85</v>
      </c>
      <c r="U271" s="2"/>
      <c r="V271" s="19">
        <f t="shared" si="170"/>
        <v>1.7090578351685118E-4</v>
      </c>
      <c r="W271" s="2"/>
      <c r="X271" s="2">
        <f t="shared" si="171"/>
        <v>-1896.8999999999999</v>
      </c>
      <c r="Y271" s="2"/>
      <c r="Z271" s="19">
        <f t="shared" si="172"/>
        <v>-0.97434316973572688</v>
      </c>
    </row>
    <row r="272" spans="1:26" s="23" customFormat="1" hidden="1" outlineLevel="1" x14ac:dyDescent="0.25">
      <c r="A272" s="44"/>
      <c r="B272" s="10" t="str">
        <f>CONCATENATE("          ", "4197", " - ", "NON-TAXABLE SALES-RETURNED CHE")</f>
        <v xml:space="preserve">          4197 - NON-TAXABLE SALES-RETURNED CHE</v>
      </c>
      <c r="C272" s="10"/>
      <c r="D272" s="2">
        <f t="shared" si="173"/>
        <v>0</v>
      </c>
      <c r="E272" s="2"/>
      <c r="F272" s="19">
        <f t="shared" si="165"/>
        <v>0</v>
      </c>
      <c r="G272" s="2"/>
      <c r="H272" s="2">
        <f>0</f>
        <v>0</v>
      </c>
      <c r="I272" s="2"/>
      <c r="J272" s="19">
        <f t="shared" si="166"/>
        <v>0</v>
      </c>
      <c r="K272" s="2"/>
      <c r="L272" s="2">
        <f t="shared" si="167"/>
        <v>0</v>
      </c>
      <c r="M272" s="2"/>
      <c r="N272" s="19">
        <f t="shared" si="168"/>
        <v>0</v>
      </c>
      <c r="O272" s="10"/>
      <c r="P272" s="2">
        <f t="shared" ref="P272:P273" si="174">0</f>
        <v>0</v>
      </c>
      <c r="Q272" s="2"/>
      <c r="R272" s="19">
        <f t="shared" si="169"/>
        <v>0</v>
      </c>
      <c r="S272" s="2"/>
      <c r="T272" s="2">
        <f>--30</f>
        <v>30</v>
      </c>
      <c r="U272" s="2"/>
      <c r="V272" s="19">
        <f t="shared" si="170"/>
        <v>2.6335739813059742E-6</v>
      </c>
      <c r="W272" s="2"/>
      <c r="X272" s="2">
        <f t="shared" si="171"/>
        <v>-30</v>
      </c>
      <c r="Y272" s="2"/>
      <c r="Z272" s="19">
        <f t="shared" si="172"/>
        <v>-1</v>
      </c>
    </row>
    <row r="273" spans="1:26" s="23" customFormat="1" hidden="1" outlineLevel="1" x14ac:dyDescent="0.25">
      <c r="A273" s="44"/>
      <c r="B273" s="10" t="str">
        <f>CONCATENATE("          ", "4198", " - ", "NON-TAXABLE SALES-GRAD RENTALS")</f>
        <v xml:space="preserve">          4198 - NON-TAXABLE SALES-GRAD RENTALS</v>
      </c>
      <c r="C273" s="10"/>
      <c r="D273" s="2">
        <f t="shared" si="173"/>
        <v>0</v>
      </c>
      <c r="E273" s="2"/>
      <c r="F273" s="19">
        <f t="shared" si="165"/>
        <v>0</v>
      </c>
      <c r="G273" s="2"/>
      <c r="H273" s="2">
        <f>-3469.7</f>
        <v>-3469.7</v>
      </c>
      <c r="I273" s="2"/>
      <c r="J273" s="19">
        <f t="shared" si="166"/>
        <v>-1.315982157076696E-2</v>
      </c>
      <c r="K273" s="2"/>
      <c r="L273" s="2">
        <f t="shared" si="167"/>
        <v>3469.7</v>
      </c>
      <c r="M273" s="2"/>
      <c r="N273" s="19">
        <f t="shared" si="168"/>
        <v>-1</v>
      </c>
      <c r="O273" s="10"/>
      <c r="P273" s="2">
        <f t="shared" si="174"/>
        <v>0</v>
      </c>
      <c r="Q273" s="2"/>
      <c r="R273" s="19">
        <f t="shared" si="169"/>
        <v>0</v>
      </c>
      <c r="S273" s="2"/>
      <c r="T273" s="2">
        <f>--163.76</f>
        <v>163.76</v>
      </c>
      <c r="U273" s="2"/>
      <c r="V273" s="19">
        <f t="shared" si="170"/>
        <v>1.4375802505955542E-5</v>
      </c>
      <c r="W273" s="2"/>
      <c r="X273" s="2">
        <f t="shared" si="171"/>
        <v>-163.76</v>
      </c>
      <c r="Y273" s="2"/>
      <c r="Z273" s="19">
        <f t="shared" si="172"/>
        <v>-1</v>
      </c>
    </row>
    <row r="274" spans="1:26" s="23" customFormat="1" hidden="1" outlineLevel="1" x14ac:dyDescent="0.25">
      <c r="A274" s="44"/>
      <c r="B274" s="10" t="str">
        <f>CONCATENATE("          ", "9150", " - ", "MISC. INCOME")</f>
        <v xml:space="preserve">          9150 - MISC. INCOME</v>
      </c>
      <c r="C274" s="10"/>
      <c r="D274" s="2">
        <f>--56800.59</f>
        <v>56800.59</v>
      </c>
      <c r="E274" s="2"/>
      <c r="F274" s="19">
        <f t="shared" si="165"/>
        <v>0.11208437797980027</v>
      </c>
      <c r="G274" s="2"/>
      <c r="H274" s="2">
        <f>--48272.63</f>
        <v>48272.63</v>
      </c>
      <c r="I274" s="2"/>
      <c r="J274" s="19">
        <f t="shared" si="166"/>
        <v>0.18308764375930262</v>
      </c>
      <c r="K274" s="2"/>
      <c r="L274" s="2">
        <f t="shared" si="167"/>
        <v>8527.9599999999991</v>
      </c>
      <c r="M274" s="2"/>
      <c r="N274" s="19">
        <f t="shared" si="168"/>
        <v>0.17666242754952444</v>
      </c>
      <c r="O274" s="10"/>
      <c r="P274" s="2">
        <f>--403420.29</f>
        <v>403420.29</v>
      </c>
      <c r="Q274" s="2"/>
      <c r="R274" s="19">
        <f t="shared" si="169"/>
        <v>7.7398066137169763E-2</v>
      </c>
      <c r="S274" s="2"/>
      <c r="T274" s="2">
        <f>--476038.11</f>
        <v>476038.11</v>
      </c>
      <c r="U274" s="2"/>
      <c r="V274" s="19">
        <f t="shared" si="170"/>
        <v>4.1789386020202372E-2</v>
      </c>
      <c r="W274" s="2"/>
      <c r="X274" s="2">
        <f t="shared" si="171"/>
        <v>-72617.820000000007</v>
      </c>
      <c r="Y274" s="2"/>
      <c r="Z274" s="19">
        <f t="shared" si="172"/>
        <v>-0.15254623206532772</v>
      </c>
    </row>
    <row r="275" spans="1:26" s="23" customFormat="1" hidden="1" outlineLevel="1" x14ac:dyDescent="0.25">
      <c r="A275" s="44"/>
      <c r="B275" s="10" t="str">
        <f>CONCATENATE("          ", "9151", " - ", "MISC. INCOME")</f>
        <v xml:space="preserve">          9151 - MISC. INCOME</v>
      </c>
      <c r="C275" s="10"/>
      <c r="D275" s="2">
        <f>0</f>
        <v>0</v>
      </c>
      <c r="E275" s="2"/>
      <c r="F275" s="19">
        <f t="shared" si="165"/>
        <v>0</v>
      </c>
      <c r="G275" s="2"/>
      <c r="H275" s="2">
        <f>0</f>
        <v>0</v>
      </c>
      <c r="I275" s="2"/>
      <c r="J275" s="19">
        <f t="shared" si="166"/>
        <v>0</v>
      </c>
      <c r="K275" s="2"/>
      <c r="L275" s="2">
        <f t="shared" si="167"/>
        <v>0</v>
      </c>
      <c r="M275" s="2"/>
      <c r="N275" s="19">
        <f t="shared" si="168"/>
        <v>0</v>
      </c>
      <c r="O275" s="10"/>
      <c r="P275" s="2">
        <f>--295628.46</f>
        <v>295628.46000000002</v>
      </c>
      <c r="Q275" s="2"/>
      <c r="R275" s="19">
        <f t="shared" si="169"/>
        <v>5.6717700289962238E-2</v>
      </c>
      <c r="S275" s="2"/>
      <c r="T275" s="2">
        <f>--169392.7</f>
        <v>169392.7</v>
      </c>
      <c r="U275" s="2"/>
      <c r="V275" s="19">
        <f t="shared" si="170"/>
        <v>1.4870273578105617E-2</v>
      </c>
      <c r="W275" s="2"/>
      <c r="X275" s="2">
        <f t="shared" si="171"/>
        <v>126235.76000000001</v>
      </c>
      <c r="Y275" s="2"/>
      <c r="Z275" s="19">
        <f t="shared" si="172"/>
        <v>0.7452255026338207</v>
      </c>
    </row>
    <row r="276" spans="1:26" s="23" customFormat="1" hidden="1" outlineLevel="1" x14ac:dyDescent="0.25">
      <c r="A276" s="44"/>
      <c r="B276" s="10" t="str">
        <f>CONCATENATE("          ", "9152", " - ", "MISC. INCOME")</f>
        <v xml:space="preserve">          9152 - MISC. INCOME</v>
      </c>
      <c r="C276" s="10"/>
      <c r="D276" s="2">
        <f>--1436.07</f>
        <v>1436.07</v>
      </c>
      <c r="E276" s="2"/>
      <c r="F276" s="19">
        <f t="shared" si="165"/>
        <v>2.8337912103633392E-3</v>
      </c>
      <c r="G276" s="2"/>
      <c r="H276" s="2">
        <f>--5092.84</f>
        <v>5092.84</v>
      </c>
      <c r="I276" s="2"/>
      <c r="J276" s="19">
        <f t="shared" si="166"/>
        <v>1.9316040490089868E-2</v>
      </c>
      <c r="K276" s="2"/>
      <c r="L276" s="2">
        <f t="shared" si="167"/>
        <v>-3656.7700000000004</v>
      </c>
      <c r="M276" s="2"/>
      <c r="N276" s="19">
        <f t="shared" si="168"/>
        <v>-0.71802177174228921</v>
      </c>
      <c r="O276" s="10"/>
      <c r="P276" s="2">
        <f>--5652.57</f>
        <v>5652.57</v>
      </c>
      <c r="Q276" s="2"/>
      <c r="R276" s="19">
        <f t="shared" si="169"/>
        <v>1.084471945387233E-3</v>
      </c>
      <c r="S276" s="2"/>
      <c r="T276" s="2">
        <f>--9874.89</f>
        <v>9874.89</v>
      </c>
      <c r="U276" s="2"/>
      <c r="V276" s="19">
        <f t="shared" si="170"/>
        <v>8.6687511240861824E-4</v>
      </c>
      <c r="W276" s="2"/>
      <c r="X276" s="2">
        <f t="shared" si="171"/>
        <v>-4222.32</v>
      </c>
      <c r="Y276" s="2"/>
      <c r="Z276" s="19">
        <f t="shared" si="172"/>
        <v>-0.42758147179360984</v>
      </c>
    </row>
    <row r="277" spans="1:26" s="23" customFormat="1" hidden="1" outlineLevel="1" x14ac:dyDescent="0.25">
      <c r="A277" s="44"/>
      <c r="B277" s="10" t="str">
        <f>CONCATENATE("          ", "9153", " - ", "MISC. INCOME")</f>
        <v xml:space="preserve">          9153 - MISC. INCOME</v>
      </c>
      <c r="C277" s="10"/>
      <c r="D277" s="2">
        <f t="shared" ref="D277:D278" si="175">0</f>
        <v>0</v>
      </c>
      <c r="E277" s="2"/>
      <c r="F277" s="19">
        <f t="shared" si="165"/>
        <v>0</v>
      </c>
      <c r="G277" s="2"/>
      <c r="H277" s="2">
        <f t="shared" ref="H277:H278" si="176">0</f>
        <v>0</v>
      </c>
      <c r="I277" s="2"/>
      <c r="J277" s="19">
        <f t="shared" si="166"/>
        <v>0</v>
      </c>
      <c r="K277" s="2"/>
      <c r="L277" s="2">
        <f t="shared" si="167"/>
        <v>0</v>
      </c>
      <c r="M277" s="2"/>
      <c r="N277" s="19">
        <f t="shared" si="168"/>
        <v>0</v>
      </c>
      <c r="O277" s="10"/>
      <c r="P277" s="2">
        <f t="shared" ref="P277:P278" si="177">0</f>
        <v>0</v>
      </c>
      <c r="Q277" s="2"/>
      <c r="R277" s="19">
        <f t="shared" si="169"/>
        <v>0</v>
      </c>
      <c r="S277" s="2"/>
      <c r="T277" s="2">
        <f>--450</f>
        <v>450</v>
      </c>
      <c r="U277" s="2"/>
      <c r="V277" s="19">
        <f t="shared" si="170"/>
        <v>3.9503609719589607E-5</v>
      </c>
      <c r="W277" s="2"/>
      <c r="X277" s="2">
        <f t="shared" si="171"/>
        <v>-450</v>
      </c>
      <c r="Y277" s="2"/>
      <c r="Z277" s="19">
        <f t="shared" si="172"/>
        <v>-1</v>
      </c>
    </row>
    <row r="278" spans="1:26" s="23" customFormat="1" hidden="1" outlineLevel="1" x14ac:dyDescent="0.25">
      <c r="A278" s="44"/>
      <c r="B278" s="10" t="str">
        <f>CONCATENATE("          ", "9160", " - ", "MISC. INCOME")</f>
        <v xml:space="preserve">          9160 - MISC. INCOME</v>
      </c>
      <c r="C278" s="10"/>
      <c r="D278" s="2">
        <f t="shared" si="175"/>
        <v>0</v>
      </c>
      <c r="E278" s="2"/>
      <c r="F278" s="19">
        <f t="shared" si="165"/>
        <v>0</v>
      </c>
      <c r="G278" s="2"/>
      <c r="H278" s="2">
        <f t="shared" si="176"/>
        <v>0</v>
      </c>
      <c r="I278" s="2"/>
      <c r="J278" s="19">
        <f t="shared" si="166"/>
        <v>0</v>
      </c>
      <c r="K278" s="2"/>
      <c r="L278" s="2">
        <f t="shared" si="167"/>
        <v>0</v>
      </c>
      <c r="M278" s="2"/>
      <c r="N278" s="19">
        <f t="shared" si="168"/>
        <v>0</v>
      </c>
      <c r="O278" s="10"/>
      <c r="P278" s="2">
        <f t="shared" si="177"/>
        <v>0</v>
      </c>
      <c r="Q278" s="2"/>
      <c r="R278" s="19">
        <f t="shared" si="169"/>
        <v>0</v>
      </c>
      <c r="S278" s="2"/>
      <c r="T278" s="2">
        <f>--22475</f>
        <v>22475</v>
      </c>
      <c r="U278" s="2"/>
      <c r="V278" s="19">
        <f t="shared" si="170"/>
        <v>1.9729858409950588E-3</v>
      </c>
      <c r="W278" s="2"/>
      <c r="X278" s="2">
        <f t="shared" si="171"/>
        <v>-22475</v>
      </c>
      <c r="Y278" s="2"/>
      <c r="Z278" s="19">
        <f t="shared" si="172"/>
        <v>-1</v>
      </c>
    </row>
    <row r="279" spans="1:26" s="23" customFormat="1" hidden="1" outlineLevel="1" x14ac:dyDescent="0.25">
      <c r="A279" s="44"/>
      <c r="B279" s="10" t="str">
        <f>CONCATENATE("          ", "9163", " - ", "MISC. INCOME")</f>
        <v xml:space="preserve">          9163 - MISC. INCOME</v>
      </c>
      <c r="C279" s="10"/>
      <c r="D279" s="2">
        <f>--1862</f>
        <v>1862</v>
      </c>
      <c r="E279" s="2"/>
      <c r="F279" s="19">
        <f t="shared" si="165"/>
        <v>3.6742771826558159E-3</v>
      </c>
      <c r="G279" s="2"/>
      <c r="H279" s="2">
        <f>--58333.34</f>
        <v>58333.34</v>
      </c>
      <c r="I279" s="2"/>
      <c r="J279" s="19">
        <f t="shared" si="166"/>
        <v>0.22124574056168633</v>
      </c>
      <c r="K279" s="2"/>
      <c r="L279" s="2">
        <f t="shared" si="167"/>
        <v>-56471.34</v>
      </c>
      <c r="M279" s="2"/>
      <c r="N279" s="19">
        <f t="shared" si="168"/>
        <v>-0.96808000364799962</v>
      </c>
      <c r="O279" s="10"/>
      <c r="P279" s="2">
        <f>--348340.56</f>
        <v>348340.56</v>
      </c>
      <c r="Q279" s="2"/>
      <c r="R279" s="19">
        <f t="shared" si="169"/>
        <v>6.683076277878526E-2</v>
      </c>
      <c r="S279" s="2"/>
      <c r="T279" s="2">
        <f>--488733.84</f>
        <v>488733.84</v>
      </c>
      <c r="U279" s="2"/>
      <c r="V279" s="19">
        <f t="shared" si="170"/>
        <v>4.290389082692523E-2</v>
      </c>
      <c r="W279" s="2"/>
      <c r="X279" s="2">
        <f t="shared" si="171"/>
        <v>-140393.28000000003</v>
      </c>
      <c r="Y279" s="2"/>
      <c r="Z279" s="19">
        <f t="shared" si="172"/>
        <v>-0.28725917566911269</v>
      </c>
    </row>
    <row r="280" spans="1:26" x14ac:dyDescent="0.25">
      <c r="A280" s="9"/>
      <c r="B280" s="11"/>
      <c r="C280" s="11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1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4" customFormat="1" x14ac:dyDescent="0.25">
      <c r="A281" s="11"/>
      <c r="B281" s="28" t="s">
        <v>276</v>
      </c>
      <c r="C281" s="28"/>
      <c r="D281" s="20">
        <f>+D171-D173+D270</f>
        <v>72613.410000000207</v>
      </c>
      <c r="E281" s="14"/>
      <c r="F281" s="21">
        <f>IF(D$12=0,0,D281/D$12)</f>
        <v>0.14328775269486166</v>
      </c>
      <c r="G281" s="14"/>
      <c r="H281" s="20">
        <f>+H171-H173+H270</f>
        <v>-64552.120000000185</v>
      </c>
      <c r="I281" s="14"/>
      <c r="J281" s="21">
        <f>IF(H$12=0,0,H281/H$12)</f>
        <v>-0.24483222792020629</v>
      </c>
      <c r="K281" s="15"/>
      <c r="L281" s="20">
        <f>+D281-H281</f>
        <v>137165.53000000038</v>
      </c>
      <c r="M281" s="15"/>
      <c r="N281" s="21">
        <f>IF(H281=0,0,L281/H281)</f>
        <v>-2.1248803292595189</v>
      </c>
      <c r="O281" s="29"/>
      <c r="P281" s="20">
        <f>+P171-P173+P270</f>
        <v>-72895.420000002487</v>
      </c>
      <c r="Q281" s="14"/>
      <c r="R281" s="21">
        <f>IF(P$12=0,0,P281/P$12)</f>
        <v>-1.3985326663309277E-2</v>
      </c>
      <c r="S281" s="14"/>
      <c r="T281" s="20">
        <f>+T171-T173+T270</f>
        <v>1152851.2800000054</v>
      </c>
      <c r="U281" s="14"/>
      <c r="V281" s="21">
        <f>IF(T$12=0,0,T281/T$12)</f>
        <v>0.10120397117744341</v>
      </c>
      <c r="W281" s="15"/>
      <c r="X281" s="20">
        <f>+P281-T281</f>
        <v>-1225746.7000000079</v>
      </c>
      <c r="Y281" s="15"/>
      <c r="Z281" s="21">
        <f>IF(T281=0,0,X281/T281)</f>
        <v>-1.0632305495640357</v>
      </c>
    </row>
    <row r="282" spans="1:26" x14ac:dyDescent="0.25">
      <c r="A282" s="9"/>
      <c r="B282" s="11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4" customFormat="1" x14ac:dyDescent="0.25">
      <c r="A283" s="51"/>
      <c r="B283" s="11" t="s">
        <v>127</v>
      </c>
      <c r="C283" s="11"/>
      <c r="D283" s="4">
        <v>129402.26</v>
      </c>
      <c r="E283" s="4"/>
      <c r="F283" s="13">
        <f>IF(D$12=0,0,D283/D$12)</f>
        <v>0.25534896417942821</v>
      </c>
      <c r="G283" s="4"/>
      <c r="H283" s="4">
        <v>85500.56</v>
      </c>
      <c r="I283" s="4"/>
      <c r="J283" s="13">
        <f>IF(H$12=0,0,H283/H$12)</f>
        <v>0.32428512949265204</v>
      </c>
      <c r="K283" s="4"/>
      <c r="L283" s="4">
        <f>+D283-H283</f>
        <v>43901.7</v>
      </c>
      <c r="M283" s="4"/>
      <c r="N283" s="13">
        <f>IF(H283=0,0,L283/H283)</f>
        <v>0.51346681238111191</v>
      </c>
      <c r="O283" s="11"/>
      <c r="P283" s="4">
        <v>1113814.54</v>
      </c>
      <c r="Q283" s="4"/>
      <c r="R283" s="13">
        <f>IF(P$12=0,0,P283/P$12)</f>
        <v>0.21369051970951022</v>
      </c>
      <c r="S283" s="4"/>
      <c r="T283" s="4">
        <v>1348971.87</v>
      </c>
      <c r="U283" s="4"/>
      <c r="V283" s="13">
        <f>IF(T$12=0,0,T283/T$12)</f>
        <v>0.1184205739448555</v>
      </c>
      <c r="W283" s="4"/>
      <c r="X283" s="4">
        <f>+P283-T283</f>
        <v>-235157.33000000007</v>
      </c>
      <c r="Y283" s="4"/>
      <c r="Z283" s="13">
        <f>IF(T283=0,0,X283/T283)</f>
        <v>-0.17432337562383718</v>
      </c>
    </row>
    <row r="284" spans="1:26" x14ac:dyDescent="0.25">
      <c r="A284" s="9"/>
      <c r="B284" s="11"/>
      <c r="C284" s="11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1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4" customFormat="1" ht="15.75" thickBot="1" x14ac:dyDescent="0.3">
      <c r="A285" s="11"/>
      <c r="B285" s="28" t="s">
        <v>125</v>
      </c>
      <c r="C285" s="28"/>
      <c r="D285" s="35">
        <f>+D281-D283</f>
        <v>-56788.849999999788</v>
      </c>
      <c r="E285" s="14"/>
      <c r="F285" s="36">
        <f>IF(D$12=0,0,D285/D$12)</f>
        <v>-0.11206121148456656</v>
      </c>
      <c r="G285" s="14"/>
      <c r="H285" s="35">
        <f>+H281-H283</f>
        <v>-150052.68000000017</v>
      </c>
      <c r="I285" s="14"/>
      <c r="J285" s="36">
        <f>IF(H$12=0,0,H285/H$12)</f>
        <v>-0.56911735741285829</v>
      </c>
      <c r="K285" s="15"/>
      <c r="L285" s="35">
        <f>D285-H285</f>
        <v>93263.83000000038</v>
      </c>
      <c r="M285" s="15"/>
      <c r="N285" s="36">
        <f>IF(H285=0,0,L285/H285)</f>
        <v>-0.62154058161440551</v>
      </c>
      <c r="O285" s="29"/>
      <c r="P285" s="35">
        <f>+P281-P283</f>
        <v>-1186709.9600000025</v>
      </c>
      <c r="Q285" s="14"/>
      <c r="R285" s="36">
        <f>IF(P$12=0,0,P285/P$12)</f>
        <v>-0.22767584637281948</v>
      </c>
      <c r="S285" s="14"/>
      <c r="T285" s="35">
        <f>+T281-T283</f>
        <v>-196120.58999999473</v>
      </c>
      <c r="U285" s="14"/>
      <c r="V285" s="36">
        <f>IF(T$12=0,0,T285/T$12)</f>
        <v>-1.721660276741209E-2</v>
      </c>
      <c r="W285" s="15"/>
      <c r="X285" s="35">
        <f>P285-T285</f>
        <v>-990589.3700000078</v>
      </c>
      <c r="Y285" s="15"/>
      <c r="Z285" s="36">
        <f>IF(T285=0,0,X285/T285)</f>
        <v>5.0509197937862336</v>
      </c>
    </row>
    <row r="286" spans="1:26" ht="15.75" thickTop="1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x14ac:dyDescent="0.25">
      <c r="A287" s="9"/>
      <c r="B287" s="9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4" customFormat="1" ht="15.75" thickBot="1" x14ac:dyDescent="0.3">
      <c r="A288" s="11"/>
      <c r="B288" s="28" t="s">
        <v>293</v>
      </c>
      <c r="C288" s="28"/>
      <c r="D288" s="30">
        <f>SUM(D285:D287)</f>
        <v>-56788.849999999788</v>
      </c>
      <c r="E288" s="14"/>
      <c r="F288" s="31">
        <f>IF(D$12=0,0,D288/D$12)</f>
        <v>-0.11206121148456656</v>
      </c>
      <c r="G288" s="14"/>
      <c r="H288" s="30">
        <f>SUM(H285:H287)</f>
        <v>-150052.68000000017</v>
      </c>
      <c r="I288" s="14"/>
      <c r="J288" s="31">
        <f>IF(H$12=0,0,H288/H$12)</f>
        <v>-0.56911735741285829</v>
      </c>
      <c r="K288" s="15"/>
      <c r="L288" s="30">
        <f>+D288-H288</f>
        <v>93263.83000000038</v>
      </c>
      <c r="M288" s="15"/>
      <c r="N288" s="31">
        <f>IF(H288=0,0,L288/H288)</f>
        <v>-0.62154058161440551</v>
      </c>
      <c r="O288" s="29"/>
      <c r="P288" s="30">
        <f>SUM(P285:P287)</f>
        <v>-1186709.9600000025</v>
      </c>
      <c r="Q288" s="14"/>
      <c r="R288" s="31">
        <f>IF(P$12=0,0,P288/P$12)</f>
        <v>-0.22767584637281948</v>
      </c>
      <c r="S288" s="14"/>
      <c r="T288" s="30">
        <f>SUM(T285:T287)</f>
        <v>-196120.58999999473</v>
      </c>
      <c r="U288" s="14"/>
      <c r="V288" s="31">
        <f>IF(T$12=0,0,T288/T$12)</f>
        <v>-1.721660276741209E-2</v>
      </c>
      <c r="W288" s="15"/>
      <c r="X288" s="30">
        <f>+P288-T288</f>
        <v>-990589.3700000078</v>
      </c>
      <c r="Y288" s="15"/>
      <c r="Z288" s="31">
        <f>IF(T288=0,0,X288/T288)</f>
        <v>5.0509197937862336</v>
      </c>
    </row>
    <row r="289" spans="1:24" ht="15.75" thickTop="1" x14ac:dyDescent="0.25">
      <c r="A289" s="9"/>
      <c r="C289" s="9"/>
      <c r="D289" s="18"/>
      <c r="E289" s="18"/>
      <c r="G289" s="18"/>
      <c r="H289" s="18"/>
      <c r="I289" s="18"/>
      <c r="J289" s="42"/>
      <c r="K289" s="18"/>
      <c r="L289" s="18"/>
      <c r="M289" s="18"/>
      <c r="P289" s="18"/>
      <c r="Q289" s="18"/>
      <c r="R289" s="42"/>
      <c r="S289" s="18"/>
      <c r="T289" s="18"/>
      <c r="U289" s="18"/>
      <c r="V289" s="42"/>
      <c r="W289" s="18"/>
      <c r="X289" s="18"/>
    </row>
    <row r="290" spans="1:24" x14ac:dyDescent="0.25">
      <c r="A290" s="9"/>
      <c r="B290" s="59">
        <v>44356.893308101855</v>
      </c>
      <c r="D290" s="18"/>
      <c r="E290" s="18"/>
      <c r="G290" s="18"/>
      <c r="H290" s="18"/>
      <c r="I290" s="18"/>
      <c r="J290" s="42"/>
      <c r="K290" s="18"/>
      <c r="L290" s="18"/>
      <c r="M290" s="18"/>
      <c r="P290" s="18"/>
      <c r="Q290" s="18"/>
      <c r="R290" s="42"/>
      <c r="S290" s="18"/>
      <c r="T290" s="18"/>
      <c r="U290" s="18"/>
      <c r="V290" s="42"/>
      <c r="W290" s="18"/>
      <c r="X290" s="18"/>
    </row>
    <row r="291" spans="1:24" x14ac:dyDescent="0.25">
      <c r="A291" s="9"/>
      <c r="B291" s="52" t="s">
        <v>56</v>
      </c>
      <c r="D291" s="18"/>
      <c r="E291" s="18"/>
      <c r="G291" s="18"/>
      <c r="H291" s="18"/>
      <c r="I291" s="18"/>
      <c r="J291" s="42"/>
      <c r="K291" s="18"/>
      <c r="L291" s="18"/>
      <c r="M291" s="18"/>
      <c r="P291" s="18"/>
      <c r="Q291" s="18"/>
      <c r="R291" s="42"/>
      <c r="S291" s="18"/>
      <c r="T291" s="18"/>
      <c r="U291" s="18"/>
      <c r="V291" s="42"/>
      <c r="W291" s="18"/>
      <c r="X291" s="18"/>
    </row>
    <row r="292" spans="1:24" x14ac:dyDescent="0.25">
      <c r="A292" s="9"/>
      <c r="B292" s="54"/>
      <c r="D292" s="18"/>
      <c r="E292" s="18"/>
      <c r="G292" s="18"/>
      <c r="H292" s="18"/>
      <c r="I292" s="18"/>
      <c r="J292" s="42"/>
      <c r="K292" s="18"/>
      <c r="L292" s="18"/>
      <c r="M292" s="18"/>
      <c r="P292" s="18"/>
      <c r="Q292" s="18"/>
      <c r="R292" s="42"/>
      <c r="S292" s="18"/>
      <c r="T292" s="18"/>
      <c r="U292" s="18"/>
      <c r="V292" s="42"/>
      <c r="W292" s="18"/>
      <c r="X292" s="18"/>
    </row>
    <row r="293" spans="1:24" x14ac:dyDescent="0.25">
      <c r="D293" s="18"/>
      <c r="E293" s="18"/>
      <c r="G293" s="18"/>
      <c r="H293" s="18"/>
      <c r="I293" s="18"/>
      <c r="J293" s="42"/>
      <c r="K293" s="18"/>
      <c r="L293" s="18"/>
      <c r="M293" s="18"/>
      <c r="P293" s="18"/>
      <c r="Q293" s="18"/>
      <c r="R293" s="42"/>
      <c r="S293" s="18"/>
      <c r="T293" s="18"/>
      <c r="U293" s="18"/>
      <c r="V293" s="42"/>
      <c r="W293" s="18"/>
      <c r="X293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506762.3400000002</v>
      </c>
      <c r="E12" s="4"/>
      <c r="F12" s="13"/>
      <c r="G12" s="4"/>
      <c r="H12" s="4">
        <f>SUM(OSRRefH13x_0)</f>
        <v>263630.22999999986</v>
      </c>
      <c r="I12" s="4"/>
      <c r="J12" s="13"/>
      <c r="K12" s="4"/>
      <c r="L12" s="4">
        <f t="shared" ref="L12:L111" si="0">+D12-H12</f>
        <v>243132.11000000034</v>
      </c>
      <c r="M12" s="4"/>
      <c r="N12" s="13">
        <f t="shared" ref="N12:N111" si="1">IF(H12=0,0,L12/H12)</f>
        <v>0.92224670137411957</v>
      </c>
      <c r="O12" s="11"/>
      <c r="P12" s="4">
        <f>SUM(OSRRefP13x_0)</f>
        <v>5209401.7600000007</v>
      </c>
      <c r="Q12" s="4"/>
      <c r="R12" s="13"/>
      <c r="S12" s="4"/>
      <c r="T12" s="4">
        <f>SUM(OSRRefT13x_0)</f>
        <v>9026754.8100000061</v>
      </c>
      <c r="U12" s="4"/>
      <c r="V12" s="13"/>
      <c r="W12" s="4"/>
      <c r="X12" s="4">
        <f t="shared" ref="X12:X111" si="2">+P12-T12</f>
        <v>-3817353.0500000054</v>
      </c>
      <c r="Y12" s="4"/>
      <c r="Z12" s="13">
        <f t="shared" ref="Z12:Z111" si="3">IF(T12=0,0,X12/T12)</f>
        <v>-0.42289318036766338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-11353.84</f>
        <v>-11353.84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-11353.84</v>
      </c>
      <c r="M13" s="2"/>
      <c r="N13" s="19">
        <f t="shared" si="1"/>
        <v>0</v>
      </c>
      <c r="O13" s="10"/>
      <c r="P13" s="2">
        <f>-144449.03</f>
        <v>-144449.03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-144449.03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--35278.2</f>
        <v>35278.199999999997</v>
      </c>
      <c r="E14" s="2"/>
      <c r="F14" s="19"/>
      <c r="G14" s="2"/>
      <c r="H14" s="2">
        <f>--37281.91</f>
        <v>37281.910000000003</v>
      </c>
      <c r="I14" s="2"/>
      <c r="J14" s="19"/>
      <c r="K14" s="2"/>
      <c r="L14" s="2">
        <f t="shared" si="0"/>
        <v>-2003.7100000000064</v>
      </c>
      <c r="M14" s="2"/>
      <c r="N14" s="19">
        <f t="shared" si="1"/>
        <v>-5.3744832279247659E-2</v>
      </c>
      <c r="O14" s="10"/>
      <c r="P14" s="2">
        <f>--1299088.56</f>
        <v>1299088.56</v>
      </c>
      <c r="Q14" s="2"/>
      <c r="R14" s="19"/>
      <c r="S14" s="2"/>
      <c r="T14" s="2">
        <f>--2435259.64</f>
        <v>2435259.64</v>
      </c>
      <c r="U14" s="2"/>
      <c r="V14" s="19"/>
      <c r="W14" s="2"/>
      <c r="X14" s="2">
        <f t="shared" si="2"/>
        <v>-1136171.08</v>
      </c>
      <c r="Y14" s="2"/>
      <c r="Z14" s="19">
        <f t="shared" si="3"/>
        <v>-0.4665502853732672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--11501.84</f>
        <v>11501.84</v>
      </c>
      <c r="E15" s="2"/>
      <c r="F15" s="19"/>
      <c r="G15" s="2"/>
      <c r="H15" s="2">
        <f>--11509.55</f>
        <v>11509.55</v>
      </c>
      <c r="I15" s="2"/>
      <c r="J15" s="19"/>
      <c r="K15" s="2"/>
      <c r="L15" s="2">
        <f t="shared" si="0"/>
        <v>-7.7099999999991269</v>
      </c>
      <c r="M15" s="2"/>
      <c r="N15" s="19">
        <f t="shared" si="1"/>
        <v>-6.6987849220856834E-4</v>
      </c>
      <c r="O15" s="10"/>
      <c r="P15" s="2">
        <f>--590270.47</f>
        <v>590270.47</v>
      </c>
      <c r="Q15" s="2"/>
      <c r="R15" s="19"/>
      <c r="S15" s="2"/>
      <c r="T15" s="2">
        <f>--1256426.74</f>
        <v>1256426.74</v>
      </c>
      <c r="U15" s="2"/>
      <c r="V15" s="19"/>
      <c r="W15" s="2"/>
      <c r="X15" s="2">
        <f t="shared" si="2"/>
        <v>-666156.27</v>
      </c>
      <c r="Y15" s="2"/>
      <c r="Z15" s="19">
        <f t="shared" si="3"/>
        <v>-0.53019905482113505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--35.38</f>
        <v>35.380000000000003</v>
      </c>
      <c r="E22" s="2"/>
      <c r="F22" s="19"/>
      <c r="G22" s="2"/>
      <c r="H22" s="2">
        <f>--24.99</f>
        <v>24.99</v>
      </c>
      <c r="I22" s="2"/>
      <c r="J22" s="19"/>
      <c r="K22" s="2"/>
      <c r="L22" s="2">
        <f t="shared" si="0"/>
        <v>10.390000000000004</v>
      </c>
      <c r="M22" s="2"/>
      <c r="N22" s="19">
        <f t="shared" si="1"/>
        <v>0.41576630652260921</v>
      </c>
      <c r="O22" s="10"/>
      <c r="P22" s="2">
        <f>--508.48</f>
        <v>508.48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-3670.82</v>
      </c>
      <c r="Y22" s="2"/>
      <c r="Z22" s="19">
        <f t="shared" si="3"/>
        <v>-0.87833369224511282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6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7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6"/>
        <v>0</v>
      </c>
      <c r="E24" s="2"/>
      <c r="F24" s="19"/>
      <c r="G24" s="2"/>
      <c r="H24" s="2">
        <f>--17.25</f>
        <v>17.25</v>
      </c>
      <c r="I24" s="2"/>
      <c r="J24" s="19"/>
      <c r="K24" s="2"/>
      <c r="L24" s="2">
        <f t="shared" si="0"/>
        <v>-17.25</v>
      </c>
      <c r="M24" s="2"/>
      <c r="N24" s="19">
        <f t="shared" si="1"/>
        <v>-1</v>
      </c>
      <c r="O24" s="10"/>
      <c r="P24" s="2">
        <f t="shared" si="7"/>
        <v>0</v>
      </c>
      <c r="Q24" s="2"/>
      <c r="R24" s="19"/>
      <c r="S24" s="2"/>
      <c r="T24" s="2">
        <f>--54720.11</f>
        <v>54720.11</v>
      </c>
      <c r="U24" s="2"/>
      <c r="V24" s="19"/>
      <c r="W24" s="2"/>
      <c r="X24" s="2">
        <f t="shared" si="2"/>
        <v>-54720.11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--36.37</f>
        <v>36.369999999999997</v>
      </c>
      <c r="E25" s="2"/>
      <c r="F25" s="19"/>
      <c r="G25" s="2"/>
      <c r="H25" s="2">
        <f>--859.78</f>
        <v>859.78</v>
      </c>
      <c r="I25" s="2"/>
      <c r="J25" s="19"/>
      <c r="K25" s="2"/>
      <c r="L25" s="2">
        <f t="shared" si="0"/>
        <v>-823.41</v>
      </c>
      <c r="M25" s="2"/>
      <c r="N25" s="19">
        <f t="shared" si="1"/>
        <v>-0.95769848100676913</v>
      </c>
      <c r="O25" s="10"/>
      <c r="P25" s="2">
        <f>--522.54</f>
        <v>522.54</v>
      </c>
      <c r="Q25" s="2"/>
      <c r="R25" s="19"/>
      <c r="S25" s="2"/>
      <c r="T25" s="2">
        <f>--80809.49</f>
        <v>80809.490000000005</v>
      </c>
      <c r="U25" s="2"/>
      <c r="V25" s="19"/>
      <c r="W25" s="2"/>
      <c r="X25" s="2">
        <f t="shared" si="2"/>
        <v>-80286.950000000012</v>
      </c>
      <c r="Y25" s="2"/>
      <c r="Z25" s="19">
        <f t="shared" si="3"/>
        <v>-0.99353368026453337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--6033.32</f>
        <v>6033.32</v>
      </c>
      <c r="E26" s="2"/>
      <c r="F26" s="19"/>
      <c r="G26" s="2"/>
      <c r="H26" s="2">
        <f>--5530.51</f>
        <v>5530.51</v>
      </c>
      <c r="I26" s="2"/>
      <c r="J26" s="19"/>
      <c r="K26" s="2"/>
      <c r="L26" s="2">
        <f t="shared" si="0"/>
        <v>502.80999999999949</v>
      </c>
      <c r="M26" s="2"/>
      <c r="N26" s="19">
        <f t="shared" si="1"/>
        <v>9.091566600548584E-2</v>
      </c>
      <c r="O26" s="10"/>
      <c r="P26" s="2">
        <f>--70104.29</f>
        <v>70104.289999999994</v>
      </c>
      <c r="Q26" s="2"/>
      <c r="R26" s="19"/>
      <c r="S26" s="2"/>
      <c r="T26" s="2">
        <f>--276777.07</f>
        <v>276777.07</v>
      </c>
      <c r="U26" s="2"/>
      <c r="V26" s="19"/>
      <c r="W26" s="2"/>
      <c r="X26" s="2">
        <f t="shared" si="2"/>
        <v>-206672.78000000003</v>
      </c>
      <c r="Y26" s="2"/>
      <c r="Z26" s="19">
        <f t="shared" si="3"/>
        <v>-0.74671207408908558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--1495.15</f>
        <v>1495.15</v>
      </c>
      <c r="E27" s="2"/>
      <c r="F27" s="19"/>
      <c r="G27" s="2"/>
      <c r="H27" s="2">
        <f>--425.18</f>
        <v>425.18</v>
      </c>
      <c r="I27" s="2"/>
      <c r="J27" s="19"/>
      <c r="K27" s="2"/>
      <c r="L27" s="2">
        <f t="shared" si="0"/>
        <v>1069.97</v>
      </c>
      <c r="M27" s="2"/>
      <c r="N27" s="19">
        <f t="shared" si="1"/>
        <v>2.5165106543111153</v>
      </c>
      <c r="O27" s="10"/>
      <c r="P27" s="2">
        <f>--48395.32</f>
        <v>48395.32</v>
      </c>
      <c r="Q27" s="2"/>
      <c r="R27" s="19"/>
      <c r="S27" s="2"/>
      <c r="T27" s="2">
        <f>--293191.05</f>
        <v>293191.05</v>
      </c>
      <c r="U27" s="2"/>
      <c r="V27" s="19"/>
      <c r="W27" s="2"/>
      <c r="X27" s="2">
        <f t="shared" si="2"/>
        <v>-244795.72999999998</v>
      </c>
      <c r="Y27" s="2"/>
      <c r="Z27" s="19">
        <f t="shared" si="3"/>
        <v>-0.83493588907301231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--490.12</f>
        <v>490.12</v>
      </c>
      <c r="E28" s="2"/>
      <c r="F28" s="19"/>
      <c r="G28" s="2"/>
      <c r="H28" s="2">
        <f t="shared" ref="H28:H33" si="8">0</f>
        <v>0</v>
      </c>
      <c r="I28" s="2"/>
      <c r="J28" s="19"/>
      <c r="K28" s="2"/>
      <c r="L28" s="2">
        <f t="shared" si="0"/>
        <v>490.12</v>
      </c>
      <c r="M28" s="2"/>
      <c r="N28" s="19">
        <f t="shared" si="1"/>
        <v>0</v>
      </c>
      <c r="O28" s="10"/>
      <c r="P28" s="2">
        <f>--4700.71</f>
        <v>4700.71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4214.37</v>
      </c>
      <c r="Y28" s="2"/>
      <c r="Z28" s="19">
        <f t="shared" si="3"/>
        <v>8.6654809392606005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0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0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--187399.42</f>
        <v>187399.42</v>
      </c>
      <c r="E34" s="2"/>
      <c r="F34" s="19"/>
      <c r="G34" s="2"/>
      <c r="H34" s="2">
        <f>--50806.72</f>
        <v>50806.720000000001</v>
      </c>
      <c r="I34" s="2"/>
      <c r="J34" s="19"/>
      <c r="K34" s="2"/>
      <c r="L34" s="2">
        <f t="shared" si="0"/>
        <v>136592.70000000001</v>
      </c>
      <c r="M34" s="2"/>
      <c r="N34" s="19">
        <f t="shared" si="1"/>
        <v>2.6884770361086092</v>
      </c>
      <c r="O34" s="10"/>
      <c r="P34" s="2">
        <f>--1100580.15</f>
        <v>1100580.1499999999</v>
      </c>
      <c r="Q34" s="2"/>
      <c r="R34" s="19"/>
      <c r="S34" s="2"/>
      <c r="T34" s="2">
        <f>--1894910.12</f>
        <v>1894910.12</v>
      </c>
      <c r="U34" s="2"/>
      <c r="V34" s="19"/>
      <c r="W34" s="2"/>
      <c r="X34" s="2">
        <f t="shared" si="2"/>
        <v>-794329.9700000002</v>
      </c>
      <c r="Y34" s="2"/>
      <c r="Z34" s="19">
        <f t="shared" si="3"/>
        <v>-0.41919137040652893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--191315.61</f>
        <v>191315.61</v>
      </c>
      <c r="E35" s="2"/>
      <c r="F35" s="19"/>
      <c r="G35" s="2"/>
      <c r="H35" s="2">
        <f>--45499.27</f>
        <v>45499.27</v>
      </c>
      <c r="I35" s="2"/>
      <c r="J35" s="19"/>
      <c r="K35" s="2"/>
      <c r="L35" s="2">
        <f t="shared" si="0"/>
        <v>145816.34</v>
      </c>
      <c r="M35" s="2"/>
      <c r="N35" s="19">
        <f t="shared" si="1"/>
        <v>3.2048061430436139</v>
      </c>
      <c r="O35" s="10"/>
      <c r="P35" s="2">
        <f>--631772.59</f>
        <v>631772.59</v>
      </c>
      <c r="Q35" s="2"/>
      <c r="R35" s="19"/>
      <c r="S35" s="2"/>
      <c r="T35" s="2">
        <f>--526632.56</f>
        <v>526632.56000000006</v>
      </c>
      <c r="U35" s="2"/>
      <c r="V35" s="19"/>
      <c r="W35" s="2"/>
      <c r="X35" s="2">
        <f t="shared" si="2"/>
        <v>105140.02999999991</v>
      </c>
      <c r="Y35" s="2"/>
      <c r="Z35" s="19">
        <f t="shared" si="3"/>
        <v>0.19964589732165422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--8228.03</f>
        <v>8228.0300000000007</v>
      </c>
      <c r="E36" s="2"/>
      <c r="F36" s="19"/>
      <c r="G36" s="2"/>
      <c r="H36" s="2">
        <f>--3419.02</f>
        <v>3419.02</v>
      </c>
      <c r="I36" s="2"/>
      <c r="J36" s="19"/>
      <c r="K36" s="2"/>
      <c r="L36" s="2">
        <f t="shared" si="0"/>
        <v>4809.01</v>
      </c>
      <c r="M36" s="2"/>
      <c r="N36" s="19">
        <f t="shared" si="1"/>
        <v>1.4065463202906097</v>
      </c>
      <c r="O36" s="10"/>
      <c r="P36" s="2">
        <f>--108906.55</f>
        <v>108906.55</v>
      </c>
      <c r="Q36" s="2"/>
      <c r="R36" s="19"/>
      <c r="S36" s="2"/>
      <c r="T36" s="2">
        <f>--282721.2</f>
        <v>282721.2</v>
      </c>
      <c r="U36" s="2"/>
      <c r="V36" s="19"/>
      <c r="W36" s="2"/>
      <c r="X36" s="2">
        <f t="shared" si="2"/>
        <v>-173814.65000000002</v>
      </c>
      <c r="Y36" s="2"/>
      <c r="Z36" s="19">
        <f t="shared" si="3"/>
        <v>-0.61479170999557164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--7218.29</f>
        <v>7218.29</v>
      </c>
      <c r="E37" s="2"/>
      <c r="F37" s="19"/>
      <c r="G37" s="2"/>
      <c r="H37" s="2">
        <f>--49.95</f>
        <v>49.95</v>
      </c>
      <c r="I37" s="2"/>
      <c r="J37" s="19"/>
      <c r="K37" s="2"/>
      <c r="L37" s="2">
        <f t="shared" si="0"/>
        <v>7168.34</v>
      </c>
      <c r="M37" s="2"/>
      <c r="N37" s="19">
        <f t="shared" si="1"/>
        <v>143.5103103103103</v>
      </c>
      <c r="O37" s="10"/>
      <c r="P37" s="2">
        <f>--144077.67</f>
        <v>144077.67000000001</v>
      </c>
      <c r="Q37" s="2"/>
      <c r="R37" s="19"/>
      <c r="S37" s="2"/>
      <c r="T37" s="2">
        <f>--77269.18</f>
        <v>77269.179999999993</v>
      </c>
      <c r="U37" s="2"/>
      <c r="V37" s="19"/>
      <c r="W37" s="2"/>
      <c r="X37" s="2">
        <f t="shared" si="2"/>
        <v>66808.49000000002</v>
      </c>
      <c r="Y37" s="2"/>
      <c r="Z37" s="19">
        <f t="shared" si="3"/>
        <v>0.8646201499744145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--5024.1</f>
        <v>5024.1000000000004</v>
      </c>
      <c r="E38" s="2"/>
      <c r="F38" s="19"/>
      <c r="G38" s="2"/>
      <c r="H38" s="2">
        <f>--3915.24</f>
        <v>3915.24</v>
      </c>
      <c r="I38" s="2"/>
      <c r="J38" s="19"/>
      <c r="K38" s="2"/>
      <c r="L38" s="2">
        <f t="shared" si="0"/>
        <v>1108.8600000000006</v>
      </c>
      <c r="M38" s="2"/>
      <c r="N38" s="19">
        <f t="shared" si="1"/>
        <v>0.28321635455297778</v>
      </c>
      <c r="O38" s="10"/>
      <c r="P38" s="2">
        <f>--41116.33</f>
        <v>41116.33</v>
      </c>
      <c r="Q38" s="2"/>
      <c r="R38" s="19"/>
      <c r="S38" s="2"/>
      <c r="T38" s="2">
        <f>--71255.76</f>
        <v>71255.759999999995</v>
      </c>
      <c r="U38" s="2"/>
      <c r="V38" s="19"/>
      <c r="W38" s="2"/>
      <c r="X38" s="2">
        <f t="shared" si="2"/>
        <v>-30139.429999999993</v>
      </c>
      <c r="Y38" s="2"/>
      <c r="Z38" s="19">
        <f t="shared" si="3"/>
        <v>-0.42297534964190958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--26335.59</f>
        <v>26335.59</v>
      </c>
      <c r="E39" s="2"/>
      <c r="F39" s="19"/>
      <c r="G39" s="2"/>
      <c r="H39" s="2">
        <f>--13525.59</f>
        <v>13525.59</v>
      </c>
      <c r="I39" s="2"/>
      <c r="J39" s="19"/>
      <c r="K39" s="2"/>
      <c r="L39" s="2">
        <f t="shared" si="0"/>
        <v>12810</v>
      </c>
      <c r="M39" s="2"/>
      <c r="N39" s="19">
        <f t="shared" si="1"/>
        <v>0.947093620315269</v>
      </c>
      <c r="O39" s="10"/>
      <c r="P39" s="2">
        <f>--233577.93</f>
        <v>233577.93</v>
      </c>
      <c r="Q39" s="2"/>
      <c r="R39" s="19"/>
      <c r="S39" s="2"/>
      <c r="T39" s="2">
        <f>--96839.56</f>
        <v>96839.56</v>
      </c>
      <c r="U39" s="2"/>
      <c r="V39" s="19"/>
      <c r="W39" s="2"/>
      <c r="X39" s="2">
        <f t="shared" si="2"/>
        <v>136738.37</v>
      </c>
      <c r="Y39" s="2"/>
      <c r="Z39" s="19">
        <f t="shared" si="3"/>
        <v>1.4120094102038465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5" si="12">0</f>
        <v>0</v>
      </c>
      <c r="E40" s="2"/>
      <c r="F40" s="19"/>
      <c r="G40" s="2"/>
      <c r="H40" s="2">
        <f t="shared" ref="H40:H44" si="13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 t="shared" si="12"/>
        <v>0</v>
      </c>
      <c r="E41" s="2"/>
      <c r="F41" s="19"/>
      <c r="G41" s="2"/>
      <c r="H41" s="2">
        <f t="shared" si="13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>--71.95</f>
        <v>71.95</v>
      </c>
      <c r="Q41" s="2"/>
      <c r="R41" s="19"/>
      <c r="S41" s="2"/>
      <c r="T41" s="2">
        <f>--3174.93</f>
        <v>3174.93</v>
      </c>
      <c r="U41" s="2"/>
      <c r="V41" s="19"/>
      <c r="W41" s="2"/>
      <c r="X41" s="2">
        <f t="shared" si="2"/>
        <v>-3102.98</v>
      </c>
      <c r="Y41" s="2"/>
      <c r="Z41" s="19">
        <f t="shared" si="3"/>
        <v>-0.97733808304435066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 t="shared" si="12"/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0</f>
        <v>0</v>
      </c>
      <c r="Q42" s="2"/>
      <c r="R42" s="19"/>
      <c r="S42" s="2"/>
      <c r="T42" s="2">
        <f>--363.94</f>
        <v>363.94</v>
      </c>
      <c r="U42" s="2"/>
      <c r="V42" s="19"/>
      <c r="W42" s="2"/>
      <c r="X42" s="2">
        <f t="shared" si="2"/>
        <v>-363.94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 t="shared" si="12"/>
        <v>0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--9.99</f>
        <v>9.99</v>
      </c>
      <c r="Q43" s="2"/>
      <c r="R43" s="19"/>
      <c r="S43" s="2"/>
      <c r="T43" s="2">
        <f>--914.33</f>
        <v>914.33</v>
      </c>
      <c r="U43" s="2"/>
      <c r="V43" s="19"/>
      <c r="W43" s="2"/>
      <c r="X43" s="2">
        <f t="shared" si="2"/>
        <v>-904.34</v>
      </c>
      <c r="Y43" s="2"/>
      <c r="Z43" s="19">
        <f t="shared" si="3"/>
        <v>-0.98907396672973646</v>
      </c>
    </row>
    <row r="44" spans="1:26" s="23" customFormat="1" hidden="1" outlineLevel="1" x14ac:dyDescent="0.25">
      <c r="A44" s="44"/>
      <c r="B44" s="10" t="str">
        <f>CONCATENATE("          ", "4086", " - ", "TAXABLE SALES-COMPUTER SUPPLIE")</f>
        <v xml:space="preserve">          4086 - TAXABLE SALES-COMPUTER SUPPLIE</v>
      </c>
      <c r="C44" s="10"/>
      <c r="D44" s="2">
        <f t="shared" si="12"/>
        <v>0</v>
      </c>
      <c r="E44" s="2"/>
      <c r="F44" s="19"/>
      <c r="G44" s="2"/>
      <c r="H44" s="2">
        <f t="shared" si="13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ref="P44:P45" si="14">0</f>
        <v>0</v>
      </c>
      <c r="Q44" s="2"/>
      <c r="R44" s="19"/>
      <c r="S44" s="2"/>
      <c r="T44" s="2">
        <f>--813.74</f>
        <v>813.74</v>
      </c>
      <c r="U44" s="2"/>
      <c r="V44" s="19"/>
      <c r="W44" s="2"/>
      <c r="X44" s="2">
        <f t="shared" si="2"/>
        <v>-813.74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"4092", " - ", "TAXABLE SALES-GRAD MERCH")</f>
        <v xml:space="preserve">          4092 - TAXABLE SALES-GRAD MERCH</v>
      </c>
      <c r="C45" s="10"/>
      <c r="D45" s="2">
        <f t="shared" si="12"/>
        <v>0</v>
      </c>
      <c r="E45" s="2"/>
      <c r="F45" s="19"/>
      <c r="G45" s="2"/>
      <c r="H45" s="2">
        <f>--13527.29</f>
        <v>13527.29</v>
      </c>
      <c r="I45" s="2"/>
      <c r="J45" s="19"/>
      <c r="K45" s="2"/>
      <c r="L45" s="2">
        <f t="shared" si="0"/>
        <v>-13527.29</v>
      </c>
      <c r="M45" s="2"/>
      <c r="N45" s="19">
        <f t="shared" si="1"/>
        <v>-1</v>
      </c>
      <c r="O45" s="10"/>
      <c r="P45" s="2">
        <f t="shared" si="14"/>
        <v>0</v>
      </c>
      <c r="Q45" s="2"/>
      <c r="R45" s="19"/>
      <c r="S45" s="2"/>
      <c r="T45" s="2">
        <f>--35353.71</f>
        <v>35353.71</v>
      </c>
      <c r="U45" s="2"/>
      <c r="V45" s="19"/>
      <c r="W45" s="2"/>
      <c r="X45" s="2">
        <f t="shared" si="2"/>
        <v>-35353.71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"4095", " - ", "TAXABLE SALES-CUSTOMER SERVICE")</f>
        <v xml:space="preserve">          4095 - TAXABLE SALES-CUSTOMER SERVICE</v>
      </c>
      <c r="C46" s="10"/>
      <c r="D46" s="2">
        <f>--10891.24</f>
        <v>10891.24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10891.24</v>
      </c>
      <c r="M46" s="2"/>
      <c r="N46" s="19">
        <f t="shared" si="1"/>
        <v>0</v>
      </c>
      <c r="O46" s="10"/>
      <c r="P46" s="2">
        <f>--13925.83</f>
        <v>13925.83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13616.57</v>
      </c>
      <c r="Y46" s="2"/>
      <c r="Z46" s="19">
        <f t="shared" si="3"/>
        <v>44.029522084977039</v>
      </c>
    </row>
    <row r="47" spans="1:26" s="23" customFormat="1" hidden="1" outlineLevel="1" x14ac:dyDescent="0.25">
      <c r="A47" s="44"/>
      <c r="B47" s="10" t="str">
        <f>CONCATENATE("          ", "4100", " - ", "NON-TAXABLE SALES")</f>
        <v xml:space="preserve">          4100 - NON-TAXABLE SALES</v>
      </c>
      <c r="C47" s="10"/>
      <c r="D47" s="2">
        <f>--3546.21</f>
        <v>3546.21</v>
      </c>
      <c r="E47" s="2"/>
      <c r="F47" s="19"/>
      <c r="G47" s="2"/>
      <c r="H47" s="2">
        <f>--5210.55</f>
        <v>5210.55</v>
      </c>
      <c r="I47" s="2"/>
      <c r="J47" s="19"/>
      <c r="K47" s="2"/>
      <c r="L47" s="2">
        <f t="shared" si="0"/>
        <v>-1664.3400000000001</v>
      </c>
      <c r="M47" s="2"/>
      <c r="N47" s="19">
        <f t="shared" si="1"/>
        <v>-0.31941733598180616</v>
      </c>
      <c r="O47" s="10"/>
      <c r="P47" s="2">
        <f>--277384.98</f>
        <v>277384.98</v>
      </c>
      <c r="Q47" s="2"/>
      <c r="R47" s="19"/>
      <c r="S47" s="2"/>
      <c r="T47" s="2">
        <f>--607447.02</f>
        <v>607447.02</v>
      </c>
      <c r="U47" s="2"/>
      <c r="V47" s="19"/>
      <c r="W47" s="2"/>
      <c r="X47" s="2">
        <f t="shared" si="2"/>
        <v>-330062.04000000004</v>
      </c>
      <c r="Y47" s="2"/>
      <c r="Z47" s="19">
        <f t="shared" si="3"/>
        <v>-0.54335938630499825</v>
      </c>
    </row>
    <row r="48" spans="1:26" s="23" customFormat="1" hidden="1" outlineLevel="1" x14ac:dyDescent="0.25">
      <c r="A48" s="44"/>
      <c r="B48" s="10" t="str">
        <f>CONCATENATE("          ", "4101", " - ", "NON-TAXABLE SALES-NEW TEXT")</f>
        <v xml:space="preserve">          4101 - NON-TAXABLE SALES-NEW TEXT</v>
      </c>
      <c r="C48" s="10"/>
      <c r="D48" s="2">
        <f>--6450.33</f>
        <v>6450.33</v>
      </c>
      <c r="E48" s="2"/>
      <c r="F48" s="19"/>
      <c r="G48" s="2"/>
      <c r="H48" s="2">
        <f>--7118.9</f>
        <v>7118.9</v>
      </c>
      <c r="I48" s="2"/>
      <c r="J48" s="19"/>
      <c r="K48" s="2"/>
      <c r="L48" s="2">
        <f t="shared" si="0"/>
        <v>-668.56999999999971</v>
      </c>
      <c r="M48" s="2"/>
      <c r="N48" s="19">
        <f t="shared" si="1"/>
        <v>-9.3914790206352072E-2</v>
      </c>
      <c r="O48" s="10"/>
      <c r="P48" s="2">
        <f>--119247.07</f>
        <v>119247.07</v>
      </c>
      <c r="Q48" s="2"/>
      <c r="R48" s="19"/>
      <c r="S48" s="2"/>
      <c r="T48" s="2">
        <f>--151282.34</f>
        <v>151282.34</v>
      </c>
      <c r="U48" s="2"/>
      <c r="V48" s="19"/>
      <c r="W48" s="2"/>
      <c r="X48" s="2">
        <f t="shared" si="2"/>
        <v>-32035.26999999999</v>
      </c>
      <c r="Y48" s="2"/>
      <c r="Z48" s="19">
        <f t="shared" si="3"/>
        <v>-0.2117581602717144</v>
      </c>
    </row>
    <row r="49" spans="1:26" s="23" customFormat="1" hidden="1" outlineLevel="1" x14ac:dyDescent="0.25">
      <c r="A49" s="44"/>
      <c r="B49" s="10" t="str">
        <f>CONCATENATE("          ", "4102", " - ", "NON-TAXABLE SALES-USED TEXT")</f>
        <v xml:space="preserve">          4102 - NON-TAXABLE SALES-USED TEXT</v>
      </c>
      <c r="C49" s="10"/>
      <c r="D49" s="2">
        <f>--2343.31</f>
        <v>2343.31</v>
      </c>
      <c r="E49" s="2"/>
      <c r="F49" s="19"/>
      <c r="G49" s="2"/>
      <c r="H49" s="2">
        <f>--565.56</f>
        <v>565.55999999999995</v>
      </c>
      <c r="I49" s="2"/>
      <c r="J49" s="19"/>
      <c r="K49" s="2"/>
      <c r="L49" s="2">
        <f t="shared" si="0"/>
        <v>1777.75</v>
      </c>
      <c r="M49" s="2"/>
      <c r="N49" s="19">
        <f t="shared" si="1"/>
        <v>3.1433446495508881</v>
      </c>
      <c r="O49" s="10"/>
      <c r="P49" s="2">
        <f>--51046.73</f>
        <v>51046.73</v>
      </c>
      <c r="Q49" s="2"/>
      <c r="R49" s="19"/>
      <c r="S49" s="2"/>
      <c r="T49" s="2">
        <f>--70225.46</f>
        <v>70225.460000000006</v>
      </c>
      <c r="U49" s="2"/>
      <c r="V49" s="19"/>
      <c r="W49" s="2"/>
      <c r="X49" s="2">
        <f t="shared" si="2"/>
        <v>-19178.730000000003</v>
      </c>
      <c r="Y49" s="2"/>
      <c r="Z49" s="19">
        <f t="shared" si="3"/>
        <v>-0.2731022338621919</v>
      </c>
    </row>
    <row r="50" spans="1:26" s="23" customFormat="1" hidden="1" outlineLevel="1" x14ac:dyDescent="0.25">
      <c r="A50" s="44"/>
      <c r="B50" s="10" t="str">
        <f>CONCATENATE("          ", "4103", " - ", "NON-TAXABLE SALES-RENTAL TEXT")</f>
        <v xml:space="preserve">          4103 - NON-TAXABLE SALES-RENTAL TEXT</v>
      </c>
      <c r="C50" s="10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3" customFormat="1" hidden="1" outlineLevel="1" x14ac:dyDescent="0.25">
      <c r="A51" s="44"/>
      <c r="B51" s="10" t="str">
        <f>CONCATENATE("          ", "4104", " - ", "NON-TAXABLE SALES-DIGITAL TEXT")</f>
        <v xml:space="preserve">          4104 - NON-TAXABLE SALES-DIGITAL TEXT</v>
      </c>
      <c r="C51" s="10"/>
      <c r="D51" s="2">
        <f>--10484.56</f>
        <v>10484.56</v>
      </c>
      <c r="E51" s="2"/>
      <c r="F51" s="19"/>
      <c r="G51" s="2"/>
      <c r="H51" s="2">
        <f>--4949.29</f>
        <v>4949.29</v>
      </c>
      <c r="I51" s="2"/>
      <c r="J51" s="19"/>
      <c r="K51" s="2"/>
      <c r="L51" s="2">
        <f t="shared" si="0"/>
        <v>5535.2699999999995</v>
      </c>
      <c r="M51" s="2"/>
      <c r="N51" s="19">
        <f t="shared" si="1"/>
        <v>1.1183967801442227</v>
      </c>
      <c r="O51" s="10"/>
      <c r="P51" s="2">
        <f>--490887.73</f>
        <v>490887.73</v>
      </c>
      <c r="Q51" s="2"/>
      <c r="R51" s="19"/>
      <c r="S51" s="2"/>
      <c r="T51" s="2">
        <f>--531803.38</f>
        <v>531803.38</v>
      </c>
      <c r="U51" s="2"/>
      <c r="V51" s="19"/>
      <c r="W51" s="2"/>
      <c r="X51" s="2">
        <f t="shared" si="2"/>
        <v>-40915.650000000023</v>
      </c>
      <c r="Y51" s="2"/>
      <c r="Z51" s="19">
        <f t="shared" si="3"/>
        <v>-7.6937551619171776E-2</v>
      </c>
    </row>
    <row r="52" spans="1:26" s="23" customFormat="1" hidden="1" outlineLevel="1" x14ac:dyDescent="0.25">
      <c r="A52" s="44"/>
      <c r="B52" s="10" t="str">
        <f>CONCATENATE("          ", "4111", " - ", "NON-TAXABLE SALES-NO VALUE TEX")</f>
        <v xml:space="preserve">          4111 - NON-TAXABLE SALES-NO VALUE TEX</v>
      </c>
      <c r="C52" s="10"/>
      <c r="D52" s="2">
        <f t="shared" ref="D52:D57" si="15">0</f>
        <v>0</v>
      </c>
      <c r="E52" s="2"/>
      <c r="F52" s="19"/>
      <c r="G52" s="2"/>
      <c r="H52" s="2">
        <f>--340.46</f>
        <v>340.46</v>
      </c>
      <c r="I52" s="2"/>
      <c r="J52" s="19"/>
      <c r="K52" s="2"/>
      <c r="L52" s="2">
        <f t="shared" si="0"/>
        <v>-340.46</v>
      </c>
      <c r="M52" s="2"/>
      <c r="N52" s="19">
        <f t="shared" si="1"/>
        <v>-1</v>
      </c>
      <c r="O52" s="10"/>
      <c r="P52" s="2">
        <f>0</f>
        <v>0</v>
      </c>
      <c r="Q52" s="2"/>
      <c r="R52" s="19"/>
      <c r="S52" s="2"/>
      <c r="T52" s="2">
        <f>--15663.46</f>
        <v>15663.46</v>
      </c>
      <c r="U52" s="2"/>
      <c r="V52" s="19"/>
      <c r="W52" s="2"/>
      <c r="X52" s="2">
        <f t="shared" si="2"/>
        <v>-15663.46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"4113", " - ", "NON-TAXABLE SALES-TRADE BOOKS")</f>
        <v xml:space="preserve">          4113 - NON-TAXABLE SALES-TRADE BOOKS</v>
      </c>
      <c r="C53" s="10"/>
      <c r="D53" s="2">
        <f t="shared" si="15"/>
        <v>0</v>
      </c>
      <c r="E53" s="2"/>
      <c r="F53" s="19"/>
      <c r="G53" s="2"/>
      <c r="H53" s="2">
        <f>--24.24</f>
        <v>24.24</v>
      </c>
      <c r="I53" s="2"/>
      <c r="J53" s="19"/>
      <c r="K53" s="2"/>
      <c r="L53" s="2">
        <f t="shared" si="0"/>
        <v>-24.24</v>
      </c>
      <c r="M53" s="2"/>
      <c r="N53" s="19">
        <f t="shared" si="1"/>
        <v>-1</v>
      </c>
      <c r="O53" s="10"/>
      <c r="P53" s="2">
        <f>--12127.25</f>
        <v>12127.25</v>
      </c>
      <c r="Q53" s="2"/>
      <c r="R53" s="19"/>
      <c r="S53" s="2"/>
      <c r="T53" s="2">
        <f>--8266.16</f>
        <v>8266.16</v>
      </c>
      <c r="U53" s="2"/>
      <c r="V53" s="19"/>
      <c r="W53" s="2"/>
      <c r="X53" s="2">
        <f t="shared" si="2"/>
        <v>3861.09</v>
      </c>
      <c r="Y53" s="2"/>
      <c r="Z53" s="19">
        <f t="shared" si="3"/>
        <v>0.46709596717218155</v>
      </c>
    </row>
    <row r="54" spans="1:26" s="23" customFormat="1" hidden="1" outlineLevel="1" x14ac:dyDescent="0.25">
      <c r="A54" s="44"/>
      <c r="B54" s="10" t="str">
        <f>CONCATENATE("          ", "4114", " - ", "NON-TAXABLE SALES-REMAINDERS")</f>
        <v xml:space="preserve">          4114 - NON-TAXABLE SALES-REMAINDERS</v>
      </c>
      <c r="C54" s="10"/>
      <c r="D54" s="2">
        <f t="shared" si="15"/>
        <v>0</v>
      </c>
      <c r="E54" s="2"/>
      <c r="F54" s="19"/>
      <c r="G54" s="2"/>
      <c r="H54" s="2">
        <f>--3.19</f>
        <v>3.19</v>
      </c>
      <c r="I54" s="2"/>
      <c r="J54" s="19"/>
      <c r="K54" s="2"/>
      <c r="L54" s="2">
        <f t="shared" si="0"/>
        <v>-3.19</v>
      </c>
      <c r="M54" s="2"/>
      <c r="N54" s="19">
        <f t="shared" si="1"/>
        <v>-1</v>
      </c>
      <c r="O54" s="10"/>
      <c r="P54" s="2">
        <f>0</f>
        <v>0</v>
      </c>
      <c r="Q54" s="2"/>
      <c r="R54" s="19"/>
      <c r="S54" s="2"/>
      <c r="T54" s="2">
        <f>--3.19</f>
        <v>3.19</v>
      </c>
      <c r="U54" s="2"/>
      <c r="V54" s="19"/>
      <c r="W54" s="2"/>
      <c r="X54" s="2">
        <f t="shared" si="2"/>
        <v>-3.19</v>
      </c>
      <c r="Y54" s="2"/>
      <c r="Z54" s="19">
        <f t="shared" si="3"/>
        <v>-1</v>
      </c>
    </row>
    <row r="55" spans="1:26" s="23" customFormat="1" hidden="1" outlineLevel="1" x14ac:dyDescent="0.25">
      <c r="A55" s="44"/>
      <c r="B55" s="10" t="str">
        <f>CONCATENATE("          ", "4118", " - ", "NON-TAXABLE SALES-STUDY GUIDES")</f>
        <v xml:space="preserve">          4118 - NON-TAXABLE SALES-STUDY GUIDES</v>
      </c>
      <c r="C55" s="10"/>
      <c r="D55" s="2">
        <f t="shared" si="15"/>
        <v>0</v>
      </c>
      <c r="E55" s="2"/>
      <c r="F55" s="19"/>
      <c r="G55" s="2"/>
      <c r="H55" s="2">
        <f>--40</f>
        <v>40</v>
      </c>
      <c r="I55" s="2"/>
      <c r="J55" s="19"/>
      <c r="K55" s="2"/>
      <c r="L55" s="2">
        <f t="shared" si="0"/>
        <v>-40</v>
      </c>
      <c r="M55" s="2"/>
      <c r="N55" s="19">
        <f t="shared" si="1"/>
        <v>-1</v>
      </c>
      <c r="O55" s="10"/>
      <c r="P55" s="2">
        <f>--771.73</f>
        <v>771.73</v>
      </c>
      <c r="Q55" s="2"/>
      <c r="R55" s="19"/>
      <c r="S55" s="2"/>
      <c r="T55" s="2">
        <f>--115.94</f>
        <v>115.94</v>
      </c>
      <c r="U55" s="2"/>
      <c r="V55" s="19"/>
      <c r="W55" s="2"/>
      <c r="X55" s="2">
        <f t="shared" si="2"/>
        <v>655.79</v>
      </c>
      <c r="Y55" s="2"/>
      <c r="Z55" s="19">
        <f t="shared" si="3"/>
        <v>5.6562877350353631</v>
      </c>
    </row>
    <row r="56" spans="1:26" s="23" customFormat="1" hidden="1" outlineLevel="1" x14ac:dyDescent="0.25">
      <c r="A56" s="44"/>
      <c r="B56" s="10" t="str">
        <f>CONCATENATE("          ", "4125", " - ", "NON-TAXABLE SALES-TEST FORMS")</f>
        <v xml:space="preserve">          4125 - NON-TAXABLE SALES-TEST FORMS</v>
      </c>
      <c r="C56" s="10"/>
      <c r="D56" s="2">
        <f t="shared" si="15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0"/>
      <c r="P56" s="2">
        <f>0</f>
        <v>0</v>
      </c>
      <c r="Q56" s="2"/>
      <c r="R56" s="19"/>
      <c r="S56" s="2"/>
      <c r="T56" s="2">
        <f>--267.61</f>
        <v>267.61</v>
      </c>
      <c r="U56" s="2"/>
      <c r="V56" s="19"/>
      <c r="W56" s="2"/>
      <c r="X56" s="2">
        <f t="shared" si="2"/>
        <v>-267.61</v>
      </c>
      <c r="Y56" s="2"/>
      <c r="Z56" s="19">
        <f t="shared" si="3"/>
        <v>-1</v>
      </c>
    </row>
    <row r="57" spans="1:26" s="23" customFormat="1" hidden="1" outlineLevel="1" x14ac:dyDescent="0.25">
      <c r="A57" s="44"/>
      <c r="B57" s="10" t="str">
        <f>CONCATENATE("          ", "4126", " - ", "NON-TAXABLE SALES-WRITING INST")</f>
        <v xml:space="preserve">          4126 - NON-TAXABLE SALES-WRITING INST</v>
      </c>
      <c r="C57" s="10"/>
      <c r="D57" s="2">
        <f t="shared" si="15"/>
        <v>0</v>
      </c>
      <c r="E57" s="2"/>
      <c r="F57" s="19"/>
      <c r="G57" s="2"/>
      <c r="H57" s="2">
        <f>--110.56</f>
        <v>110.56</v>
      </c>
      <c r="I57" s="2"/>
      <c r="J57" s="19"/>
      <c r="K57" s="2"/>
      <c r="L57" s="2">
        <f t="shared" si="0"/>
        <v>-110.56</v>
      </c>
      <c r="M57" s="2"/>
      <c r="N57" s="19">
        <f t="shared" si="1"/>
        <v>-1</v>
      </c>
      <c r="O57" s="10"/>
      <c r="P57" s="2">
        <f>--52.68</f>
        <v>52.68</v>
      </c>
      <c r="Q57" s="2"/>
      <c r="R57" s="19"/>
      <c r="S57" s="2"/>
      <c r="T57" s="2">
        <f>--3133.42</f>
        <v>3133.42</v>
      </c>
      <c r="U57" s="2"/>
      <c r="V57" s="19"/>
      <c r="W57" s="2"/>
      <c r="X57" s="2">
        <f t="shared" si="2"/>
        <v>-3080.7400000000002</v>
      </c>
      <c r="Y57" s="2"/>
      <c r="Z57" s="19">
        <f t="shared" si="3"/>
        <v>-0.98318769906364301</v>
      </c>
    </row>
    <row r="58" spans="1:26" s="23" customFormat="1" hidden="1" outlineLevel="1" x14ac:dyDescent="0.25">
      <c r="A58" s="44"/>
      <c r="B58" s="10" t="str">
        <f>CONCATENATE("          ", "4127", " - ", "NON-TAXABLE SALES-SCHOOL SUPPL")</f>
        <v xml:space="preserve">          4127 - NON-TAXABLE SALES-SCHOOL SUPPL</v>
      </c>
      <c r="C58" s="10"/>
      <c r="D58" s="2">
        <f>--548.05</f>
        <v>548.04999999999995</v>
      </c>
      <c r="E58" s="2"/>
      <c r="F58" s="19"/>
      <c r="G58" s="2"/>
      <c r="H58" s="2">
        <f>--226.84</f>
        <v>226.84</v>
      </c>
      <c r="I58" s="2"/>
      <c r="J58" s="19"/>
      <c r="K58" s="2"/>
      <c r="L58" s="2">
        <f t="shared" si="0"/>
        <v>321.20999999999992</v>
      </c>
      <c r="M58" s="2"/>
      <c r="N58" s="19">
        <f t="shared" si="1"/>
        <v>1.4160201022747307</v>
      </c>
      <c r="O58" s="10"/>
      <c r="P58" s="2">
        <f>--7648.73</f>
        <v>7648.73</v>
      </c>
      <c r="Q58" s="2"/>
      <c r="R58" s="19"/>
      <c r="S58" s="2"/>
      <c r="T58" s="2">
        <f>--6373.71</f>
        <v>6373.71</v>
      </c>
      <c r="U58" s="2"/>
      <c r="V58" s="19"/>
      <c r="W58" s="2"/>
      <c r="X58" s="2">
        <f t="shared" si="2"/>
        <v>1275.0199999999995</v>
      </c>
      <c r="Y58" s="2"/>
      <c r="Z58" s="19">
        <f t="shared" si="3"/>
        <v>0.20004361666909845</v>
      </c>
    </row>
    <row r="59" spans="1:26" s="23" customFormat="1" hidden="1" outlineLevel="1" x14ac:dyDescent="0.25">
      <c r="A59" s="44"/>
      <c r="B59" s="10" t="str">
        <f>CONCATENATE("          ", "4128", " - ", "NON-TAXABLE SALES-ART/TECH")</f>
        <v xml:space="preserve">          4128 - NON-TAXABLE SALES-ART/TECH</v>
      </c>
      <c r="C59" s="10"/>
      <c r="D59" s="2">
        <f>--45.96</f>
        <v>45.96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45.96</v>
      </c>
      <c r="M59" s="2"/>
      <c r="N59" s="19">
        <f t="shared" si="1"/>
        <v>0</v>
      </c>
      <c r="O59" s="10"/>
      <c r="P59" s="2">
        <f>--115.91</f>
        <v>115.91</v>
      </c>
      <c r="Q59" s="2"/>
      <c r="R59" s="19"/>
      <c r="S59" s="2"/>
      <c r="T59" s="2">
        <f>--730.62</f>
        <v>730.62</v>
      </c>
      <c r="U59" s="2"/>
      <c r="V59" s="19"/>
      <c r="W59" s="2"/>
      <c r="X59" s="2">
        <f t="shared" si="2"/>
        <v>-614.71</v>
      </c>
      <c r="Y59" s="2"/>
      <c r="Z59" s="19">
        <f t="shared" si="3"/>
        <v>-0.841353918589691</v>
      </c>
    </row>
    <row r="60" spans="1:26" s="23" customFormat="1" hidden="1" outlineLevel="1" x14ac:dyDescent="0.25">
      <c r="A60" s="44"/>
      <c r="B60" s="10" t="str">
        <f>CONCATENATE("          ", "4131", " - ", "NON-TAXABLE SALES-FOOD")</f>
        <v xml:space="preserve">          4131 - NON-TAXABLE SALES-FOOD</v>
      </c>
      <c r="C60" s="10"/>
      <c r="D60" s="2">
        <f>--775.78</f>
        <v>775.78</v>
      </c>
      <c r="E60" s="2"/>
      <c r="F60" s="19"/>
      <c r="G60" s="2"/>
      <c r="H60" s="2">
        <f>--6.16</f>
        <v>6.16</v>
      </c>
      <c r="I60" s="2"/>
      <c r="J60" s="19"/>
      <c r="K60" s="2"/>
      <c r="L60" s="2">
        <f t="shared" si="0"/>
        <v>769.62</v>
      </c>
      <c r="M60" s="2"/>
      <c r="N60" s="19">
        <f t="shared" si="1"/>
        <v>124.93831168831169</v>
      </c>
      <c r="O60" s="10"/>
      <c r="P60" s="2">
        <f>--12156.14</f>
        <v>12156.14</v>
      </c>
      <c r="Q60" s="2"/>
      <c r="R60" s="19"/>
      <c r="S60" s="2"/>
      <c r="T60" s="2">
        <f>--57893.7</f>
        <v>57893.7</v>
      </c>
      <c r="U60" s="2"/>
      <c r="V60" s="19"/>
      <c r="W60" s="2"/>
      <c r="X60" s="2">
        <f t="shared" si="2"/>
        <v>-45737.56</v>
      </c>
      <c r="Y60" s="2"/>
      <c r="Z60" s="19">
        <f t="shared" si="3"/>
        <v>-0.7900265486572805</v>
      </c>
    </row>
    <row r="61" spans="1:26" s="23" customFormat="1" hidden="1" outlineLevel="1" x14ac:dyDescent="0.25">
      <c r="A61" s="44"/>
      <c r="B61" s="10" t="str">
        <f>CONCATENATE("          ", "4132", " - ", "NON-TAXABLE SALES-JUICE")</f>
        <v xml:space="preserve">          4132 - NON-TAXABLE SALES-JUICE</v>
      </c>
      <c r="C61" s="10"/>
      <c r="D61" s="2">
        <f t="shared" ref="D61:D65" si="16"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0"/>
      <c r="P61" s="2">
        <f>--22.49</f>
        <v>22.49</v>
      </c>
      <c r="Q61" s="2"/>
      <c r="R61" s="19"/>
      <c r="S61" s="2"/>
      <c r="T61" s="2">
        <f>--16199.63</f>
        <v>16199.63</v>
      </c>
      <c r="U61" s="2"/>
      <c r="V61" s="19"/>
      <c r="W61" s="2"/>
      <c r="X61" s="2">
        <f t="shared" si="2"/>
        <v>-16177.14</v>
      </c>
      <c r="Y61" s="2"/>
      <c r="Z61" s="19">
        <f t="shared" si="3"/>
        <v>-0.99861169668689964</v>
      </c>
    </row>
    <row r="62" spans="1:26" s="23" customFormat="1" hidden="1" outlineLevel="1" x14ac:dyDescent="0.25">
      <c r="A62" s="44"/>
      <c r="B62" s="10" t="str">
        <f>CONCATENATE("          ", "4133", " - ", "NON-TAXABLE SALES-CANDY")</f>
        <v xml:space="preserve">          4133 - NON-TAXABLE SALES-CANDY</v>
      </c>
      <c r="C62" s="10"/>
      <c r="D62" s="2">
        <f t="shared" si="16"/>
        <v>0</v>
      </c>
      <c r="E62" s="2"/>
      <c r="F62" s="19"/>
      <c r="G62" s="2"/>
      <c r="H62" s="2">
        <f>--48.27</f>
        <v>48.27</v>
      </c>
      <c r="I62" s="2"/>
      <c r="J62" s="19"/>
      <c r="K62" s="2"/>
      <c r="L62" s="2">
        <f t="shared" si="0"/>
        <v>-48.27</v>
      </c>
      <c r="M62" s="2"/>
      <c r="N62" s="19">
        <f t="shared" si="1"/>
        <v>-1</v>
      </c>
      <c r="O62" s="10"/>
      <c r="P62" s="2">
        <f>--80.71</f>
        <v>80.709999999999994</v>
      </c>
      <c r="Q62" s="2"/>
      <c r="R62" s="19"/>
      <c r="S62" s="2"/>
      <c r="T62" s="2">
        <f>--18136.73</f>
        <v>18136.73</v>
      </c>
      <c r="U62" s="2"/>
      <c r="V62" s="19"/>
      <c r="W62" s="2"/>
      <c r="X62" s="2">
        <f t="shared" si="2"/>
        <v>-18056.02</v>
      </c>
      <c r="Y62" s="2"/>
      <c r="Z62" s="19">
        <f t="shared" si="3"/>
        <v>-0.99554991445536223</v>
      </c>
    </row>
    <row r="63" spans="1:26" s="23" customFormat="1" hidden="1" outlineLevel="1" x14ac:dyDescent="0.25">
      <c r="A63" s="44"/>
      <c r="B63" s="10" t="str">
        <f>CONCATENATE("          ", "4134", " - ", "NON-TAXABLE SALES-SODA")</f>
        <v xml:space="preserve">          4134 - NON-TAXABLE SALES-SODA</v>
      </c>
      <c r="C63" s="10"/>
      <c r="D63" s="2">
        <f t="shared" si="16"/>
        <v>0</v>
      </c>
      <c r="E63" s="2"/>
      <c r="F63" s="19"/>
      <c r="G63" s="2"/>
      <c r="H63" s="2">
        <f t="shared" ref="H63:H65" si="17"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--45.53</f>
        <v>45.53</v>
      </c>
      <c r="Q63" s="2"/>
      <c r="R63" s="19"/>
      <c r="S63" s="2"/>
      <c r="T63" s="2">
        <f>--1.89</f>
        <v>1.89</v>
      </c>
      <c r="U63" s="2"/>
      <c r="V63" s="19"/>
      <c r="W63" s="2"/>
      <c r="X63" s="2">
        <f t="shared" si="2"/>
        <v>43.64</v>
      </c>
      <c r="Y63" s="2"/>
      <c r="Z63" s="19">
        <f t="shared" si="3"/>
        <v>23.089947089947092</v>
      </c>
    </row>
    <row r="64" spans="1:26" s="23" customFormat="1" hidden="1" outlineLevel="1" x14ac:dyDescent="0.25">
      <c r="A64" s="44"/>
      <c r="B64" s="10" t="str">
        <f>CONCATENATE("          ", "4135", " - ", "NON-TAXABLE SALES")</f>
        <v xml:space="preserve">          4135 - NON-TAXABLE SALES</v>
      </c>
      <c r="C64" s="10"/>
      <c r="D64" s="2">
        <f t="shared" si="16"/>
        <v>0</v>
      </c>
      <c r="E64" s="2"/>
      <c r="F64" s="19"/>
      <c r="G64" s="2"/>
      <c r="H64" s="2">
        <f t="shared" si="17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0</f>
        <v>0</v>
      </c>
      <c r="Q64" s="2"/>
      <c r="R64" s="19"/>
      <c r="S64" s="2"/>
      <c r="T64" s="2">
        <f>--161.4</f>
        <v>161.4</v>
      </c>
      <c r="U64" s="2"/>
      <c r="V64" s="19"/>
      <c r="W64" s="2"/>
      <c r="X64" s="2">
        <f t="shared" si="2"/>
        <v>-161.4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"4137", " - ", "NON-TAXABLE SALES-WATER")</f>
        <v xml:space="preserve">          4137 - NON-TAXABLE SALES-WATER</v>
      </c>
      <c r="C65" s="10"/>
      <c r="D65" s="2">
        <f t="shared" si="16"/>
        <v>0</v>
      </c>
      <c r="E65" s="2"/>
      <c r="F65" s="19"/>
      <c r="G65" s="2"/>
      <c r="H65" s="2">
        <f t="shared" si="17"/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--68.25</f>
        <v>68.25</v>
      </c>
      <c r="Q65" s="2"/>
      <c r="R65" s="19"/>
      <c r="S65" s="2"/>
      <c r="T65" s="2">
        <f>--8519.06</f>
        <v>8519.06</v>
      </c>
      <c r="U65" s="2"/>
      <c r="V65" s="19"/>
      <c r="W65" s="2"/>
      <c r="X65" s="2">
        <f t="shared" si="2"/>
        <v>-8450.81</v>
      </c>
      <c r="Y65" s="2"/>
      <c r="Z65" s="19">
        <f t="shared" si="3"/>
        <v>-0.99198855272764841</v>
      </c>
    </row>
    <row r="66" spans="1:26" s="23" customFormat="1" hidden="1" outlineLevel="1" x14ac:dyDescent="0.25">
      <c r="A66" s="44"/>
      <c r="B66" s="10" t="str">
        <f>CONCATENATE("          ", "4140", " - ", "NON-TAXABLE SALES-LOGO CLOTHIN")</f>
        <v xml:space="preserve">          4140 - NON-TAXABLE SALES-LOGO CLOTHIN</v>
      </c>
      <c r="C66" s="10"/>
      <c r="D66" s="2">
        <f>--16733.37</f>
        <v>16733.37</v>
      </c>
      <c r="E66" s="2"/>
      <c r="F66" s="19"/>
      <c r="G66" s="2"/>
      <c r="H66" s="2">
        <f>--56556.05</f>
        <v>56556.05</v>
      </c>
      <c r="I66" s="2"/>
      <c r="J66" s="19"/>
      <c r="K66" s="2"/>
      <c r="L66" s="2">
        <f t="shared" si="0"/>
        <v>-39822.680000000008</v>
      </c>
      <c r="M66" s="2"/>
      <c r="N66" s="19">
        <f t="shared" si="1"/>
        <v>-0.70412767511168139</v>
      </c>
      <c r="O66" s="10"/>
      <c r="P66" s="2">
        <f>--171525.76</f>
        <v>171525.76000000001</v>
      </c>
      <c r="Q66" s="2"/>
      <c r="R66" s="19"/>
      <c r="S66" s="2"/>
      <c r="T66" s="2">
        <f>--135480.76</f>
        <v>135480.76</v>
      </c>
      <c r="U66" s="2"/>
      <c r="V66" s="19"/>
      <c r="W66" s="2"/>
      <c r="X66" s="2">
        <f t="shared" si="2"/>
        <v>36045</v>
      </c>
      <c r="Y66" s="2"/>
      <c r="Z66" s="19">
        <f t="shared" si="3"/>
        <v>0.26605253764445963</v>
      </c>
    </row>
    <row r="67" spans="1:26" s="23" customFormat="1" hidden="1" outlineLevel="1" x14ac:dyDescent="0.25">
      <c r="A67" s="44"/>
      <c r="B67" s="10" t="str">
        <f>CONCATENATE("          ", "4141", " - ", "NON-TAXABLE SALES-LOGO GIFTS")</f>
        <v xml:space="preserve">          4141 - NON-TAXABLE SALES-LOGO GIFTS</v>
      </c>
      <c r="C67" s="10"/>
      <c r="D67" s="2">
        <f>--2359.22</f>
        <v>2359.2199999999998</v>
      </c>
      <c r="E67" s="2"/>
      <c r="F67" s="19"/>
      <c r="G67" s="2"/>
      <c r="H67" s="2">
        <f>--4184.98</f>
        <v>4184.9799999999996</v>
      </c>
      <c r="I67" s="2"/>
      <c r="J67" s="19"/>
      <c r="K67" s="2"/>
      <c r="L67" s="2">
        <f t="shared" si="0"/>
        <v>-1825.7599999999998</v>
      </c>
      <c r="M67" s="2"/>
      <c r="N67" s="19">
        <f t="shared" si="1"/>
        <v>-0.43626492838675451</v>
      </c>
      <c r="O67" s="10"/>
      <c r="P67" s="2">
        <f>--39156.03</f>
        <v>39156.03</v>
      </c>
      <c r="Q67" s="2"/>
      <c r="R67" s="19"/>
      <c r="S67" s="2"/>
      <c r="T67" s="2">
        <f>--16960.31</f>
        <v>16960.310000000001</v>
      </c>
      <c r="U67" s="2"/>
      <c r="V67" s="19"/>
      <c r="W67" s="2"/>
      <c r="X67" s="2">
        <f t="shared" si="2"/>
        <v>22195.719999999998</v>
      </c>
      <c r="Y67" s="2"/>
      <c r="Z67" s="19">
        <f t="shared" si="3"/>
        <v>1.3086859851028665</v>
      </c>
    </row>
    <row r="68" spans="1:26" s="23" customFormat="1" hidden="1" outlineLevel="1" x14ac:dyDescent="0.25">
      <c r="A68" s="44"/>
      <c r="B68" s="10" t="str">
        <f>CONCATENATE("          ", "4142", " - ", "NON-TAXABLE SALES-EVERYDAY GIF")</f>
        <v xml:space="preserve">          4142 - NON-TAXABLE SALES-EVERYDAY GIF</v>
      </c>
      <c r="C68" s="10"/>
      <c r="D68" s="2">
        <f>--16.35</f>
        <v>16.350000000000001</v>
      </c>
      <c r="E68" s="2"/>
      <c r="F68" s="19"/>
      <c r="G68" s="2"/>
      <c r="H68" s="2">
        <f>--1204.14</f>
        <v>1204.1400000000001</v>
      </c>
      <c r="I68" s="2"/>
      <c r="J68" s="19"/>
      <c r="K68" s="2"/>
      <c r="L68" s="2">
        <f t="shared" si="0"/>
        <v>-1187.7900000000002</v>
      </c>
      <c r="M68" s="2"/>
      <c r="N68" s="19">
        <f t="shared" si="1"/>
        <v>-0.98642184463600591</v>
      </c>
      <c r="O68" s="10"/>
      <c r="P68" s="2">
        <f>--2604.45</f>
        <v>2604.4499999999998</v>
      </c>
      <c r="Q68" s="2"/>
      <c r="R68" s="19"/>
      <c r="S68" s="2"/>
      <c r="T68" s="2">
        <f>--15332.22</f>
        <v>15332.22</v>
      </c>
      <c r="U68" s="2"/>
      <c r="V68" s="19"/>
      <c r="W68" s="2"/>
      <c r="X68" s="2">
        <f t="shared" si="2"/>
        <v>-12727.77</v>
      </c>
      <c r="Y68" s="2"/>
      <c r="Z68" s="19">
        <f t="shared" si="3"/>
        <v>-0.83013223134027569</v>
      </c>
    </row>
    <row r="69" spans="1:26" s="23" customFormat="1" hidden="1" outlineLevel="1" x14ac:dyDescent="0.25">
      <c r="A69" s="44"/>
      <c r="B69" s="10" t="str">
        <f>CONCATENATE("          ", "4143", " - ", "NON-TAXABLE SALES-CARDS")</f>
        <v xml:space="preserve">          4143 - NON-TAXABLE SALES-CARDS</v>
      </c>
      <c r="C69" s="10"/>
      <c r="D69" s="2">
        <f>--120.71</f>
        <v>120.71</v>
      </c>
      <c r="E69" s="2"/>
      <c r="F69" s="19"/>
      <c r="G69" s="2"/>
      <c r="H69" s="2">
        <f>--19.98</f>
        <v>19.98</v>
      </c>
      <c r="I69" s="2"/>
      <c r="J69" s="19"/>
      <c r="K69" s="2"/>
      <c r="L69" s="2">
        <f t="shared" si="0"/>
        <v>100.72999999999999</v>
      </c>
      <c r="M69" s="2"/>
      <c r="N69" s="19">
        <f t="shared" si="1"/>
        <v>5.041541541541541</v>
      </c>
      <c r="O69" s="10"/>
      <c r="P69" s="2">
        <f>--2552.16</f>
        <v>2552.16</v>
      </c>
      <c r="Q69" s="2"/>
      <c r="R69" s="19"/>
      <c r="S69" s="2"/>
      <c r="T69" s="2">
        <f>--19.98</f>
        <v>19.98</v>
      </c>
      <c r="U69" s="2"/>
      <c r="V69" s="19"/>
      <c r="W69" s="2"/>
      <c r="X69" s="2">
        <f t="shared" si="2"/>
        <v>2532.1799999999998</v>
      </c>
      <c r="Y69" s="2"/>
      <c r="Z69" s="19">
        <f t="shared" si="3"/>
        <v>126.73573573573573</v>
      </c>
    </row>
    <row r="70" spans="1:26" s="23" customFormat="1" hidden="1" outlineLevel="1" x14ac:dyDescent="0.25">
      <c r="A70" s="44"/>
      <c r="B70" s="10" t="str">
        <f>CONCATENATE("          ", "4144", " - ", "NON-TAXABLE SALES-ACCESSORIES")</f>
        <v xml:space="preserve">          4144 - NON-TAXABLE SALES-ACCESSORIES</v>
      </c>
      <c r="C70" s="10"/>
      <c r="D70" s="2">
        <f>--164.7</f>
        <v>164.7</v>
      </c>
      <c r="E70" s="2"/>
      <c r="F70" s="19"/>
      <c r="G70" s="2"/>
      <c r="H70" s="2">
        <f>--984.35</f>
        <v>984.35</v>
      </c>
      <c r="I70" s="2"/>
      <c r="J70" s="19"/>
      <c r="K70" s="2"/>
      <c r="L70" s="2">
        <f t="shared" si="0"/>
        <v>-819.65000000000009</v>
      </c>
      <c r="M70" s="2"/>
      <c r="N70" s="19">
        <f t="shared" si="1"/>
        <v>-0.83268146492609341</v>
      </c>
      <c r="O70" s="10"/>
      <c r="P70" s="2">
        <f>--873.8</f>
        <v>873.8</v>
      </c>
      <c r="Q70" s="2"/>
      <c r="R70" s="19"/>
      <c r="S70" s="2"/>
      <c r="T70" s="2">
        <f>--3324.02</f>
        <v>3324.02</v>
      </c>
      <c r="U70" s="2"/>
      <c r="V70" s="19"/>
      <c r="W70" s="2"/>
      <c r="X70" s="2">
        <f t="shared" si="2"/>
        <v>-2450.2200000000003</v>
      </c>
      <c r="Y70" s="2"/>
      <c r="Z70" s="19">
        <f t="shared" si="3"/>
        <v>-0.737125528727264</v>
      </c>
    </row>
    <row r="71" spans="1:26" s="23" customFormat="1" hidden="1" outlineLevel="1" x14ac:dyDescent="0.25">
      <c r="A71" s="44"/>
      <c r="B71" s="10" t="str">
        <f>CONCATENATE("          ", "4145", " - ", "NON-TAXABLE SALES-SPECIAL ORDE")</f>
        <v xml:space="preserve">          4145 - NON-TAXABLE SALES-SPECIAL ORDE</v>
      </c>
      <c r="C71" s="10"/>
      <c r="D71" s="2">
        <f>0</f>
        <v>0</v>
      </c>
      <c r="E71" s="2"/>
      <c r="F71" s="19"/>
      <c r="G71" s="2"/>
      <c r="H71" s="2">
        <f>--7688.68</f>
        <v>7688.68</v>
      </c>
      <c r="I71" s="2"/>
      <c r="J71" s="19"/>
      <c r="K71" s="2"/>
      <c r="L71" s="2">
        <f t="shared" si="0"/>
        <v>-7688.68</v>
      </c>
      <c r="M71" s="2"/>
      <c r="N71" s="19">
        <f t="shared" si="1"/>
        <v>-1</v>
      </c>
      <c r="O71" s="10"/>
      <c r="P71" s="2">
        <f>--74066.89</f>
        <v>74066.89</v>
      </c>
      <c r="Q71" s="2"/>
      <c r="R71" s="19"/>
      <c r="S71" s="2"/>
      <c r="T71" s="2">
        <f>--7828.68</f>
        <v>7828.68</v>
      </c>
      <c r="U71" s="2"/>
      <c r="V71" s="19"/>
      <c r="W71" s="2"/>
      <c r="X71" s="2">
        <f t="shared" si="2"/>
        <v>66238.209999999992</v>
      </c>
      <c r="Y71" s="2"/>
      <c r="Z71" s="19">
        <f t="shared" si="3"/>
        <v>8.4609678770878354</v>
      </c>
    </row>
    <row r="72" spans="1:26" s="23" customFormat="1" hidden="1" outlineLevel="1" x14ac:dyDescent="0.25">
      <c r="A72" s="44"/>
      <c r="B72" s="10" t="str">
        <f>CONCATENATE("          ", "4146", " - ", "NON-TAXABLE SALES-COIN OP MACH")</f>
        <v xml:space="preserve">          4146 - NON-TAXABLE SALES-COIN OP MACH</v>
      </c>
      <c r="C72" s="10"/>
      <c r="D72" s="2">
        <f>--56.6</f>
        <v>56.6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56.6</v>
      </c>
      <c r="M72" s="2"/>
      <c r="N72" s="19">
        <f t="shared" si="1"/>
        <v>0</v>
      </c>
      <c r="O72" s="10"/>
      <c r="P72" s="2">
        <f>--385.9</f>
        <v>385.9</v>
      </c>
      <c r="Q72" s="2"/>
      <c r="R72" s="19"/>
      <c r="S72" s="2"/>
      <c r="T72" s="2">
        <f>--205908.65</f>
        <v>205908.65</v>
      </c>
      <c r="U72" s="2"/>
      <c r="V72" s="19"/>
      <c r="W72" s="2"/>
      <c r="X72" s="2">
        <f t="shared" si="2"/>
        <v>-205522.75</v>
      </c>
      <c r="Y72" s="2"/>
      <c r="Z72" s="19">
        <f t="shared" si="3"/>
        <v>-0.99812586795163782</v>
      </c>
    </row>
    <row r="73" spans="1:26" s="23" customFormat="1" hidden="1" outlineLevel="1" x14ac:dyDescent="0.25">
      <c r="A73" s="44"/>
      <c r="B73" s="10" t="str">
        <f>CONCATENATE("          ", "4147", " - ", "NON-TAXABLE SALES-MISC")</f>
        <v xml:space="preserve">          4147 - NON-TAXABLE SALES-MISC</v>
      </c>
      <c r="C73" s="10"/>
      <c r="D73" s="2">
        <f>--13.5</f>
        <v>13.5</v>
      </c>
      <c r="E73" s="2"/>
      <c r="F73" s="19"/>
      <c r="G73" s="2"/>
      <c r="H73" s="2">
        <f>--10</f>
        <v>10</v>
      </c>
      <c r="I73" s="2"/>
      <c r="J73" s="19"/>
      <c r="K73" s="2"/>
      <c r="L73" s="2">
        <f t="shared" si="0"/>
        <v>3.5</v>
      </c>
      <c r="M73" s="2"/>
      <c r="N73" s="19">
        <f t="shared" si="1"/>
        <v>0.35</v>
      </c>
      <c r="O73" s="10"/>
      <c r="P73" s="2">
        <f>--168</f>
        <v>168</v>
      </c>
      <c r="Q73" s="2"/>
      <c r="R73" s="19"/>
      <c r="S73" s="2"/>
      <c r="T73" s="2">
        <f>--3446.37</f>
        <v>3446.37</v>
      </c>
      <c r="U73" s="2"/>
      <c r="V73" s="19"/>
      <c r="W73" s="2"/>
      <c r="X73" s="2">
        <f t="shared" si="2"/>
        <v>-3278.37</v>
      </c>
      <c r="Y73" s="2"/>
      <c r="Z73" s="19">
        <f t="shared" si="3"/>
        <v>-0.95125305756491618</v>
      </c>
    </row>
    <row r="74" spans="1:26" s="23" customFormat="1" hidden="1" outlineLevel="1" x14ac:dyDescent="0.25">
      <c r="A74" s="44"/>
      <c r="B74" s="10" t="str">
        <f>CONCATENATE("          ", "4186", " - ", "NON-TAXABLE SALES-COMPUTER SUP")</f>
        <v xml:space="preserve">          4186 - NON-TAXABLE SALES-COMPUTER SUP</v>
      </c>
      <c r="C74" s="10"/>
      <c r="D74" s="2">
        <f t="shared" ref="D74:D75" si="18">0</f>
        <v>0</v>
      </c>
      <c r="E74" s="2"/>
      <c r="F74" s="19"/>
      <c r="G74" s="2"/>
      <c r="H74" s="2">
        <f>0</f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0"/>
      <c r="P74" s="2">
        <f t="shared" ref="P74:P75" si="19">0</f>
        <v>0</v>
      </c>
      <c r="Q74" s="2"/>
      <c r="R74" s="19"/>
      <c r="S74" s="2"/>
      <c r="T74" s="2">
        <f>-30.97</f>
        <v>-30.97</v>
      </c>
      <c r="U74" s="2"/>
      <c r="V74" s="19"/>
      <c r="W74" s="2"/>
      <c r="X74" s="2">
        <f t="shared" si="2"/>
        <v>30.97</v>
      </c>
      <c r="Y74" s="2"/>
      <c r="Z74" s="19">
        <f t="shared" si="3"/>
        <v>-1</v>
      </c>
    </row>
    <row r="75" spans="1:26" s="23" customFormat="1" hidden="1" outlineLevel="1" x14ac:dyDescent="0.25">
      <c r="A75" s="44"/>
      <c r="B75" s="10" t="str">
        <f>CONCATENATE("          ", "4192", " - ", "NON-TAXABLE SALES-GRAD MERCH")</f>
        <v xml:space="preserve">          4192 - NON-TAXABLE SALES-GRAD MERCH</v>
      </c>
      <c r="C75" s="10"/>
      <c r="D75" s="2">
        <f t="shared" si="18"/>
        <v>0</v>
      </c>
      <c r="E75" s="2"/>
      <c r="F75" s="19"/>
      <c r="G75" s="2"/>
      <c r="H75" s="2">
        <f>--119.4</f>
        <v>119.4</v>
      </c>
      <c r="I75" s="2"/>
      <c r="J75" s="19"/>
      <c r="K75" s="2"/>
      <c r="L75" s="2">
        <f t="shared" si="0"/>
        <v>-119.4</v>
      </c>
      <c r="M75" s="2"/>
      <c r="N75" s="19">
        <f t="shared" si="1"/>
        <v>-1</v>
      </c>
      <c r="O75" s="10"/>
      <c r="P75" s="2">
        <f t="shared" si="19"/>
        <v>0</v>
      </c>
      <c r="Q75" s="2"/>
      <c r="R75" s="19"/>
      <c r="S75" s="2"/>
      <c r="T75" s="2">
        <f>--119.4</f>
        <v>119.4</v>
      </c>
      <c r="U75" s="2"/>
      <c r="V75" s="19"/>
      <c r="W75" s="2"/>
      <c r="X75" s="2">
        <f t="shared" si="2"/>
        <v>-119.4</v>
      </c>
      <c r="Y75" s="2"/>
      <c r="Z75" s="19">
        <f t="shared" si="3"/>
        <v>-1</v>
      </c>
    </row>
    <row r="76" spans="1:26" s="23" customFormat="1" hidden="1" outlineLevel="1" x14ac:dyDescent="0.25">
      <c r="A76" s="44"/>
      <c r="B76" s="10" t="str">
        <f>CONCATENATE("          ", "4201", " - ", "SALES RETURN TAXABLE-NEW TEXT")</f>
        <v xml:space="preserve">          4201 - SALES RETURN TAXABLE-NEW TEXT</v>
      </c>
      <c r="C76" s="10"/>
      <c r="D76" s="2">
        <f>-658.4</f>
        <v>-658.4</v>
      </c>
      <c r="E76" s="2"/>
      <c r="F76" s="19"/>
      <c r="G76" s="2"/>
      <c r="H76" s="2">
        <f>-228.6</f>
        <v>-228.6</v>
      </c>
      <c r="I76" s="2"/>
      <c r="J76" s="19"/>
      <c r="K76" s="2"/>
      <c r="L76" s="2">
        <f t="shared" si="0"/>
        <v>-429.79999999999995</v>
      </c>
      <c r="M76" s="2"/>
      <c r="N76" s="19">
        <f t="shared" si="1"/>
        <v>1.8801399825021872</v>
      </c>
      <c r="O76" s="10"/>
      <c r="P76" s="2">
        <f>-52296.42</f>
        <v>-52296.42</v>
      </c>
      <c r="Q76" s="2"/>
      <c r="R76" s="19"/>
      <c r="S76" s="2"/>
      <c r="T76" s="2">
        <f>-121451.61</f>
        <v>-121451.61</v>
      </c>
      <c r="U76" s="2"/>
      <c r="V76" s="19"/>
      <c r="W76" s="2"/>
      <c r="X76" s="2">
        <f t="shared" si="2"/>
        <v>69155.19</v>
      </c>
      <c r="Y76" s="2"/>
      <c r="Z76" s="19">
        <f t="shared" si="3"/>
        <v>-0.56940529647980787</v>
      </c>
    </row>
    <row r="77" spans="1:26" s="23" customFormat="1" hidden="1" outlineLevel="1" x14ac:dyDescent="0.25">
      <c r="A77" s="44"/>
      <c r="B77" s="10" t="str">
        <f>CONCATENATE("          ", "4202", " - ", "SALES RETURN TAXABLE-USED TEXT")</f>
        <v xml:space="preserve">          4202 - SALES RETURN TAXABLE-USED TEXT</v>
      </c>
      <c r="C77" s="10"/>
      <c r="D77" s="2">
        <f>-359.4</f>
        <v>-359.4</v>
      </c>
      <c r="E77" s="2"/>
      <c r="F77" s="19"/>
      <c r="G77" s="2"/>
      <c r="H77" s="2">
        <f>-60.4</f>
        <v>-60.4</v>
      </c>
      <c r="I77" s="2"/>
      <c r="J77" s="19"/>
      <c r="K77" s="2"/>
      <c r="L77" s="2">
        <f t="shared" si="0"/>
        <v>-299</v>
      </c>
      <c r="M77" s="2"/>
      <c r="N77" s="19">
        <f t="shared" si="1"/>
        <v>4.9503311258278151</v>
      </c>
      <c r="O77" s="10"/>
      <c r="P77" s="2">
        <f>-20455.66</f>
        <v>-20455.66</v>
      </c>
      <c r="Q77" s="2"/>
      <c r="R77" s="19"/>
      <c r="S77" s="2"/>
      <c r="T77" s="2">
        <f>-45613.11</f>
        <v>-45613.11</v>
      </c>
      <c r="U77" s="2"/>
      <c r="V77" s="19"/>
      <c r="W77" s="2"/>
      <c r="X77" s="2">
        <f t="shared" si="2"/>
        <v>25157.45</v>
      </c>
      <c r="Y77" s="2"/>
      <c r="Z77" s="19">
        <f t="shared" si="3"/>
        <v>-0.55153989719183805</v>
      </c>
    </row>
    <row r="78" spans="1:26" s="23" customFormat="1" hidden="1" outlineLevel="1" x14ac:dyDescent="0.25">
      <c r="A78" s="44"/>
      <c r="B78" s="10" t="str">
        <f>CONCATENATE("          ", "4203", " - ", "SALES RETURN TAXABLE-RENTAL TE")</f>
        <v xml:space="preserve">          4203 - SALES RETURN TAXABLE-RENTAL TE</v>
      </c>
      <c r="C78" s="10"/>
      <c r="D78" s="2">
        <f t="shared" ref="D78:D79" si="20">0</f>
        <v>0</v>
      </c>
      <c r="E78" s="2"/>
      <c r="F78" s="19"/>
      <c r="G78" s="2"/>
      <c r="H78" s="2">
        <f t="shared" ref="H78:H83" si="21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0"/>
      <c r="P78" s="2">
        <f>0</f>
        <v>0</v>
      </c>
      <c r="Q78" s="2"/>
      <c r="R78" s="19"/>
      <c r="S78" s="2"/>
      <c r="T78" s="2">
        <f>-144.99</f>
        <v>-144.99</v>
      </c>
      <c r="U78" s="2"/>
      <c r="V78" s="19"/>
      <c r="W78" s="2"/>
      <c r="X78" s="2">
        <f t="shared" si="2"/>
        <v>144.99</v>
      </c>
      <c r="Y78" s="2"/>
      <c r="Z78" s="19">
        <f t="shared" si="3"/>
        <v>-1</v>
      </c>
    </row>
    <row r="79" spans="1:26" s="23" customFormat="1" hidden="1" outlineLevel="1" x14ac:dyDescent="0.25">
      <c r="A79" s="44"/>
      <c r="B79" s="10" t="str">
        <f>CONCATENATE("          ", "4204", " - ", "SALES RETURN TAXABLE-DIGITAL T")</f>
        <v xml:space="preserve">          4204 - SALES RETURN TAXABLE-DIGITAL T</v>
      </c>
      <c r="C79" s="10"/>
      <c r="D79" s="2">
        <f t="shared" si="20"/>
        <v>0</v>
      </c>
      <c r="E79" s="2"/>
      <c r="F79" s="19"/>
      <c r="G79" s="2"/>
      <c r="H79" s="2">
        <f t="shared" si="21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-1763.1</f>
        <v>-1763.1</v>
      </c>
      <c r="Q79" s="2"/>
      <c r="R79" s="19"/>
      <c r="S79" s="2"/>
      <c r="T79" s="2">
        <f>-17255.33</f>
        <v>-17255.330000000002</v>
      </c>
      <c r="U79" s="2"/>
      <c r="V79" s="19"/>
      <c r="W79" s="2"/>
      <c r="X79" s="2">
        <f t="shared" si="2"/>
        <v>15492.230000000001</v>
      </c>
      <c r="Y79" s="2"/>
      <c r="Z79" s="19">
        <f t="shared" si="3"/>
        <v>-0.89782287559843832</v>
      </c>
    </row>
    <row r="80" spans="1:26" s="23" customFormat="1" hidden="1" outlineLevel="1" x14ac:dyDescent="0.25">
      <c r="A80" s="44"/>
      <c r="B80" s="10" t="str">
        <f>CONCATENATE("          ", "4213", " - ", "NON-TAXABLE SALES-TRADE BOOKS")</f>
        <v xml:space="preserve">          4213 - NON-TAXABLE SALES-TRADE BOOKS</v>
      </c>
      <c r="C80" s="10"/>
      <c r="D80" s="2">
        <f>-8.99</f>
        <v>-8.99</v>
      </c>
      <c r="E80" s="2"/>
      <c r="F80" s="19"/>
      <c r="G80" s="2"/>
      <c r="H80" s="2">
        <f t="shared" si="21"/>
        <v>0</v>
      </c>
      <c r="I80" s="2"/>
      <c r="J80" s="19"/>
      <c r="K80" s="2"/>
      <c r="L80" s="2">
        <f t="shared" si="0"/>
        <v>-8.99</v>
      </c>
      <c r="M80" s="2"/>
      <c r="N80" s="19">
        <f t="shared" si="1"/>
        <v>0</v>
      </c>
      <c r="O80" s="10"/>
      <c r="P80" s="2">
        <f>-78.92</f>
        <v>-78.92</v>
      </c>
      <c r="Q80" s="2"/>
      <c r="R80" s="19"/>
      <c r="S80" s="2"/>
      <c r="T80" s="2">
        <f>-2768.67</f>
        <v>-2768.67</v>
      </c>
      <c r="U80" s="2"/>
      <c r="V80" s="19"/>
      <c r="W80" s="2"/>
      <c r="X80" s="2">
        <f t="shared" si="2"/>
        <v>2689.75</v>
      </c>
      <c r="Y80" s="2"/>
      <c r="Z80" s="19">
        <f t="shared" si="3"/>
        <v>-0.97149533891724182</v>
      </c>
    </row>
    <row r="81" spans="1:26" s="23" customFormat="1" hidden="1" outlineLevel="1" x14ac:dyDescent="0.25">
      <c r="A81" s="44"/>
      <c r="B81" s="10" t="str">
        <f>CONCATENATE("          ", "4214", " - ", "SALES RETURN TAXABLE-REMAINDER")</f>
        <v xml:space="preserve">          4214 - SALES RETURN TAXABLE-REMAINDER</v>
      </c>
      <c r="C81" s="10"/>
      <c r="D81" s="2">
        <f t="shared" ref="D81:D84" si="22">0</f>
        <v>0</v>
      </c>
      <c r="E81" s="2"/>
      <c r="F81" s="19"/>
      <c r="G81" s="2"/>
      <c r="H81" s="2">
        <f t="shared" si="21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0"/>
      <c r="P81" s="2">
        <f t="shared" ref="P81:P82" si="23">0</f>
        <v>0</v>
      </c>
      <c r="Q81" s="2"/>
      <c r="R81" s="19"/>
      <c r="S81" s="2"/>
      <c r="T81" s="2">
        <f>-11.94</f>
        <v>-11.94</v>
      </c>
      <c r="U81" s="2"/>
      <c r="V81" s="19"/>
      <c r="W81" s="2"/>
      <c r="X81" s="2">
        <f t="shared" si="2"/>
        <v>11.94</v>
      </c>
      <c r="Y81" s="2"/>
      <c r="Z81" s="19">
        <f t="shared" si="3"/>
        <v>-1</v>
      </c>
    </row>
    <row r="82" spans="1:26" s="23" customFormat="1" hidden="1" outlineLevel="1" x14ac:dyDescent="0.25">
      <c r="A82" s="44"/>
      <c r="B82" s="10" t="str">
        <f>CONCATENATE("          ", "4217", " - ", "NON-TAXABLE SALES-DORM/HOUSEWA")</f>
        <v xml:space="preserve">          4217 - NON-TAXABLE SALES-DORM/HOUSEWA</v>
      </c>
      <c r="C82" s="10"/>
      <c r="D82" s="2">
        <f t="shared" si="22"/>
        <v>0</v>
      </c>
      <c r="E82" s="2"/>
      <c r="F82" s="19"/>
      <c r="G82" s="2"/>
      <c r="H82" s="2">
        <f t="shared" si="21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 t="shared" si="23"/>
        <v>0</v>
      </c>
      <c r="Q82" s="2"/>
      <c r="R82" s="19"/>
      <c r="S82" s="2"/>
      <c r="T82" s="2">
        <f>-2.98</f>
        <v>-2.98</v>
      </c>
      <c r="U82" s="2"/>
      <c r="V82" s="19"/>
      <c r="W82" s="2"/>
      <c r="X82" s="2">
        <f t="shared" si="2"/>
        <v>2.98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"4218", " - ", "SALES RETURN TAXABLE-STUDY GUI")</f>
        <v xml:space="preserve">          4218 - SALES RETURN TAXABLE-STUDY GUI</v>
      </c>
      <c r="C83" s="10"/>
      <c r="D83" s="2">
        <f t="shared" si="22"/>
        <v>0</v>
      </c>
      <c r="E83" s="2"/>
      <c r="F83" s="19"/>
      <c r="G83" s="2"/>
      <c r="H83" s="2">
        <f t="shared" si="21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>-5.21</f>
        <v>-5.21</v>
      </c>
      <c r="Q83" s="2"/>
      <c r="R83" s="19"/>
      <c r="S83" s="2"/>
      <c r="T83" s="2">
        <f>-39.25</f>
        <v>-39.25</v>
      </c>
      <c r="U83" s="2"/>
      <c r="V83" s="19"/>
      <c r="W83" s="2"/>
      <c r="X83" s="2">
        <f t="shared" si="2"/>
        <v>34.04</v>
      </c>
      <c r="Y83" s="2"/>
      <c r="Z83" s="19">
        <f t="shared" si="3"/>
        <v>-0.86726114649681529</v>
      </c>
    </row>
    <row r="84" spans="1:26" s="23" customFormat="1" hidden="1" outlineLevel="1" x14ac:dyDescent="0.25">
      <c r="A84" s="44"/>
      <c r="B84" s="10" t="str">
        <f>CONCATENATE("          ", "4225", " - ", "SALES RETURN TAXABLE-TEST FORM")</f>
        <v xml:space="preserve">          4225 - SALES RETURN TAXABLE-TEST FORM</v>
      </c>
      <c r="C84" s="10"/>
      <c r="D84" s="2">
        <f t="shared" si="22"/>
        <v>0</v>
      </c>
      <c r="E84" s="2"/>
      <c r="F84" s="19"/>
      <c r="G84" s="2"/>
      <c r="H84" s="2">
        <f>-29.5</f>
        <v>-29.5</v>
      </c>
      <c r="I84" s="2"/>
      <c r="J84" s="19"/>
      <c r="K84" s="2"/>
      <c r="L84" s="2">
        <f t="shared" si="0"/>
        <v>29.5</v>
      </c>
      <c r="M84" s="2"/>
      <c r="N84" s="19">
        <f t="shared" si="1"/>
        <v>-1</v>
      </c>
      <c r="O84" s="10"/>
      <c r="P84" s="2">
        <f>0</f>
        <v>0</v>
      </c>
      <c r="Q84" s="2"/>
      <c r="R84" s="19"/>
      <c r="S84" s="2"/>
      <c r="T84" s="2">
        <f>-205.91</f>
        <v>-205.91</v>
      </c>
      <c r="U84" s="2"/>
      <c r="V84" s="19"/>
      <c r="W84" s="2"/>
      <c r="X84" s="2">
        <f t="shared" si="2"/>
        <v>205.91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"4226", " - ", "SALES RETURN TAXABLE-WRITING I")</f>
        <v xml:space="preserve">          4226 - SALES RETURN TAXABLE-WRITING I</v>
      </c>
      <c r="C85" s="10"/>
      <c r="D85" s="2">
        <f>-0.79</f>
        <v>-0.79</v>
      </c>
      <c r="E85" s="2"/>
      <c r="F85" s="19"/>
      <c r="G85" s="2"/>
      <c r="H85" s="2">
        <f>-159.4</f>
        <v>-159.4</v>
      </c>
      <c r="I85" s="2"/>
      <c r="J85" s="19"/>
      <c r="K85" s="2"/>
      <c r="L85" s="2">
        <f t="shared" si="0"/>
        <v>158.61000000000001</v>
      </c>
      <c r="M85" s="2"/>
      <c r="N85" s="19">
        <f t="shared" si="1"/>
        <v>-0.99504391468005027</v>
      </c>
      <c r="O85" s="10"/>
      <c r="P85" s="2">
        <f>-35.02</f>
        <v>-35.020000000000003</v>
      </c>
      <c r="Q85" s="2"/>
      <c r="R85" s="19"/>
      <c r="S85" s="2"/>
      <c r="T85" s="2">
        <f>-924.44</f>
        <v>-924.44</v>
      </c>
      <c r="U85" s="2"/>
      <c r="V85" s="19"/>
      <c r="W85" s="2"/>
      <c r="X85" s="2">
        <f t="shared" si="2"/>
        <v>889.42000000000007</v>
      </c>
      <c r="Y85" s="2"/>
      <c r="Z85" s="19">
        <f t="shared" si="3"/>
        <v>-0.96211760633464583</v>
      </c>
    </row>
    <row r="86" spans="1:26" s="23" customFormat="1" hidden="1" outlineLevel="1" x14ac:dyDescent="0.25">
      <c r="A86" s="44"/>
      <c r="B86" s="10" t="str">
        <f>CONCATENATE("          ", "4227", " - ", "SALES RETURN TAXABLE-SCHOOL SU")</f>
        <v xml:space="preserve">          4227 - SALES RETURN TAXABLE-SCHOOL SU</v>
      </c>
      <c r="C86" s="10"/>
      <c r="D86" s="2">
        <f>-137.82</f>
        <v>-137.82</v>
      </c>
      <c r="E86" s="2"/>
      <c r="F86" s="19"/>
      <c r="G86" s="2"/>
      <c r="H86" s="2">
        <f>-53.42</f>
        <v>-53.42</v>
      </c>
      <c r="I86" s="2"/>
      <c r="J86" s="19"/>
      <c r="K86" s="2"/>
      <c r="L86" s="2">
        <f t="shared" si="0"/>
        <v>-84.399999999999991</v>
      </c>
      <c r="M86" s="2"/>
      <c r="N86" s="19">
        <f t="shared" si="1"/>
        <v>1.5799326095095467</v>
      </c>
      <c r="O86" s="10"/>
      <c r="P86" s="2">
        <f>-1484.48</f>
        <v>-1484.48</v>
      </c>
      <c r="Q86" s="2"/>
      <c r="R86" s="19"/>
      <c r="S86" s="2"/>
      <c r="T86" s="2">
        <f>-8647.03</f>
        <v>-8647.0300000000007</v>
      </c>
      <c r="U86" s="2"/>
      <c r="V86" s="19"/>
      <c r="W86" s="2"/>
      <c r="X86" s="2">
        <f t="shared" si="2"/>
        <v>7162.5500000000011</v>
      </c>
      <c r="Y86" s="2"/>
      <c r="Z86" s="19">
        <f t="shared" si="3"/>
        <v>-0.82832486992643728</v>
      </c>
    </row>
    <row r="87" spans="1:26" s="23" customFormat="1" hidden="1" outlineLevel="1" x14ac:dyDescent="0.25">
      <c r="A87" s="44"/>
      <c r="B87" s="10" t="str">
        <f>CONCATENATE("          ", "4228", " - ", "SALES RETURN TAXABLE-ART/TECH")</f>
        <v xml:space="preserve">          4228 - SALES RETURN TAXABLE-ART/TECH</v>
      </c>
      <c r="C87" s="10"/>
      <c r="D87" s="2">
        <f t="shared" ref="D87:D88" si="24">0</f>
        <v>0</v>
      </c>
      <c r="E87" s="2"/>
      <c r="F87" s="19"/>
      <c r="G87" s="2"/>
      <c r="H87" s="2">
        <f t="shared" ref="H87:H88" si="25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0"/>
      <c r="P87" s="2">
        <f>-12973.73</f>
        <v>-12973.73</v>
      </c>
      <c r="Q87" s="2"/>
      <c r="R87" s="19"/>
      <c r="S87" s="2"/>
      <c r="T87" s="2">
        <f>-4739.1</f>
        <v>-4739.1000000000004</v>
      </c>
      <c r="U87" s="2"/>
      <c r="V87" s="19"/>
      <c r="W87" s="2"/>
      <c r="X87" s="2">
        <f t="shared" si="2"/>
        <v>-8234.6299999999992</v>
      </c>
      <c r="Y87" s="2"/>
      <c r="Z87" s="19">
        <f t="shared" si="3"/>
        <v>1.7375936359224322</v>
      </c>
    </row>
    <row r="88" spans="1:26" s="23" customFormat="1" hidden="1" outlineLevel="1" x14ac:dyDescent="0.25">
      <c r="A88" s="44"/>
      <c r="B88" s="10" t="str">
        <f>CONCATENATE("          ", "4233", " - ", "SALES RETURN TAXABLE-CANDY")</f>
        <v xml:space="preserve">          4233 - SALES RETURN TAXABLE-CANDY</v>
      </c>
      <c r="C88" s="10"/>
      <c r="D88" s="2">
        <f t="shared" si="24"/>
        <v>0</v>
      </c>
      <c r="E88" s="2"/>
      <c r="F88" s="19"/>
      <c r="G88" s="2"/>
      <c r="H88" s="2">
        <f t="shared" si="25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>0</f>
        <v>0</v>
      </c>
      <c r="Q88" s="2"/>
      <c r="R88" s="19"/>
      <c r="S88" s="2"/>
      <c r="T88" s="2">
        <f>-8.25</f>
        <v>-8.25</v>
      </c>
      <c r="U88" s="2"/>
      <c r="V88" s="19"/>
      <c r="W88" s="2"/>
      <c r="X88" s="2">
        <f t="shared" si="2"/>
        <v>8.25</v>
      </c>
      <c r="Y88" s="2"/>
      <c r="Z88" s="19">
        <f t="shared" si="3"/>
        <v>-1</v>
      </c>
    </row>
    <row r="89" spans="1:26" s="23" customFormat="1" hidden="1" outlineLevel="1" x14ac:dyDescent="0.25">
      <c r="A89" s="44"/>
      <c r="B89" s="10" t="str">
        <f>CONCATENATE("          ", "4240", " - ", "SALES RETURN TAXABLE-LOGO CLOT")</f>
        <v xml:space="preserve">          4240 - SALES RETURN TAXABLE-LOGO CLOT</v>
      </c>
      <c r="C89" s="10"/>
      <c r="D89" s="2">
        <f>-6427.17</f>
        <v>-6427.17</v>
      </c>
      <c r="E89" s="2"/>
      <c r="F89" s="19"/>
      <c r="G89" s="2"/>
      <c r="H89" s="2">
        <f>-3229.58</f>
        <v>-3229.58</v>
      </c>
      <c r="I89" s="2"/>
      <c r="J89" s="19"/>
      <c r="K89" s="2"/>
      <c r="L89" s="2">
        <f t="shared" si="0"/>
        <v>-3197.59</v>
      </c>
      <c r="M89" s="2"/>
      <c r="N89" s="19">
        <f t="shared" si="1"/>
        <v>0.99009468723487271</v>
      </c>
      <c r="O89" s="10"/>
      <c r="P89" s="2">
        <f>-47093.44</f>
        <v>-47093.440000000002</v>
      </c>
      <c r="Q89" s="2"/>
      <c r="R89" s="19"/>
      <c r="S89" s="2"/>
      <c r="T89" s="2">
        <f>-77684.77</f>
        <v>-77684.77</v>
      </c>
      <c r="U89" s="2"/>
      <c r="V89" s="19"/>
      <c r="W89" s="2"/>
      <c r="X89" s="2">
        <f t="shared" si="2"/>
        <v>30591.33</v>
      </c>
      <c r="Y89" s="2"/>
      <c r="Z89" s="19">
        <f t="shared" si="3"/>
        <v>-0.3937879973127294</v>
      </c>
    </row>
    <row r="90" spans="1:26" s="23" customFormat="1" hidden="1" outlineLevel="1" x14ac:dyDescent="0.25">
      <c r="A90" s="44"/>
      <c r="B90" s="10" t="str">
        <f>CONCATENATE("          ", "4241", " - ", "SALES RETURN TAXABLE-LOGO GIFT")</f>
        <v xml:space="preserve">          4241 - SALES RETURN TAXABLE-LOGO GIFT</v>
      </c>
      <c r="C90" s="10"/>
      <c r="D90" s="2">
        <f>-4505.29</f>
        <v>-4505.29</v>
      </c>
      <c r="E90" s="2"/>
      <c r="F90" s="19"/>
      <c r="G90" s="2"/>
      <c r="H90" s="2">
        <f>-1133.39</f>
        <v>-1133.3900000000001</v>
      </c>
      <c r="I90" s="2"/>
      <c r="J90" s="19"/>
      <c r="K90" s="2"/>
      <c r="L90" s="2">
        <f t="shared" si="0"/>
        <v>-3371.8999999999996</v>
      </c>
      <c r="M90" s="2"/>
      <c r="N90" s="19">
        <f t="shared" si="1"/>
        <v>2.9750571294964656</v>
      </c>
      <c r="O90" s="10"/>
      <c r="P90" s="2">
        <f>-16680.54</f>
        <v>-16680.54</v>
      </c>
      <c r="Q90" s="2"/>
      <c r="R90" s="19"/>
      <c r="S90" s="2"/>
      <c r="T90" s="2">
        <f>-7465.27</f>
        <v>-7465.27</v>
      </c>
      <c r="U90" s="2"/>
      <c r="V90" s="19"/>
      <c r="W90" s="2"/>
      <c r="X90" s="2">
        <f t="shared" si="2"/>
        <v>-9215.27</v>
      </c>
      <c r="Y90" s="2"/>
      <c r="Z90" s="19">
        <f t="shared" si="3"/>
        <v>1.2344188488828938</v>
      </c>
    </row>
    <row r="91" spans="1:26" s="23" customFormat="1" hidden="1" outlineLevel="1" x14ac:dyDescent="0.25">
      <c r="A91" s="44"/>
      <c r="B91" s="10" t="str">
        <f>CONCATENATE("          ", "4242", " - ", "SALES RETURN TAXABLE-EVERYDAY")</f>
        <v xml:space="preserve">          4242 - SALES RETURN TAXABLE-EVERYDAY</v>
      </c>
      <c r="C91" s="10"/>
      <c r="D91" s="2">
        <f>-107</f>
        <v>-107</v>
      </c>
      <c r="E91" s="2"/>
      <c r="F91" s="19"/>
      <c r="G91" s="2"/>
      <c r="H91" s="2">
        <f t="shared" ref="H91:H92" si="26">0</f>
        <v>0</v>
      </c>
      <c r="I91" s="2"/>
      <c r="J91" s="19"/>
      <c r="K91" s="2"/>
      <c r="L91" s="2">
        <f t="shared" si="0"/>
        <v>-107</v>
      </c>
      <c r="M91" s="2"/>
      <c r="N91" s="19">
        <f t="shared" si="1"/>
        <v>0</v>
      </c>
      <c r="O91" s="10"/>
      <c r="P91" s="2">
        <f>-2743.09</f>
        <v>-2743.09</v>
      </c>
      <c r="Q91" s="2"/>
      <c r="R91" s="19"/>
      <c r="S91" s="2"/>
      <c r="T91" s="2">
        <f>-4181.41</f>
        <v>-4181.41</v>
      </c>
      <c r="U91" s="2"/>
      <c r="V91" s="19"/>
      <c r="W91" s="2"/>
      <c r="X91" s="2">
        <f t="shared" si="2"/>
        <v>1438.3199999999997</v>
      </c>
      <c r="Y91" s="2"/>
      <c r="Z91" s="19">
        <f t="shared" si="3"/>
        <v>-0.34397966236269578</v>
      </c>
    </row>
    <row r="92" spans="1:26" s="23" customFormat="1" hidden="1" outlineLevel="1" x14ac:dyDescent="0.25">
      <c r="A92" s="44"/>
      <c r="B92" s="10" t="str">
        <f>CONCATENATE("          ", "4243", " - ", "SALES RETURN TAXABLE-CARDS")</f>
        <v xml:space="preserve">          4243 - SALES RETURN TAXABLE-CARDS</v>
      </c>
      <c r="C92" s="10"/>
      <c r="D92" s="2">
        <f>-76.9</f>
        <v>-76.900000000000006</v>
      </c>
      <c r="E92" s="2"/>
      <c r="F92" s="19"/>
      <c r="G92" s="2"/>
      <c r="H92" s="2">
        <f t="shared" si="26"/>
        <v>0</v>
      </c>
      <c r="I92" s="2"/>
      <c r="J92" s="19"/>
      <c r="K92" s="2"/>
      <c r="L92" s="2">
        <f t="shared" si="0"/>
        <v>-76.900000000000006</v>
      </c>
      <c r="M92" s="2"/>
      <c r="N92" s="19">
        <f t="shared" si="1"/>
        <v>0</v>
      </c>
      <c r="O92" s="10"/>
      <c r="P92" s="2">
        <f>-6218.99</f>
        <v>-6218.99</v>
      </c>
      <c r="Q92" s="2"/>
      <c r="R92" s="19"/>
      <c r="S92" s="2"/>
      <c r="T92" s="2">
        <f>-3006.31</f>
        <v>-3006.31</v>
      </c>
      <c r="U92" s="2"/>
      <c r="V92" s="19"/>
      <c r="W92" s="2"/>
      <c r="X92" s="2">
        <f t="shared" si="2"/>
        <v>-3212.68</v>
      </c>
      <c r="Y92" s="2"/>
      <c r="Z92" s="19">
        <f t="shared" si="3"/>
        <v>1.0686456153889652</v>
      </c>
    </row>
    <row r="93" spans="1:26" s="23" customFormat="1" hidden="1" outlineLevel="1" x14ac:dyDescent="0.25">
      <c r="A93" s="44"/>
      <c r="B93" s="10" t="str">
        <f>CONCATENATE("          ", "4244", " - ", "SALES RETURN TAXABLE-ACCESSORI")</f>
        <v xml:space="preserve">          4244 - SALES RETURN TAXABLE-ACCESSORI</v>
      </c>
      <c r="C93" s="10"/>
      <c r="D93" s="2">
        <f>-24.41</f>
        <v>-24.41</v>
      </c>
      <c r="E93" s="2"/>
      <c r="F93" s="19"/>
      <c r="G93" s="2"/>
      <c r="H93" s="2">
        <f>-255.71</f>
        <v>-255.71</v>
      </c>
      <c r="I93" s="2"/>
      <c r="J93" s="19"/>
      <c r="K93" s="2"/>
      <c r="L93" s="2">
        <f t="shared" si="0"/>
        <v>231.3</v>
      </c>
      <c r="M93" s="2"/>
      <c r="N93" s="19">
        <f t="shared" si="1"/>
        <v>-0.90454029955809312</v>
      </c>
      <c r="O93" s="10"/>
      <c r="P93" s="2">
        <f>-1267.91</f>
        <v>-1267.9100000000001</v>
      </c>
      <c r="Q93" s="2"/>
      <c r="R93" s="19"/>
      <c r="S93" s="2"/>
      <c r="T93" s="2">
        <f>-2726.41</f>
        <v>-2726.41</v>
      </c>
      <c r="U93" s="2"/>
      <c r="V93" s="19"/>
      <c r="W93" s="2"/>
      <c r="X93" s="2">
        <f t="shared" si="2"/>
        <v>1458.4999999999998</v>
      </c>
      <c r="Y93" s="2"/>
      <c r="Z93" s="19">
        <f t="shared" si="3"/>
        <v>-0.5349525566587563</v>
      </c>
    </row>
    <row r="94" spans="1:26" s="23" customFormat="1" hidden="1" outlineLevel="1" x14ac:dyDescent="0.25">
      <c r="A94" s="44"/>
      <c r="B94" s="10" t="str">
        <f>CONCATENATE("          ", "4245", " - ", "SALES RETURN TAXABLE-SPECIAL O")</f>
        <v xml:space="preserve">          4245 - SALES RETURN TAXABLE-SPECIAL O</v>
      </c>
      <c r="C94" s="10"/>
      <c r="D94" s="2">
        <f>-36</f>
        <v>-36</v>
      </c>
      <c r="E94" s="2"/>
      <c r="F94" s="19"/>
      <c r="G94" s="2"/>
      <c r="H94" s="2">
        <f>-175</f>
        <v>-175</v>
      </c>
      <c r="I94" s="2"/>
      <c r="J94" s="19"/>
      <c r="K94" s="2"/>
      <c r="L94" s="2">
        <f t="shared" si="0"/>
        <v>139</v>
      </c>
      <c r="M94" s="2"/>
      <c r="N94" s="19">
        <f t="shared" si="1"/>
        <v>-0.79428571428571426</v>
      </c>
      <c r="O94" s="10"/>
      <c r="P94" s="2">
        <f>-15460.73</f>
        <v>-15460.73</v>
      </c>
      <c r="Q94" s="2"/>
      <c r="R94" s="19"/>
      <c r="S94" s="2"/>
      <c r="T94" s="2">
        <f>-1910.03</f>
        <v>-1910.03</v>
      </c>
      <c r="U94" s="2"/>
      <c r="V94" s="19"/>
      <c r="W94" s="2"/>
      <c r="X94" s="2">
        <f t="shared" si="2"/>
        <v>-13550.699999999999</v>
      </c>
      <c r="Y94" s="2"/>
      <c r="Z94" s="19">
        <f t="shared" si="3"/>
        <v>7.0944958979701882</v>
      </c>
    </row>
    <row r="95" spans="1:26" s="23" customFormat="1" hidden="1" outlineLevel="1" x14ac:dyDescent="0.25">
      <c r="A95" s="44"/>
      <c r="B95" s="10" t="str">
        <f>CONCATENATE("          ", "4281", " - ", "SALES RETURN TAXABLE-ELECTRONI")</f>
        <v xml:space="preserve">          4281 - SALES RETURN TAXABLE-ELECTRONI</v>
      </c>
      <c r="C95" s="10"/>
      <c r="D95" s="2">
        <f t="shared" ref="D95:D97" si="27"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 t="shared" ref="P95:P97" si="28">0</f>
        <v>0</v>
      </c>
      <c r="Q95" s="2"/>
      <c r="R95" s="19"/>
      <c r="S95" s="2"/>
      <c r="T95" s="2">
        <f>-54.97</f>
        <v>-54.97</v>
      </c>
      <c r="U95" s="2"/>
      <c r="V95" s="19"/>
      <c r="W95" s="2"/>
      <c r="X95" s="2">
        <f t="shared" si="2"/>
        <v>54.97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"4292", " - ", "SALES RETURN TAXABLE-GRAD MERC")</f>
        <v xml:space="preserve">          4292 - SALES RETURN TAXABLE-GRAD MERC</v>
      </c>
      <c r="C96" s="10"/>
      <c r="D96" s="2">
        <f t="shared" si="27"/>
        <v>0</v>
      </c>
      <c r="E96" s="2"/>
      <c r="F96" s="19"/>
      <c r="G96" s="2"/>
      <c r="H96" s="2">
        <f>-64.89</f>
        <v>-64.89</v>
      </c>
      <c r="I96" s="2"/>
      <c r="J96" s="19"/>
      <c r="K96" s="2"/>
      <c r="L96" s="2">
        <f t="shared" si="0"/>
        <v>64.89</v>
      </c>
      <c r="M96" s="2"/>
      <c r="N96" s="19">
        <f t="shared" si="1"/>
        <v>-1</v>
      </c>
      <c r="O96" s="10"/>
      <c r="P96" s="2">
        <f t="shared" si="28"/>
        <v>0</v>
      </c>
      <c r="Q96" s="2"/>
      <c r="R96" s="19"/>
      <c r="S96" s="2"/>
      <c r="T96" s="2">
        <f>-578.84</f>
        <v>-578.84</v>
      </c>
      <c r="U96" s="2"/>
      <c r="V96" s="19"/>
      <c r="W96" s="2"/>
      <c r="X96" s="2">
        <f t="shared" si="2"/>
        <v>578.84</v>
      </c>
      <c r="Y96" s="2"/>
      <c r="Z96" s="19">
        <f t="shared" si="3"/>
        <v>-1</v>
      </c>
    </row>
    <row r="97" spans="1:26" s="23" customFormat="1" hidden="1" outlineLevel="1" x14ac:dyDescent="0.25">
      <c r="A97" s="44"/>
      <c r="B97" s="10" t="str">
        <f>CONCATENATE("          ", "4295", " - ", "SALES RETURN TAXABLE-CUSTOMER")</f>
        <v xml:space="preserve">          4295 - SALES RETURN TAXABLE-CUSTOMER</v>
      </c>
      <c r="C97" s="10"/>
      <c r="D97" s="2">
        <f t="shared" si="27"/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0"/>
      <c r="P97" s="2">
        <f t="shared" si="28"/>
        <v>0</v>
      </c>
      <c r="Q97" s="2"/>
      <c r="R97" s="19"/>
      <c r="S97" s="2"/>
      <c r="T97" s="2">
        <f>--0.99</f>
        <v>0.99</v>
      </c>
      <c r="U97" s="2"/>
      <c r="V97" s="19"/>
      <c r="W97" s="2"/>
      <c r="X97" s="2">
        <f t="shared" si="2"/>
        <v>-0.99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"4301", " - ", "SALES RETURN NON TAXABLE-NEW T")</f>
        <v xml:space="preserve">          4301 - SALES RETURN NON TAXABLE-NEW T</v>
      </c>
      <c r="C98" s="10"/>
      <c r="D98" s="2">
        <f>-1333.16</f>
        <v>-1333.16</v>
      </c>
      <c r="E98" s="2"/>
      <c r="F98" s="19"/>
      <c r="G98" s="2"/>
      <c r="H98" s="2">
        <f>-5710.44</f>
        <v>-5710.44</v>
      </c>
      <c r="I98" s="2"/>
      <c r="J98" s="19"/>
      <c r="K98" s="2"/>
      <c r="L98" s="2">
        <f t="shared" si="0"/>
        <v>4377.28</v>
      </c>
      <c r="M98" s="2"/>
      <c r="N98" s="19">
        <f t="shared" si="1"/>
        <v>-0.76653988134014195</v>
      </c>
      <c r="O98" s="10"/>
      <c r="P98" s="2">
        <f>-4796.36</f>
        <v>-4796.3599999999997</v>
      </c>
      <c r="Q98" s="2"/>
      <c r="R98" s="19"/>
      <c r="S98" s="2"/>
      <c r="T98" s="2">
        <f>-21289.87</f>
        <v>-21289.87</v>
      </c>
      <c r="U98" s="2"/>
      <c r="V98" s="19"/>
      <c r="W98" s="2"/>
      <c r="X98" s="2">
        <f t="shared" si="2"/>
        <v>16493.509999999998</v>
      </c>
      <c r="Y98" s="2"/>
      <c r="Z98" s="19">
        <f t="shared" si="3"/>
        <v>-0.77471163515794128</v>
      </c>
    </row>
    <row r="99" spans="1:26" s="23" customFormat="1" hidden="1" outlineLevel="1" x14ac:dyDescent="0.25">
      <c r="A99" s="44"/>
      <c r="B99" s="10" t="str">
        <f>CONCATENATE("          ", "4302", " - ", "SALES RETURN NON TAXABLE-TEXT")</f>
        <v xml:space="preserve">          4302 - SALES RETURN NON TAXABLE-TEXT</v>
      </c>
      <c r="C99" s="10"/>
      <c r="D99" s="2">
        <f>-134.22</f>
        <v>-134.22</v>
      </c>
      <c r="E99" s="2"/>
      <c r="F99" s="19"/>
      <c r="G99" s="2"/>
      <c r="H99" s="2">
        <f>-67.5</f>
        <v>-67.5</v>
      </c>
      <c r="I99" s="2"/>
      <c r="J99" s="19"/>
      <c r="K99" s="2"/>
      <c r="L99" s="2">
        <f t="shared" si="0"/>
        <v>-66.72</v>
      </c>
      <c r="M99" s="2"/>
      <c r="N99" s="19">
        <f t="shared" si="1"/>
        <v>0.98844444444444446</v>
      </c>
      <c r="O99" s="10"/>
      <c r="P99" s="2">
        <f>-2577.54</f>
        <v>-2577.54</v>
      </c>
      <c r="Q99" s="2"/>
      <c r="R99" s="19"/>
      <c r="S99" s="2"/>
      <c r="T99" s="2">
        <f>-1379.87</f>
        <v>-1379.87</v>
      </c>
      <c r="U99" s="2"/>
      <c r="V99" s="19"/>
      <c r="W99" s="2"/>
      <c r="X99" s="2">
        <f t="shared" si="2"/>
        <v>-1197.67</v>
      </c>
      <c r="Y99" s="2"/>
      <c r="Z99" s="19">
        <f t="shared" si="3"/>
        <v>0.86795857580786606</v>
      </c>
    </row>
    <row r="100" spans="1:26" s="23" customFormat="1" hidden="1" outlineLevel="1" x14ac:dyDescent="0.25">
      <c r="A100" s="44"/>
      <c r="B100" s="10" t="str">
        <f>CONCATENATE("          ", "4303", " - ", "SALES RETURN NON-TAXABLE-RENTA")</f>
        <v xml:space="preserve">          4303 - SALES RETURN NON-TAXABLE-RENTA</v>
      </c>
      <c r="C100" s="10"/>
      <c r="D100" s="2">
        <f>0</f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0"/>
      <c r="P100" s="2">
        <f>0</f>
        <v>0</v>
      </c>
      <c r="Q100" s="2"/>
      <c r="R100" s="19"/>
      <c r="S100" s="2"/>
      <c r="T100" s="2">
        <f>-184.99</f>
        <v>-184.99</v>
      </c>
      <c r="U100" s="2"/>
      <c r="V100" s="19"/>
      <c r="W100" s="2"/>
      <c r="X100" s="2">
        <f t="shared" si="2"/>
        <v>184.99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"4304", " - ", "SALES RETURN NON TAXABLE-DIGIT")</f>
        <v xml:space="preserve">          4304 - SALES RETURN NON TAXABLE-DIGIT</v>
      </c>
      <c r="C101" s="10"/>
      <c r="D101" s="2">
        <f>-3338.22</f>
        <v>-3338.22</v>
      </c>
      <c r="E101" s="2"/>
      <c r="F101" s="19"/>
      <c r="G101" s="2"/>
      <c r="H101" s="2">
        <f>-438.2</f>
        <v>-438.2</v>
      </c>
      <c r="I101" s="2"/>
      <c r="J101" s="19"/>
      <c r="K101" s="2"/>
      <c r="L101" s="2">
        <f t="shared" si="0"/>
        <v>-2900.02</v>
      </c>
      <c r="M101" s="2"/>
      <c r="N101" s="19">
        <f t="shared" si="1"/>
        <v>6.618028297581013</v>
      </c>
      <c r="O101" s="10"/>
      <c r="P101" s="2">
        <f>-30881.98</f>
        <v>-30881.98</v>
      </c>
      <c r="Q101" s="2"/>
      <c r="R101" s="19"/>
      <c r="S101" s="2"/>
      <c r="T101" s="2">
        <f>-19474.33</f>
        <v>-19474.330000000002</v>
      </c>
      <c r="U101" s="2"/>
      <c r="V101" s="19"/>
      <c r="W101" s="2"/>
      <c r="X101" s="2">
        <f t="shared" si="2"/>
        <v>-11407.649999999998</v>
      </c>
      <c r="Y101" s="2"/>
      <c r="Z101" s="19">
        <f t="shared" si="3"/>
        <v>0.58577881755110428</v>
      </c>
    </row>
    <row r="102" spans="1:26" s="23" customFormat="1" hidden="1" outlineLevel="1" x14ac:dyDescent="0.25">
      <c r="A102" s="44"/>
      <c r="B102" s="10" t="str">
        <f>CONCATENATE("          ", "4311", " - ", "SALES RETURN NON TAXABLE-NO VA")</f>
        <v xml:space="preserve">          4311 - SALES RETURN NON TAXABLE-NO VA</v>
      </c>
      <c r="C102" s="10"/>
      <c r="D102" s="2">
        <f t="shared" ref="D102:D103" si="29">0</f>
        <v>0</v>
      </c>
      <c r="E102" s="2"/>
      <c r="F102" s="19"/>
      <c r="G102" s="2"/>
      <c r="H102" s="2">
        <f t="shared" ref="H102:H106" si="30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 t="shared" ref="P102:P103" si="31">0</f>
        <v>0</v>
      </c>
      <c r="Q102" s="2"/>
      <c r="R102" s="19"/>
      <c r="S102" s="2"/>
      <c r="T102" s="2">
        <f>-941.28</f>
        <v>-941.28</v>
      </c>
      <c r="U102" s="2"/>
      <c r="V102" s="19"/>
      <c r="W102" s="2"/>
      <c r="X102" s="2">
        <f t="shared" si="2"/>
        <v>941.28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"4313", " - ", "SALES RETURN NON TAXABLE-TRADE")</f>
        <v xml:space="preserve">          4313 - SALES RETURN NON TAXABLE-TRADE</v>
      </c>
      <c r="C103" s="10"/>
      <c r="D103" s="2">
        <f t="shared" si="29"/>
        <v>0</v>
      </c>
      <c r="E103" s="2"/>
      <c r="F103" s="19"/>
      <c r="G103" s="2"/>
      <c r="H103" s="2">
        <f t="shared" si="30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 t="shared" si="31"/>
        <v>0</v>
      </c>
      <c r="Q103" s="2"/>
      <c r="R103" s="19"/>
      <c r="S103" s="2"/>
      <c r="T103" s="2">
        <f>-2481.44</f>
        <v>-2481.44</v>
      </c>
      <c r="U103" s="2"/>
      <c r="V103" s="19"/>
      <c r="W103" s="2"/>
      <c r="X103" s="2">
        <f t="shared" si="2"/>
        <v>2481.44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"4327", " - ", "SALES RETURN NON TAXABLE-SCHOO")</f>
        <v xml:space="preserve">          4327 - SALES RETURN NON TAXABLE-SCHOO</v>
      </c>
      <c r="C104" s="10"/>
      <c r="D104" s="2">
        <f>-17.41</f>
        <v>-17.41</v>
      </c>
      <c r="E104" s="2"/>
      <c r="F104" s="19"/>
      <c r="G104" s="2"/>
      <c r="H104" s="2">
        <f t="shared" si="30"/>
        <v>0</v>
      </c>
      <c r="I104" s="2"/>
      <c r="J104" s="19"/>
      <c r="K104" s="2"/>
      <c r="L104" s="2">
        <f t="shared" si="0"/>
        <v>-17.41</v>
      </c>
      <c r="M104" s="2"/>
      <c r="N104" s="19">
        <f t="shared" si="1"/>
        <v>0</v>
      </c>
      <c r="O104" s="10"/>
      <c r="P104" s="2">
        <f>-17.41</f>
        <v>-17.41</v>
      </c>
      <c r="Q104" s="2"/>
      <c r="R104" s="19"/>
      <c r="S104" s="2"/>
      <c r="T104" s="2">
        <f>-21.87</f>
        <v>-21.87</v>
      </c>
      <c r="U104" s="2"/>
      <c r="V104" s="19"/>
      <c r="W104" s="2"/>
      <c r="X104" s="2">
        <f t="shared" si="2"/>
        <v>4.4600000000000009</v>
      </c>
      <c r="Y104" s="2"/>
      <c r="Z104" s="19">
        <f t="shared" si="3"/>
        <v>-0.20393232738911754</v>
      </c>
    </row>
    <row r="105" spans="1:26" s="23" customFormat="1" hidden="1" outlineLevel="1" x14ac:dyDescent="0.25">
      <c r="A105" s="44"/>
      <c r="B105" s="10" t="str">
        <f>CONCATENATE("          ", "4331", " - ", "SALES RETURN NON TAXABLE-FOOD")</f>
        <v xml:space="preserve">          4331 - SALES RETURN NON TAXABLE-FOOD</v>
      </c>
      <c r="C105" s="10"/>
      <c r="D105" s="2">
        <f t="shared" ref="D105:D106" si="32">0</f>
        <v>0</v>
      </c>
      <c r="E105" s="2"/>
      <c r="F105" s="19"/>
      <c r="G105" s="2"/>
      <c r="H105" s="2">
        <f t="shared" si="30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 t="shared" ref="P105:P106" si="33">0</f>
        <v>0</v>
      </c>
      <c r="Q105" s="2"/>
      <c r="R105" s="19"/>
      <c r="S105" s="2"/>
      <c r="T105" s="2">
        <f>-12.57</f>
        <v>-12.57</v>
      </c>
      <c r="U105" s="2"/>
      <c r="V105" s="19"/>
      <c r="W105" s="2"/>
      <c r="X105" s="2">
        <f t="shared" si="2"/>
        <v>12.57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"4332", " - ", "SALES RETURN NON TAXABLE-JUICE")</f>
        <v xml:space="preserve">          4332 - SALES RETURN NON TAXABLE-JUICE</v>
      </c>
      <c r="C106" s="10"/>
      <c r="D106" s="2">
        <f t="shared" si="32"/>
        <v>0</v>
      </c>
      <c r="E106" s="2"/>
      <c r="F106" s="19"/>
      <c r="G106" s="2"/>
      <c r="H106" s="2">
        <f t="shared" si="30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si="33"/>
        <v>0</v>
      </c>
      <c r="Q106" s="2"/>
      <c r="R106" s="19"/>
      <c r="S106" s="2"/>
      <c r="T106" s="2">
        <f>-2.79</f>
        <v>-2.79</v>
      </c>
      <c r="U106" s="2"/>
      <c r="V106" s="19"/>
      <c r="W106" s="2"/>
      <c r="X106" s="2">
        <f t="shared" si="2"/>
        <v>2.79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"4340", " - ", "SALES RETURN NON TAXABLE-LOGO")</f>
        <v xml:space="preserve">          4340 - SALES RETURN NON TAXABLE-LOGO</v>
      </c>
      <c r="C107" s="10"/>
      <c r="D107" s="2">
        <f>-143.74</f>
        <v>-143.74</v>
      </c>
      <c r="E107" s="2"/>
      <c r="F107" s="19"/>
      <c r="G107" s="2"/>
      <c r="H107" s="2">
        <f>-598.43</f>
        <v>-598.42999999999995</v>
      </c>
      <c r="I107" s="2"/>
      <c r="J107" s="19"/>
      <c r="K107" s="2"/>
      <c r="L107" s="2">
        <f t="shared" si="0"/>
        <v>454.68999999999994</v>
      </c>
      <c r="M107" s="2"/>
      <c r="N107" s="19">
        <f t="shared" si="1"/>
        <v>-0.7598048226191868</v>
      </c>
      <c r="O107" s="10"/>
      <c r="P107" s="2">
        <f>-3451.26</f>
        <v>-3451.26</v>
      </c>
      <c r="Q107" s="2"/>
      <c r="R107" s="19"/>
      <c r="S107" s="2"/>
      <c r="T107" s="2">
        <f>-1618.83</f>
        <v>-1618.83</v>
      </c>
      <c r="U107" s="2"/>
      <c r="V107" s="19"/>
      <c r="W107" s="2"/>
      <c r="X107" s="2">
        <f t="shared" si="2"/>
        <v>-1832.4300000000003</v>
      </c>
      <c r="Y107" s="2"/>
      <c r="Z107" s="19">
        <f t="shared" si="3"/>
        <v>1.131947147013584</v>
      </c>
    </row>
    <row r="108" spans="1:26" s="23" customFormat="1" hidden="1" outlineLevel="1" x14ac:dyDescent="0.25">
      <c r="A108" s="44"/>
      <c r="B108" s="10" t="str">
        <f>CONCATENATE("          ", "4341", " - ", "SALES RETURN NON TAXABLE-LOGO")</f>
        <v xml:space="preserve">          4341 - SALES RETURN NON TAXABLE-LOGO</v>
      </c>
      <c r="C108" s="10"/>
      <c r="D108" s="2">
        <f>-104.3</f>
        <v>-104.3</v>
      </c>
      <c r="E108" s="2"/>
      <c r="F108" s="19"/>
      <c r="G108" s="2"/>
      <c r="H108" s="2">
        <f>-39.95</f>
        <v>-39.950000000000003</v>
      </c>
      <c r="I108" s="2"/>
      <c r="J108" s="19"/>
      <c r="K108" s="2"/>
      <c r="L108" s="2">
        <f t="shared" si="0"/>
        <v>-64.349999999999994</v>
      </c>
      <c r="M108" s="2"/>
      <c r="N108" s="19">
        <f t="shared" si="1"/>
        <v>1.610763454317897</v>
      </c>
      <c r="O108" s="10"/>
      <c r="P108" s="2">
        <f>-506.74</f>
        <v>-506.74</v>
      </c>
      <c r="Q108" s="2"/>
      <c r="R108" s="19"/>
      <c r="S108" s="2"/>
      <c r="T108" s="2">
        <f>-285.45</f>
        <v>-285.45</v>
      </c>
      <c r="U108" s="2"/>
      <c r="V108" s="19"/>
      <c r="W108" s="2"/>
      <c r="X108" s="2">
        <f t="shared" si="2"/>
        <v>-221.29000000000002</v>
      </c>
      <c r="Y108" s="2"/>
      <c r="Z108" s="19">
        <f t="shared" si="3"/>
        <v>0.77523208968295687</v>
      </c>
    </row>
    <row r="109" spans="1:26" s="23" customFormat="1" hidden="1" outlineLevel="1" x14ac:dyDescent="0.25">
      <c r="A109" s="44"/>
      <c r="B109" s="10" t="str">
        <f>CONCATENATE("          ", "4342", " - ", "SALES RETURN NON TAXABLE-EVERY")</f>
        <v xml:space="preserve">          4342 - SALES RETURN NON TAXABLE-EVERY</v>
      </c>
      <c r="C109" s="10"/>
      <c r="D109" s="2">
        <f t="shared" ref="D109:D111" si="34">0</f>
        <v>0</v>
      </c>
      <c r="E109" s="2"/>
      <c r="F109" s="19"/>
      <c r="G109" s="2"/>
      <c r="H109" s="2">
        <f t="shared" ref="H109:H111" si="35"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>-118.7</f>
        <v>-118.7</v>
      </c>
      <c r="Q109" s="2"/>
      <c r="R109" s="19"/>
      <c r="S109" s="2"/>
      <c r="T109" s="2">
        <f>-149.22</f>
        <v>-149.22</v>
      </c>
      <c r="U109" s="2"/>
      <c r="V109" s="19"/>
      <c r="W109" s="2"/>
      <c r="X109" s="2">
        <f t="shared" si="2"/>
        <v>30.519999999999996</v>
      </c>
      <c r="Y109" s="2"/>
      <c r="Z109" s="19">
        <f t="shared" si="3"/>
        <v>-0.20453022383058569</v>
      </c>
    </row>
    <row r="110" spans="1:26" s="23" customFormat="1" hidden="1" outlineLevel="1" x14ac:dyDescent="0.25">
      <c r="A110" s="44"/>
      <c r="B110" s="10" t="str">
        <f>CONCATENATE("          ", "4346", " - ", "SALES RETURN NON TAXABLE-COIN-")</f>
        <v xml:space="preserve">          4346 - SALES RETURN NON TAXABLE-COIN-</v>
      </c>
      <c r="C110" s="10"/>
      <c r="D110" s="2">
        <f t="shared" si="34"/>
        <v>0</v>
      </c>
      <c r="E110" s="2"/>
      <c r="F110" s="19"/>
      <c r="G110" s="2"/>
      <c r="H110" s="2">
        <f t="shared" si="35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ref="P110:P111" si="36">0</f>
        <v>0</v>
      </c>
      <c r="Q110" s="2"/>
      <c r="R110" s="19"/>
      <c r="S110" s="2"/>
      <c r="T110" s="2">
        <f>-8.15</f>
        <v>-8.15</v>
      </c>
      <c r="U110" s="2"/>
      <c r="V110" s="19"/>
      <c r="W110" s="2"/>
      <c r="X110" s="2">
        <f t="shared" si="2"/>
        <v>8.15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"4347", " - ", "SALES RETURN NON TAXABLE-MISC")</f>
        <v xml:space="preserve">          4347 - SALES RETURN NON TAXABLE-MISC</v>
      </c>
      <c r="C111" s="10"/>
      <c r="D111" s="2">
        <f t="shared" si="34"/>
        <v>0</v>
      </c>
      <c r="E111" s="2"/>
      <c r="F111" s="19"/>
      <c r="G111" s="2"/>
      <c r="H111" s="2">
        <f t="shared" si="35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0"/>
      <c r="P111" s="2">
        <f t="shared" si="36"/>
        <v>0</v>
      </c>
      <c r="Q111" s="2"/>
      <c r="R111" s="19"/>
      <c r="S111" s="2"/>
      <c r="T111" s="2">
        <f>-84</f>
        <v>-84</v>
      </c>
      <c r="U111" s="2"/>
      <c r="V111" s="19"/>
      <c r="W111" s="2"/>
      <c r="X111" s="2">
        <f t="shared" si="2"/>
        <v>84</v>
      </c>
      <c r="Y111" s="2"/>
      <c r="Z111" s="19">
        <f t="shared" si="3"/>
        <v>-1</v>
      </c>
    </row>
    <row r="112" spans="1:26" x14ac:dyDescent="0.25">
      <c r="A112" s="9"/>
      <c r="B112" s="11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collapsed="1" x14ac:dyDescent="0.25">
      <c r="A113" s="11"/>
      <c r="B113" s="29" t="s">
        <v>256</v>
      </c>
      <c r="C113" s="11"/>
      <c r="D113" s="4">
        <f>SUM(OSRRefD16x_0)</f>
        <v>248623.07</v>
      </c>
      <c r="E113" s="4"/>
      <c r="F113" s="13">
        <f t="shared" ref="F113:F164" si="37">IF(D$12=0,0,D113/D$12)</f>
        <v>0.49061078611326941</v>
      </c>
      <c r="G113" s="4"/>
      <c r="H113" s="4">
        <f>SUM(OSRRefH16x_0)</f>
        <v>156354.63000000003</v>
      </c>
      <c r="I113" s="4"/>
      <c r="J113" s="13">
        <f t="shared" ref="J113:J164" si="38">IF(H$12=0,0,H113/H$12)</f>
        <v>0.59308308459162717</v>
      </c>
      <c r="K113" s="4"/>
      <c r="L113" s="4">
        <f t="shared" ref="L113:L164" si="39">+D113-H113</f>
        <v>92268.439999999973</v>
      </c>
      <c r="M113" s="4"/>
      <c r="N113" s="13">
        <f t="shared" ref="N113:N164" si="40">IF(H113=0,0,L113/H113)</f>
        <v>0.59012285085513583</v>
      </c>
      <c r="O113" s="11"/>
      <c r="P113" s="4">
        <f>SUM(OSRRefP16x_0)</f>
        <v>3192780.8200000008</v>
      </c>
      <c r="Q113" s="4"/>
      <c r="R113" s="13">
        <f t="shared" ref="R113:R164" si="41">IF(P$12=0,0,P113/P$12)</f>
        <v>0.61288819083134038</v>
      </c>
      <c r="S113" s="4"/>
      <c r="T113" s="4">
        <f>SUM(OSRRefT16x_0)</f>
        <v>5248708.540000001</v>
      </c>
      <c r="U113" s="4"/>
      <c r="V113" s="13">
        <f t="shared" ref="V113:V164" si="42">IF(T$12=0,0,T113/T$12)</f>
        <v>0.58146129483714171</v>
      </c>
      <c r="W113" s="4"/>
      <c r="X113" s="4">
        <f t="shared" ref="X113:X164" si="43">+P113-T113</f>
        <v>-2055927.7200000002</v>
      </c>
      <c r="Y113" s="4"/>
      <c r="Z113" s="13">
        <f t="shared" ref="Z113:Z164" si="44">IF(T113=0,0,X113/T113)</f>
        <v>-0.39170163561796856</v>
      </c>
    </row>
    <row r="114" spans="1:26" s="23" customFormat="1" hidden="1" outlineLevel="1" x14ac:dyDescent="0.25">
      <c r="A114" s="44"/>
      <c r="B114" s="10" t="str">
        <f>CONCATENATE("          ", "5000", " - ", "PURCHASES @ COST")</f>
        <v xml:space="preserve">          5000 - PURCHASES @ COST</v>
      </c>
      <c r="C114" s="10"/>
      <c r="D114" s="2"/>
      <c r="E114" s="2"/>
      <c r="F114" s="19">
        <f t="shared" si="37"/>
        <v>0</v>
      </c>
      <c r="G114" s="2"/>
      <c r="H114" s="2">
        <v>0</v>
      </c>
      <c r="I114" s="2"/>
      <c r="J114" s="19">
        <f t="shared" si="38"/>
        <v>0</v>
      </c>
      <c r="K114" s="2"/>
      <c r="L114" s="2">
        <f t="shared" si="39"/>
        <v>0</v>
      </c>
      <c r="M114" s="2"/>
      <c r="N114" s="19">
        <f t="shared" si="40"/>
        <v>0</v>
      </c>
      <c r="O114" s="10"/>
      <c r="P114" s="2">
        <v>0</v>
      </c>
      <c r="Q114" s="2"/>
      <c r="R114" s="19">
        <f t="shared" si="41"/>
        <v>0</v>
      </c>
      <c r="S114" s="2"/>
      <c r="T114" s="2">
        <v>0</v>
      </c>
      <c r="U114" s="2"/>
      <c r="V114" s="19">
        <f t="shared" si="42"/>
        <v>0</v>
      </c>
      <c r="W114" s="2"/>
      <c r="X114" s="2">
        <f t="shared" si="43"/>
        <v>0</v>
      </c>
      <c r="Y114" s="2"/>
      <c r="Z114" s="19">
        <f t="shared" si="44"/>
        <v>0</v>
      </c>
    </row>
    <row r="115" spans="1:26" s="23" customFormat="1" hidden="1" outlineLevel="1" x14ac:dyDescent="0.25">
      <c r="A115" s="44"/>
      <c r="B115" s="10" t="str">
        <f>CONCATENATE("          ", "5001", " - ", "PURCHASES @ COST-NEW TEXT")</f>
        <v xml:space="preserve">          5001 - PURCHASES @ COST-NEW TEXT</v>
      </c>
      <c r="C115" s="10"/>
      <c r="D115" s="2">
        <v>65020.01</v>
      </c>
      <c r="E115" s="2"/>
      <c r="F115" s="19">
        <f t="shared" si="37"/>
        <v>0.12830473945636919</v>
      </c>
      <c r="G115" s="2"/>
      <c r="H115" s="2">
        <v>71528.210000000006</v>
      </c>
      <c r="I115" s="2"/>
      <c r="J115" s="19">
        <f t="shared" si="38"/>
        <v>0.27132021240507981</v>
      </c>
      <c r="K115" s="2"/>
      <c r="L115" s="2">
        <f t="shared" si="39"/>
        <v>-6508.2000000000044</v>
      </c>
      <c r="M115" s="2"/>
      <c r="N115" s="19">
        <f t="shared" si="40"/>
        <v>-9.0987877370341072E-2</v>
      </c>
      <c r="O115" s="10"/>
      <c r="P115" s="2">
        <v>1071566.48</v>
      </c>
      <c r="Q115" s="2"/>
      <c r="R115" s="19">
        <f t="shared" si="41"/>
        <v>0.20569856758369887</v>
      </c>
      <c r="S115" s="2"/>
      <c r="T115" s="2">
        <v>1641280.46</v>
      </c>
      <c r="U115" s="2"/>
      <c r="V115" s="19">
        <f t="shared" si="42"/>
        <v>0.18182397711542569</v>
      </c>
      <c r="W115" s="2"/>
      <c r="X115" s="2">
        <f t="shared" si="43"/>
        <v>-569713.98</v>
      </c>
      <c r="Y115" s="2"/>
      <c r="Z115" s="19">
        <f t="shared" si="44"/>
        <v>-0.34711555635043628</v>
      </c>
    </row>
    <row r="116" spans="1:26" s="23" customFormat="1" hidden="1" outlineLevel="1" x14ac:dyDescent="0.25">
      <c r="A116" s="44"/>
      <c r="B116" s="10" t="str">
        <f>CONCATENATE("          ", "5002", " - ", "PURCHASES @ COST-USED TEXT")</f>
        <v xml:space="preserve">          5002 - PURCHASES @ COST-USED TEXT</v>
      </c>
      <c r="C116" s="10"/>
      <c r="D116" s="2">
        <v>4952.26</v>
      </c>
      <c r="E116" s="2"/>
      <c r="F116" s="19">
        <f t="shared" si="37"/>
        <v>9.772352065467213E-3</v>
      </c>
      <c r="G116" s="2"/>
      <c r="H116" s="2">
        <v>14738.6</v>
      </c>
      <c r="I116" s="2"/>
      <c r="J116" s="19">
        <f t="shared" si="38"/>
        <v>5.5906335172563514E-2</v>
      </c>
      <c r="K116" s="2"/>
      <c r="L116" s="2">
        <f t="shared" si="39"/>
        <v>-9786.34</v>
      </c>
      <c r="M116" s="2"/>
      <c r="N116" s="19">
        <f t="shared" si="40"/>
        <v>-0.66399386644593106</v>
      </c>
      <c r="O116" s="10"/>
      <c r="P116" s="2">
        <v>279913.28000000003</v>
      </c>
      <c r="Q116" s="2"/>
      <c r="R116" s="19">
        <f t="shared" si="41"/>
        <v>5.3732327222156887E-2</v>
      </c>
      <c r="S116" s="2"/>
      <c r="T116" s="2">
        <v>610321.38</v>
      </c>
      <c r="U116" s="2"/>
      <c r="V116" s="19">
        <f t="shared" si="42"/>
        <v>6.7612491182753157E-2</v>
      </c>
      <c r="W116" s="2"/>
      <c r="X116" s="2">
        <f t="shared" si="43"/>
        <v>-330408.09999999998</v>
      </c>
      <c r="Y116" s="2"/>
      <c r="Z116" s="19">
        <f t="shared" si="44"/>
        <v>-0.54136740220373725</v>
      </c>
    </row>
    <row r="117" spans="1:26" s="23" customFormat="1" hidden="1" outlineLevel="1" x14ac:dyDescent="0.25">
      <c r="A117" s="44"/>
      <c r="B117" s="10" t="str">
        <f>CONCATENATE("          ", "5003", " - ", "PURCHASES @ COST-RENTAL TEXT")</f>
        <v xml:space="preserve">          5003 - PURCHASES @ COST-RENTAL TEXT</v>
      </c>
      <c r="C117" s="10"/>
      <c r="D117" s="2">
        <v>7179.56</v>
      </c>
      <c r="E117" s="2"/>
      <c r="F117" s="19">
        <f t="shared" si="37"/>
        <v>1.4167508974719783E-2</v>
      </c>
      <c r="G117" s="2"/>
      <c r="H117" s="2"/>
      <c r="I117" s="2"/>
      <c r="J117" s="19">
        <f t="shared" si="38"/>
        <v>0</v>
      </c>
      <c r="K117" s="2"/>
      <c r="L117" s="2">
        <f t="shared" si="39"/>
        <v>7179.56</v>
      </c>
      <c r="M117" s="2"/>
      <c r="N117" s="19">
        <f t="shared" si="40"/>
        <v>0</v>
      </c>
      <c r="O117" s="10"/>
      <c r="P117" s="2">
        <v>7212.08</v>
      </c>
      <c r="Q117" s="2"/>
      <c r="R117" s="19">
        <f t="shared" si="41"/>
        <v>1.3844353598099139E-3</v>
      </c>
      <c r="S117" s="2"/>
      <c r="T117" s="2">
        <v>-78.400000000000006</v>
      </c>
      <c r="U117" s="2"/>
      <c r="V117" s="19">
        <f t="shared" si="42"/>
        <v>-8.6852918518565543E-6</v>
      </c>
      <c r="W117" s="2"/>
      <c r="X117" s="2">
        <f t="shared" si="43"/>
        <v>7290.48</v>
      </c>
      <c r="Y117" s="2"/>
      <c r="Z117" s="19">
        <f t="shared" si="44"/>
        <v>-92.990816326530606</v>
      </c>
    </row>
    <row r="118" spans="1:26" s="23" customFormat="1" hidden="1" outlineLevel="1" x14ac:dyDescent="0.25">
      <c r="A118" s="44"/>
      <c r="B118" s="10" t="str">
        <f>CONCATENATE("          ", "5004", " - ", "PURCHASES @ COST-DIGITAL TEXT")</f>
        <v xml:space="preserve">          5004 - PURCHASES @ COST-DIGITAL TEXT</v>
      </c>
      <c r="C118" s="10"/>
      <c r="D118" s="2">
        <v>-7843.95</v>
      </c>
      <c r="E118" s="2"/>
      <c r="F118" s="19">
        <f t="shared" si="37"/>
        <v>-1.5478557463445284E-2</v>
      </c>
      <c r="G118" s="2"/>
      <c r="H118" s="2">
        <v>-46518.26</v>
      </c>
      <c r="I118" s="2"/>
      <c r="J118" s="19">
        <f t="shared" si="38"/>
        <v>-0.17645267767660797</v>
      </c>
      <c r="K118" s="2"/>
      <c r="L118" s="2">
        <f t="shared" si="39"/>
        <v>38674.310000000005</v>
      </c>
      <c r="M118" s="2"/>
      <c r="N118" s="19">
        <f t="shared" si="40"/>
        <v>-0.83137911865147152</v>
      </c>
      <c r="O118" s="10"/>
      <c r="P118" s="2">
        <v>199606.43</v>
      </c>
      <c r="Q118" s="2"/>
      <c r="R118" s="19">
        <f t="shared" si="41"/>
        <v>3.8316574377630641E-2</v>
      </c>
      <c r="S118" s="2"/>
      <c r="T118" s="2">
        <v>446269.65</v>
      </c>
      <c r="U118" s="2"/>
      <c r="V118" s="19">
        <f t="shared" si="42"/>
        <v>4.9438547893824951E-2</v>
      </c>
      <c r="W118" s="2"/>
      <c r="X118" s="2">
        <f t="shared" si="43"/>
        <v>-246663.22000000003</v>
      </c>
      <c r="Y118" s="2"/>
      <c r="Z118" s="19">
        <f t="shared" si="44"/>
        <v>-0.55272237312127326</v>
      </c>
    </row>
    <row r="119" spans="1:26" s="23" customFormat="1" hidden="1" outlineLevel="1" x14ac:dyDescent="0.25">
      <c r="A119" s="44"/>
      <c r="B119" s="10" t="str">
        <f>CONCATENATE("          ", "5011", " - ", "PURCHASES @ COST-NO VALUE TEXT")</f>
        <v xml:space="preserve">          5011 - PURCHASES @ COST-NO VALUE TEXT</v>
      </c>
      <c r="C119" s="10"/>
      <c r="D119" s="2"/>
      <c r="E119" s="2"/>
      <c r="F119" s="19">
        <f t="shared" si="37"/>
        <v>0</v>
      </c>
      <c r="G119" s="2"/>
      <c r="H119" s="2"/>
      <c r="I119" s="2"/>
      <c r="J119" s="19">
        <f t="shared" si="38"/>
        <v>0</v>
      </c>
      <c r="K119" s="2"/>
      <c r="L119" s="2">
        <f t="shared" si="39"/>
        <v>0</v>
      </c>
      <c r="M119" s="2"/>
      <c r="N119" s="19">
        <f t="shared" si="40"/>
        <v>0</v>
      </c>
      <c r="O119" s="10"/>
      <c r="P119" s="2">
        <v>67.17</v>
      </c>
      <c r="Q119" s="2"/>
      <c r="R119" s="19">
        <f t="shared" si="41"/>
        <v>1.2893994952694913E-5</v>
      </c>
      <c r="S119" s="2"/>
      <c r="T119" s="2">
        <v>6363</v>
      </c>
      <c r="U119" s="2"/>
      <c r="V119" s="19">
        <f t="shared" si="42"/>
        <v>7.0490449047657202E-4</v>
      </c>
      <c r="W119" s="2"/>
      <c r="X119" s="2">
        <f t="shared" si="43"/>
        <v>-6295.83</v>
      </c>
      <c r="Y119" s="2"/>
      <c r="Z119" s="19">
        <f t="shared" si="44"/>
        <v>-0.98944365865157946</v>
      </c>
    </row>
    <row r="120" spans="1:26" s="23" customFormat="1" hidden="1" outlineLevel="1" x14ac:dyDescent="0.25">
      <c r="A120" s="44"/>
      <c r="B120" s="10" t="str">
        <f>CONCATENATE("          ", "5013", " - ", "PURCHASES @ COST-TRADE BOOKS")</f>
        <v xml:space="preserve">          5013 - PURCHASES @ COST-TRADE BOOKS</v>
      </c>
      <c r="C120" s="10"/>
      <c r="D120" s="2"/>
      <c r="E120" s="2"/>
      <c r="F120" s="19">
        <f t="shared" si="37"/>
        <v>0</v>
      </c>
      <c r="G120" s="2"/>
      <c r="H120" s="2"/>
      <c r="I120" s="2"/>
      <c r="J120" s="19">
        <f t="shared" si="38"/>
        <v>0</v>
      </c>
      <c r="K120" s="2"/>
      <c r="L120" s="2">
        <f t="shared" si="39"/>
        <v>0</v>
      </c>
      <c r="M120" s="2"/>
      <c r="N120" s="19">
        <f t="shared" si="40"/>
        <v>0</v>
      </c>
      <c r="O120" s="10"/>
      <c r="P120" s="2">
        <v>9670.02</v>
      </c>
      <c r="Q120" s="2"/>
      <c r="R120" s="19">
        <f t="shared" si="41"/>
        <v>1.8562630500589378E-3</v>
      </c>
      <c r="S120" s="2"/>
      <c r="T120" s="2">
        <v>3197.85</v>
      </c>
      <c r="U120" s="2"/>
      <c r="V120" s="19">
        <f t="shared" si="42"/>
        <v>3.5426352740381984E-4</v>
      </c>
      <c r="W120" s="2"/>
      <c r="X120" s="2">
        <f t="shared" si="43"/>
        <v>6472.17</v>
      </c>
      <c r="Y120" s="2"/>
      <c r="Z120" s="19">
        <f t="shared" si="44"/>
        <v>2.0239129415075756</v>
      </c>
    </row>
    <row r="121" spans="1:26" s="23" customFormat="1" hidden="1" outlineLevel="1" x14ac:dyDescent="0.25">
      <c r="A121" s="44"/>
      <c r="B121" s="10" t="str">
        <f>CONCATENATE("          ", "5014", " - ", "PURCHASES @ COST-REMAINDERS")</f>
        <v xml:space="preserve">          5014 - PURCHASES @ COST-REMAINDERS</v>
      </c>
      <c r="C121" s="10"/>
      <c r="D121" s="2"/>
      <c r="E121" s="2"/>
      <c r="F121" s="19">
        <f t="shared" si="37"/>
        <v>0</v>
      </c>
      <c r="G121" s="2"/>
      <c r="H121" s="2"/>
      <c r="I121" s="2"/>
      <c r="J121" s="19">
        <f t="shared" si="38"/>
        <v>0</v>
      </c>
      <c r="K121" s="2"/>
      <c r="L121" s="2">
        <f t="shared" si="39"/>
        <v>0</v>
      </c>
      <c r="M121" s="2"/>
      <c r="N121" s="19">
        <f t="shared" si="40"/>
        <v>0</v>
      </c>
      <c r="O121" s="10"/>
      <c r="P121" s="2">
        <v>111.57</v>
      </c>
      <c r="Q121" s="2"/>
      <c r="R121" s="19">
        <f t="shared" si="41"/>
        <v>2.1417046551617855E-5</v>
      </c>
      <c r="S121" s="2"/>
      <c r="T121" s="2">
        <v>615.07000000000005</v>
      </c>
      <c r="U121" s="2"/>
      <c r="V121" s="19">
        <f t="shared" si="42"/>
        <v>6.8138551777058808E-5</v>
      </c>
      <c r="W121" s="2"/>
      <c r="X121" s="2">
        <f t="shared" si="43"/>
        <v>-503.50000000000006</v>
      </c>
      <c r="Y121" s="2"/>
      <c r="Z121" s="19">
        <f t="shared" si="44"/>
        <v>-0.81860601232380059</v>
      </c>
    </row>
    <row r="122" spans="1:26" s="23" customFormat="1" hidden="1" outlineLevel="1" x14ac:dyDescent="0.25">
      <c r="A122" s="44"/>
      <c r="B122" s="10" t="str">
        <f>CONCATENATE("          ", "5017", " - ", "PURCHASES @ COST-DORM/HOUSEWAR")</f>
        <v xml:space="preserve">          5017 - PURCHASES @ COST-DORM/HOUSEWAR</v>
      </c>
      <c r="C122" s="10"/>
      <c r="D122" s="2"/>
      <c r="E122" s="2"/>
      <c r="F122" s="19">
        <f t="shared" si="37"/>
        <v>0</v>
      </c>
      <c r="G122" s="2"/>
      <c r="H122" s="2"/>
      <c r="I122" s="2"/>
      <c r="J122" s="19">
        <f t="shared" si="38"/>
        <v>0</v>
      </c>
      <c r="K122" s="2"/>
      <c r="L122" s="2">
        <f t="shared" si="39"/>
        <v>0</v>
      </c>
      <c r="M122" s="2"/>
      <c r="N122" s="19">
        <f t="shared" si="40"/>
        <v>0</v>
      </c>
      <c r="O122" s="10"/>
      <c r="P122" s="2"/>
      <c r="Q122" s="2"/>
      <c r="R122" s="19">
        <f t="shared" si="41"/>
        <v>0</v>
      </c>
      <c r="S122" s="2"/>
      <c r="T122" s="2">
        <v>14.46</v>
      </c>
      <c r="U122" s="2"/>
      <c r="V122" s="19">
        <f t="shared" si="42"/>
        <v>1.6019045941051755E-6</v>
      </c>
      <c r="W122" s="2"/>
      <c r="X122" s="2">
        <f t="shared" si="43"/>
        <v>-14.46</v>
      </c>
      <c r="Y122" s="2"/>
      <c r="Z122" s="19">
        <f t="shared" si="44"/>
        <v>-1</v>
      </c>
    </row>
    <row r="123" spans="1:26" s="23" customFormat="1" hidden="1" outlineLevel="1" x14ac:dyDescent="0.25">
      <c r="A123" s="44"/>
      <c r="B123" s="10" t="str">
        <f>CONCATENATE("          ", "5018", " - ", "PURCHASES @ COST-STUDY GUIDES")</f>
        <v xml:space="preserve">          5018 - PURCHASES @ COST-STUDY GUIDES</v>
      </c>
      <c r="C123" s="10"/>
      <c r="D123" s="2"/>
      <c r="E123" s="2"/>
      <c r="F123" s="19">
        <f t="shared" si="37"/>
        <v>0</v>
      </c>
      <c r="G123" s="2"/>
      <c r="H123" s="2"/>
      <c r="I123" s="2"/>
      <c r="J123" s="19">
        <f t="shared" si="38"/>
        <v>0</v>
      </c>
      <c r="K123" s="2"/>
      <c r="L123" s="2">
        <f t="shared" si="39"/>
        <v>0</v>
      </c>
      <c r="M123" s="2"/>
      <c r="N123" s="19">
        <f t="shared" si="40"/>
        <v>0</v>
      </c>
      <c r="O123" s="10"/>
      <c r="P123" s="2">
        <v>967.21</v>
      </c>
      <c r="Q123" s="2"/>
      <c r="R123" s="19">
        <f t="shared" si="41"/>
        <v>1.8566623281518604E-4</v>
      </c>
      <c r="S123" s="2"/>
      <c r="T123" s="2">
        <v>-205.14</v>
      </c>
      <c r="U123" s="2"/>
      <c r="V123" s="19">
        <f t="shared" si="42"/>
        <v>-2.2725775133799147E-5</v>
      </c>
      <c r="W123" s="2"/>
      <c r="X123" s="2">
        <f t="shared" si="43"/>
        <v>1172.3499999999999</v>
      </c>
      <c r="Y123" s="2"/>
      <c r="Z123" s="19">
        <f t="shared" si="44"/>
        <v>-5.7148776445354388</v>
      </c>
    </row>
    <row r="124" spans="1:26" s="23" customFormat="1" hidden="1" outlineLevel="1" x14ac:dyDescent="0.25">
      <c r="A124" s="44"/>
      <c r="B124" s="10" t="str">
        <f>CONCATENATE("          ", "5025", " - ", "PURCHASES @ COST-TEST FORMS")</f>
        <v xml:space="preserve">          5025 - PURCHASES @ COST-TEST FORMS</v>
      </c>
      <c r="C124" s="10"/>
      <c r="D124" s="2"/>
      <c r="E124" s="2"/>
      <c r="F124" s="19">
        <f t="shared" si="37"/>
        <v>0</v>
      </c>
      <c r="G124" s="2"/>
      <c r="H124" s="2"/>
      <c r="I124" s="2"/>
      <c r="J124" s="19">
        <f t="shared" si="38"/>
        <v>0</v>
      </c>
      <c r="K124" s="2"/>
      <c r="L124" s="2">
        <f t="shared" si="39"/>
        <v>0</v>
      </c>
      <c r="M124" s="2"/>
      <c r="N124" s="19">
        <f t="shared" si="40"/>
        <v>0</v>
      </c>
      <c r="O124" s="10"/>
      <c r="P124" s="2">
        <v>599.29</v>
      </c>
      <c r="Q124" s="2"/>
      <c r="R124" s="19">
        <f t="shared" si="41"/>
        <v>1.1504008091708401E-4</v>
      </c>
      <c r="S124" s="2"/>
      <c r="T124" s="2">
        <v>26400.39</v>
      </c>
      <c r="U124" s="2"/>
      <c r="V124" s="19">
        <f t="shared" si="42"/>
        <v>2.924682297867796E-3</v>
      </c>
      <c r="W124" s="2"/>
      <c r="X124" s="2">
        <f t="shared" si="43"/>
        <v>-25801.1</v>
      </c>
      <c r="Y124" s="2"/>
      <c r="Z124" s="19">
        <f t="shared" si="44"/>
        <v>-0.97729995655367208</v>
      </c>
    </row>
    <row r="125" spans="1:26" s="23" customFormat="1" hidden="1" outlineLevel="1" x14ac:dyDescent="0.25">
      <c r="A125" s="44"/>
      <c r="B125" s="10" t="str">
        <f>CONCATENATE("          ", "5026", " - ", "PURCHASES @ COST-WRITING INSTR")</f>
        <v xml:space="preserve">          5026 - PURCHASES @ COST-WRITING INSTR</v>
      </c>
      <c r="C125" s="10"/>
      <c r="D125" s="2">
        <v>-2.0499999999999998</v>
      </c>
      <c r="E125" s="2"/>
      <c r="F125" s="19">
        <f t="shared" si="37"/>
        <v>-4.0452887639598459E-6</v>
      </c>
      <c r="G125" s="2"/>
      <c r="H125" s="2">
        <v>-7248</v>
      </c>
      <c r="I125" s="2"/>
      <c r="J125" s="19">
        <f t="shared" si="38"/>
        <v>-2.7493053433212129E-2</v>
      </c>
      <c r="K125" s="2"/>
      <c r="L125" s="2">
        <f t="shared" si="39"/>
        <v>7245.95</v>
      </c>
      <c r="M125" s="2"/>
      <c r="N125" s="19">
        <f t="shared" si="40"/>
        <v>-0.99971716335540839</v>
      </c>
      <c r="O125" s="10"/>
      <c r="P125" s="2">
        <v>582.5</v>
      </c>
      <c r="Q125" s="2"/>
      <c r="R125" s="19">
        <f t="shared" si="41"/>
        <v>1.1181706208046428E-4</v>
      </c>
      <c r="S125" s="2"/>
      <c r="T125" s="2">
        <v>44186.57</v>
      </c>
      <c r="U125" s="2"/>
      <c r="V125" s="19">
        <f t="shared" si="42"/>
        <v>4.895067045695015E-3</v>
      </c>
      <c r="W125" s="2"/>
      <c r="X125" s="2">
        <f t="shared" si="43"/>
        <v>-43604.07</v>
      </c>
      <c r="Y125" s="2"/>
      <c r="Z125" s="19">
        <f t="shared" si="44"/>
        <v>-0.98681726144391835</v>
      </c>
    </row>
    <row r="126" spans="1:26" s="23" customFormat="1" hidden="1" outlineLevel="1" x14ac:dyDescent="0.25">
      <c r="A126" s="44"/>
      <c r="B126" s="10" t="str">
        <f>CONCATENATE("          ", "5027", " - ", "PURCHASES @ COST-SCHOOL SUPPLI")</f>
        <v xml:space="preserve">          5027 - PURCHASES @ COST-SCHOOL SUPPLI</v>
      </c>
      <c r="C126" s="10"/>
      <c r="D126" s="2">
        <v>0.39</v>
      </c>
      <c r="E126" s="2"/>
      <c r="F126" s="19">
        <f t="shared" si="37"/>
        <v>7.6959152094845853E-7</v>
      </c>
      <c r="G126" s="2"/>
      <c r="H126" s="2">
        <v>-2393.63</v>
      </c>
      <c r="I126" s="2"/>
      <c r="J126" s="19">
        <f t="shared" si="38"/>
        <v>-9.0794974461009328E-3</v>
      </c>
      <c r="K126" s="2"/>
      <c r="L126" s="2">
        <f t="shared" si="39"/>
        <v>2394.02</v>
      </c>
      <c r="M126" s="2"/>
      <c r="N126" s="19">
        <f t="shared" si="40"/>
        <v>-1.0001629324498773</v>
      </c>
      <c r="O126" s="10"/>
      <c r="P126" s="2">
        <v>23734.99</v>
      </c>
      <c r="Q126" s="2"/>
      <c r="R126" s="19">
        <f t="shared" si="41"/>
        <v>4.5561834340072088E-3</v>
      </c>
      <c r="S126" s="2"/>
      <c r="T126" s="2">
        <v>141214.54</v>
      </c>
      <c r="U126" s="2"/>
      <c r="V126" s="19">
        <f t="shared" si="42"/>
        <v>1.5643998643184585E-2</v>
      </c>
      <c r="W126" s="2"/>
      <c r="X126" s="2">
        <f t="shared" si="43"/>
        <v>-117479.55</v>
      </c>
      <c r="Y126" s="2"/>
      <c r="Z126" s="19">
        <f t="shared" si="44"/>
        <v>-0.83192247767120864</v>
      </c>
    </row>
    <row r="127" spans="1:26" s="23" customFormat="1" hidden="1" outlineLevel="1" x14ac:dyDescent="0.25">
      <c r="A127" s="44"/>
      <c r="B127" s="10" t="str">
        <f>CONCATENATE("          ", "5028", " - ", "PURCHASES @ COST-ART/TECH")</f>
        <v xml:space="preserve">          5028 - PURCHASES @ COST-ART/TECH</v>
      </c>
      <c r="C127" s="10"/>
      <c r="D127" s="2">
        <v>674.12</v>
      </c>
      <c r="E127" s="2"/>
      <c r="F127" s="19">
        <f t="shared" si="37"/>
        <v>1.3302488105173713E-3</v>
      </c>
      <c r="G127" s="2"/>
      <c r="H127" s="2">
        <v>-60.3</v>
      </c>
      <c r="I127" s="2"/>
      <c r="J127" s="19">
        <f t="shared" si="38"/>
        <v>-2.287294594402168E-4</v>
      </c>
      <c r="K127" s="2"/>
      <c r="L127" s="2">
        <f t="shared" si="39"/>
        <v>734.42</v>
      </c>
      <c r="M127" s="2"/>
      <c r="N127" s="19">
        <f t="shared" si="40"/>
        <v>-12.179436152570482</v>
      </c>
      <c r="O127" s="10"/>
      <c r="P127" s="2">
        <v>47680.74</v>
      </c>
      <c r="Q127" s="2"/>
      <c r="R127" s="19">
        <f t="shared" si="41"/>
        <v>9.1528244886222767E-3</v>
      </c>
      <c r="S127" s="2"/>
      <c r="T127" s="2">
        <v>159627.69</v>
      </c>
      <c r="U127" s="2"/>
      <c r="V127" s="19">
        <f t="shared" si="42"/>
        <v>1.7683840246016373E-2</v>
      </c>
      <c r="W127" s="2"/>
      <c r="X127" s="2">
        <f t="shared" si="43"/>
        <v>-111946.95000000001</v>
      </c>
      <c r="Y127" s="2"/>
      <c r="Z127" s="19">
        <f t="shared" si="44"/>
        <v>-0.70130031951223504</v>
      </c>
    </row>
    <row r="128" spans="1:26" s="23" customFormat="1" hidden="1" outlineLevel="1" x14ac:dyDescent="0.25">
      <c r="A128" s="44"/>
      <c r="B128" s="10" t="str">
        <f>CONCATENATE("          ", "5031", " - ", "PURCHASES @ COST-FOOD")</f>
        <v xml:space="preserve">          5031 - PURCHASES @ COST-FOOD</v>
      </c>
      <c r="C128" s="10"/>
      <c r="D128" s="2">
        <v>280.37</v>
      </c>
      <c r="E128" s="2"/>
      <c r="F128" s="19">
        <f t="shared" si="37"/>
        <v>5.532573710982547E-4</v>
      </c>
      <c r="G128" s="2"/>
      <c r="H128" s="2"/>
      <c r="I128" s="2"/>
      <c r="J128" s="19">
        <f t="shared" si="38"/>
        <v>0</v>
      </c>
      <c r="K128" s="2"/>
      <c r="L128" s="2">
        <f t="shared" si="39"/>
        <v>280.37</v>
      </c>
      <c r="M128" s="2"/>
      <c r="N128" s="19">
        <f t="shared" si="40"/>
        <v>0</v>
      </c>
      <c r="O128" s="10"/>
      <c r="P128" s="2">
        <v>8066.09</v>
      </c>
      <c r="Q128" s="2"/>
      <c r="R128" s="19">
        <f t="shared" si="41"/>
        <v>1.5483716502602786E-3</v>
      </c>
      <c r="S128" s="2"/>
      <c r="T128" s="2">
        <v>33239.879999999997</v>
      </c>
      <c r="U128" s="2"/>
      <c r="V128" s="19">
        <f t="shared" si="42"/>
        <v>3.6823732005189995E-3</v>
      </c>
      <c r="W128" s="2"/>
      <c r="X128" s="2">
        <f t="shared" si="43"/>
        <v>-25173.789999999997</v>
      </c>
      <c r="Y128" s="2"/>
      <c r="Z128" s="19">
        <f t="shared" si="44"/>
        <v>-0.75733696992889266</v>
      </c>
    </row>
    <row r="129" spans="1:26" s="23" customFormat="1" hidden="1" outlineLevel="1" x14ac:dyDescent="0.25">
      <c r="A129" s="44"/>
      <c r="B129" s="10" t="str">
        <f>CONCATENATE("          ", "5032", " - ", "PURCHASES @ COST-JUICE")</f>
        <v xml:space="preserve">          5032 - PURCHASES @ COST-JUICE</v>
      </c>
      <c r="C129" s="10"/>
      <c r="D129" s="2"/>
      <c r="E129" s="2"/>
      <c r="F129" s="19">
        <f t="shared" si="37"/>
        <v>0</v>
      </c>
      <c r="G129" s="2"/>
      <c r="H129" s="2"/>
      <c r="I129" s="2"/>
      <c r="J129" s="19">
        <f t="shared" si="38"/>
        <v>0</v>
      </c>
      <c r="K129" s="2"/>
      <c r="L129" s="2">
        <f t="shared" si="39"/>
        <v>0</v>
      </c>
      <c r="M129" s="2"/>
      <c r="N129" s="19">
        <f t="shared" si="40"/>
        <v>0</v>
      </c>
      <c r="O129" s="10"/>
      <c r="P129" s="2"/>
      <c r="Q129" s="2"/>
      <c r="R129" s="19">
        <f t="shared" si="41"/>
        <v>0</v>
      </c>
      <c r="S129" s="2"/>
      <c r="T129" s="2">
        <v>7802.45</v>
      </c>
      <c r="U129" s="2"/>
      <c r="V129" s="19">
        <f t="shared" si="42"/>
        <v>8.643693292030378E-4</v>
      </c>
      <c r="W129" s="2"/>
      <c r="X129" s="2">
        <f t="shared" si="43"/>
        <v>-7802.45</v>
      </c>
      <c r="Y129" s="2"/>
      <c r="Z129" s="19">
        <f t="shared" si="44"/>
        <v>-1</v>
      </c>
    </row>
    <row r="130" spans="1:26" s="23" customFormat="1" hidden="1" outlineLevel="1" x14ac:dyDescent="0.25">
      <c r="A130" s="44"/>
      <c r="B130" s="10" t="str">
        <f>CONCATENATE("          ", "5033", " - ", "PURCHASES @ COST-CANDY")</f>
        <v xml:space="preserve">          5033 - PURCHASES @ COST-CANDY</v>
      </c>
      <c r="C130" s="10"/>
      <c r="D130" s="2"/>
      <c r="E130" s="2"/>
      <c r="F130" s="19">
        <f t="shared" si="37"/>
        <v>0</v>
      </c>
      <c r="G130" s="2"/>
      <c r="H130" s="2"/>
      <c r="I130" s="2"/>
      <c r="J130" s="19">
        <f t="shared" si="38"/>
        <v>0</v>
      </c>
      <c r="K130" s="2"/>
      <c r="L130" s="2">
        <f t="shared" si="39"/>
        <v>0</v>
      </c>
      <c r="M130" s="2"/>
      <c r="N130" s="19">
        <f t="shared" si="40"/>
        <v>0</v>
      </c>
      <c r="O130" s="10"/>
      <c r="P130" s="2"/>
      <c r="Q130" s="2"/>
      <c r="R130" s="19">
        <f t="shared" si="41"/>
        <v>0</v>
      </c>
      <c r="S130" s="2"/>
      <c r="T130" s="2">
        <v>9998.41</v>
      </c>
      <c r="U130" s="2"/>
      <c r="V130" s="19">
        <f t="shared" si="42"/>
        <v>1.1076416952107281E-3</v>
      </c>
      <c r="W130" s="2"/>
      <c r="X130" s="2">
        <f t="shared" si="43"/>
        <v>-9998.41</v>
      </c>
      <c r="Y130" s="2"/>
      <c r="Z130" s="19">
        <f t="shared" si="44"/>
        <v>-1</v>
      </c>
    </row>
    <row r="131" spans="1:26" s="23" customFormat="1" hidden="1" outlineLevel="1" x14ac:dyDescent="0.25">
      <c r="A131" s="44"/>
      <c r="B131" s="10" t="str">
        <f>CONCATENATE("          ", "5034", " - ", "PURCHASES @ COST-SODA")</f>
        <v xml:space="preserve">          5034 - PURCHASES @ COST-SODA</v>
      </c>
      <c r="C131" s="10"/>
      <c r="D131" s="2"/>
      <c r="E131" s="2"/>
      <c r="F131" s="19">
        <f t="shared" si="37"/>
        <v>0</v>
      </c>
      <c r="G131" s="2"/>
      <c r="H131" s="2"/>
      <c r="I131" s="2"/>
      <c r="J131" s="19">
        <f t="shared" si="38"/>
        <v>0</v>
      </c>
      <c r="K131" s="2"/>
      <c r="L131" s="2">
        <f t="shared" si="39"/>
        <v>0</v>
      </c>
      <c r="M131" s="2"/>
      <c r="N131" s="19">
        <f t="shared" si="40"/>
        <v>0</v>
      </c>
      <c r="O131" s="10"/>
      <c r="P131" s="2"/>
      <c r="Q131" s="2"/>
      <c r="R131" s="19">
        <f t="shared" si="41"/>
        <v>0</v>
      </c>
      <c r="S131" s="2"/>
      <c r="T131" s="2">
        <v>4033.88</v>
      </c>
      <c r="U131" s="2"/>
      <c r="V131" s="19">
        <f t="shared" si="42"/>
        <v>4.4688042213478462E-4</v>
      </c>
      <c r="W131" s="2"/>
      <c r="X131" s="2">
        <f t="shared" si="43"/>
        <v>-4033.88</v>
      </c>
      <c r="Y131" s="2"/>
      <c r="Z131" s="19">
        <f t="shared" si="44"/>
        <v>-1</v>
      </c>
    </row>
    <row r="132" spans="1:26" s="23" customFormat="1" hidden="1" outlineLevel="1" x14ac:dyDescent="0.25">
      <c r="A132" s="44"/>
      <c r="B132" s="10" t="str">
        <f>CONCATENATE("          ", "5035", " - ", "PURCHASES @ COST-HEALTH &amp; BEAU")</f>
        <v xml:space="preserve">          5035 - PURCHASES @ COST-HEALTH &amp; BEAU</v>
      </c>
      <c r="C132" s="10"/>
      <c r="D132" s="2"/>
      <c r="E132" s="2"/>
      <c r="F132" s="19">
        <f t="shared" si="37"/>
        <v>0</v>
      </c>
      <c r="G132" s="2"/>
      <c r="H132" s="2"/>
      <c r="I132" s="2"/>
      <c r="J132" s="19">
        <f t="shared" si="38"/>
        <v>0</v>
      </c>
      <c r="K132" s="2"/>
      <c r="L132" s="2">
        <f t="shared" si="39"/>
        <v>0</v>
      </c>
      <c r="M132" s="2"/>
      <c r="N132" s="19">
        <f t="shared" si="40"/>
        <v>0</v>
      </c>
      <c r="O132" s="10"/>
      <c r="P132" s="2"/>
      <c r="Q132" s="2"/>
      <c r="R132" s="19">
        <f t="shared" si="41"/>
        <v>0</v>
      </c>
      <c r="S132" s="2"/>
      <c r="T132" s="2">
        <v>1117.6500000000001</v>
      </c>
      <c r="U132" s="2"/>
      <c r="V132" s="19">
        <f t="shared" si="42"/>
        <v>1.2381526069167701E-4</v>
      </c>
      <c r="W132" s="2"/>
      <c r="X132" s="2">
        <f t="shared" si="43"/>
        <v>-1117.6500000000001</v>
      </c>
      <c r="Y132" s="2"/>
      <c r="Z132" s="19">
        <f t="shared" si="44"/>
        <v>-1</v>
      </c>
    </row>
    <row r="133" spans="1:26" s="23" customFormat="1" hidden="1" outlineLevel="1" x14ac:dyDescent="0.25">
      <c r="A133" s="44"/>
      <c r="B133" s="10" t="str">
        <f>CONCATENATE("          ", "5037", " - ", "PURCHASES @ COST-WATER")</f>
        <v xml:space="preserve">          5037 - PURCHASES @ COST-WATER</v>
      </c>
      <c r="C133" s="10"/>
      <c r="D133" s="2"/>
      <c r="E133" s="2"/>
      <c r="F133" s="19">
        <f t="shared" si="37"/>
        <v>0</v>
      </c>
      <c r="G133" s="2"/>
      <c r="H133" s="2"/>
      <c r="I133" s="2"/>
      <c r="J133" s="19">
        <f t="shared" si="38"/>
        <v>0</v>
      </c>
      <c r="K133" s="2"/>
      <c r="L133" s="2">
        <f t="shared" si="39"/>
        <v>0</v>
      </c>
      <c r="M133" s="2"/>
      <c r="N133" s="19">
        <f t="shared" si="40"/>
        <v>0</v>
      </c>
      <c r="O133" s="10"/>
      <c r="P133" s="2"/>
      <c r="Q133" s="2"/>
      <c r="R133" s="19">
        <f t="shared" si="41"/>
        <v>0</v>
      </c>
      <c r="S133" s="2"/>
      <c r="T133" s="2">
        <v>5693.57</v>
      </c>
      <c r="U133" s="2"/>
      <c r="V133" s="19">
        <f t="shared" si="42"/>
        <v>6.3074384093080244E-4</v>
      </c>
      <c r="W133" s="2"/>
      <c r="X133" s="2">
        <f t="shared" si="43"/>
        <v>-5693.57</v>
      </c>
      <c r="Y133" s="2"/>
      <c r="Z133" s="19">
        <f t="shared" si="44"/>
        <v>-1</v>
      </c>
    </row>
    <row r="134" spans="1:26" s="23" customFormat="1" hidden="1" outlineLevel="1" x14ac:dyDescent="0.25">
      <c r="A134" s="44"/>
      <c r="B134" s="10" t="str">
        <f>CONCATENATE("          ", "5040", " - ", "PURCHASES @ COST-LOGO CLOTHING")</f>
        <v xml:space="preserve">          5040 - PURCHASES @ COST-LOGO CLOTHING</v>
      </c>
      <c r="C134" s="10"/>
      <c r="D134" s="2">
        <v>48288.73</v>
      </c>
      <c r="E134" s="2"/>
      <c r="F134" s="19">
        <f t="shared" si="37"/>
        <v>9.5288710680434513E-2</v>
      </c>
      <c r="G134" s="2"/>
      <c r="H134" s="2">
        <v>1557.89</v>
      </c>
      <c r="I134" s="2"/>
      <c r="J134" s="19">
        <f t="shared" si="38"/>
        <v>5.9093754157101058E-3</v>
      </c>
      <c r="K134" s="2"/>
      <c r="L134" s="2">
        <f t="shared" si="39"/>
        <v>46730.840000000004</v>
      </c>
      <c r="M134" s="2"/>
      <c r="N134" s="19">
        <f t="shared" si="40"/>
        <v>29.996238502076526</v>
      </c>
      <c r="O134" s="10"/>
      <c r="P134" s="2">
        <v>327378.98</v>
      </c>
      <c r="Q134" s="2"/>
      <c r="R134" s="19">
        <f t="shared" si="41"/>
        <v>6.2843872498710859E-2</v>
      </c>
      <c r="S134" s="2"/>
      <c r="T134" s="2">
        <v>976469.33</v>
      </c>
      <c r="U134" s="2"/>
      <c r="V134" s="19">
        <f t="shared" si="42"/>
        <v>0.10817501422751055</v>
      </c>
      <c r="W134" s="2"/>
      <c r="X134" s="2">
        <f t="shared" si="43"/>
        <v>-649090.35</v>
      </c>
      <c r="Y134" s="2"/>
      <c r="Z134" s="19">
        <f t="shared" si="44"/>
        <v>-0.66473193786844287</v>
      </c>
    </row>
    <row r="135" spans="1:26" s="23" customFormat="1" hidden="1" outlineLevel="1" x14ac:dyDescent="0.25">
      <c r="A135" s="44"/>
      <c r="B135" s="10" t="str">
        <f>CONCATENATE("          ", "5041", " - ", "PURCHASES @ COST-LOGO GIFTS")</f>
        <v xml:space="preserve">          5041 - PURCHASES @ COST-LOGO GIFTS</v>
      </c>
      <c r="C135" s="10"/>
      <c r="D135" s="2">
        <v>22136.9</v>
      </c>
      <c r="E135" s="2"/>
      <c r="F135" s="19">
        <f t="shared" si="37"/>
        <v>4.3683001384830597E-2</v>
      </c>
      <c r="G135" s="2"/>
      <c r="H135" s="2">
        <v>4290.8100000000004</v>
      </c>
      <c r="I135" s="2"/>
      <c r="J135" s="19">
        <f t="shared" si="38"/>
        <v>1.6275864873311389E-2</v>
      </c>
      <c r="K135" s="2"/>
      <c r="L135" s="2">
        <f t="shared" si="39"/>
        <v>17846.09</v>
      </c>
      <c r="M135" s="2"/>
      <c r="N135" s="19">
        <f t="shared" si="40"/>
        <v>4.1591424462980182</v>
      </c>
      <c r="O135" s="10"/>
      <c r="P135" s="2">
        <v>106398.85</v>
      </c>
      <c r="Q135" s="2"/>
      <c r="R135" s="19">
        <f t="shared" si="41"/>
        <v>2.0424389383244649E-2</v>
      </c>
      <c r="S135" s="2"/>
      <c r="T135" s="2">
        <v>149750.84</v>
      </c>
      <c r="U135" s="2"/>
      <c r="V135" s="19">
        <f t="shared" si="42"/>
        <v>1.6589665184447377E-2</v>
      </c>
      <c r="W135" s="2"/>
      <c r="X135" s="2">
        <f t="shared" si="43"/>
        <v>-43351.989999999991</v>
      </c>
      <c r="Y135" s="2"/>
      <c r="Z135" s="19">
        <f t="shared" si="44"/>
        <v>-0.28949413572571608</v>
      </c>
    </row>
    <row r="136" spans="1:26" s="23" customFormat="1" hidden="1" outlineLevel="1" x14ac:dyDescent="0.25">
      <c r="A136" s="44"/>
      <c r="B136" s="10" t="str">
        <f>CONCATENATE("          ", "5042", " - ", "PURCHASES @ COST-EVERYDAY GIFT")</f>
        <v xml:space="preserve">          5042 - PURCHASES @ COST-EVERYDAY GIFT</v>
      </c>
      <c r="C136" s="10"/>
      <c r="D136" s="2">
        <v>-0.11</v>
      </c>
      <c r="E136" s="2"/>
      <c r="F136" s="19">
        <f t="shared" si="37"/>
        <v>-2.1706427513930882E-7</v>
      </c>
      <c r="G136" s="2"/>
      <c r="H136" s="2">
        <v>10730.16</v>
      </c>
      <c r="I136" s="2"/>
      <c r="J136" s="19">
        <f t="shared" si="38"/>
        <v>4.0701553839254341E-2</v>
      </c>
      <c r="K136" s="2"/>
      <c r="L136" s="2">
        <f t="shared" si="39"/>
        <v>-10730.27</v>
      </c>
      <c r="M136" s="2"/>
      <c r="N136" s="19">
        <f t="shared" si="40"/>
        <v>-1.0000102514780769</v>
      </c>
      <c r="O136" s="10"/>
      <c r="P136" s="2">
        <v>18748.07</v>
      </c>
      <c r="Q136" s="2"/>
      <c r="R136" s="19">
        <f t="shared" si="41"/>
        <v>3.5988911709508844E-3</v>
      </c>
      <c r="S136" s="2"/>
      <c r="T136" s="2">
        <v>126615.2</v>
      </c>
      <c r="U136" s="2"/>
      <c r="V136" s="19">
        <f t="shared" si="42"/>
        <v>1.4026657715321272E-2</v>
      </c>
      <c r="W136" s="2"/>
      <c r="X136" s="2">
        <f t="shared" si="43"/>
        <v>-107867.13</v>
      </c>
      <c r="Y136" s="2"/>
      <c r="Z136" s="19">
        <f t="shared" si="44"/>
        <v>-0.8519287573687836</v>
      </c>
    </row>
    <row r="137" spans="1:26" s="23" customFormat="1" hidden="1" outlineLevel="1" x14ac:dyDescent="0.25">
      <c r="A137" s="44"/>
      <c r="B137" s="10" t="str">
        <f>CONCATENATE("          ", "5043", " - ", "PURCHASES @ COST-CARDS")</f>
        <v xml:space="preserve">          5043 - PURCHASES @ COST-CARDS</v>
      </c>
      <c r="C137" s="10"/>
      <c r="D137" s="2">
        <v>178</v>
      </c>
      <c r="E137" s="2"/>
      <c r="F137" s="19">
        <f t="shared" si="37"/>
        <v>3.5124946340724518E-4</v>
      </c>
      <c r="G137" s="2"/>
      <c r="H137" s="2"/>
      <c r="I137" s="2"/>
      <c r="J137" s="19">
        <f t="shared" si="38"/>
        <v>0</v>
      </c>
      <c r="K137" s="2"/>
      <c r="L137" s="2">
        <f t="shared" si="39"/>
        <v>178</v>
      </c>
      <c r="M137" s="2"/>
      <c r="N137" s="19">
        <f t="shared" si="40"/>
        <v>0</v>
      </c>
      <c r="O137" s="10"/>
      <c r="P137" s="2">
        <v>55583.33</v>
      </c>
      <c r="Q137" s="2"/>
      <c r="R137" s="19">
        <f t="shared" si="41"/>
        <v>1.0669810577251387E-2</v>
      </c>
      <c r="S137" s="2"/>
      <c r="T137" s="2">
        <v>30914.66</v>
      </c>
      <c r="U137" s="2"/>
      <c r="V137" s="19">
        <f t="shared" si="42"/>
        <v>3.424781181134129E-3</v>
      </c>
      <c r="W137" s="2"/>
      <c r="X137" s="2">
        <f t="shared" si="43"/>
        <v>24668.670000000002</v>
      </c>
      <c r="Y137" s="2"/>
      <c r="Z137" s="19">
        <f t="shared" si="44"/>
        <v>0.79796025574921414</v>
      </c>
    </row>
    <row r="138" spans="1:26" s="23" customFormat="1" hidden="1" outlineLevel="1" x14ac:dyDescent="0.25">
      <c r="A138" s="44"/>
      <c r="B138" s="10" t="str">
        <f>CONCATENATE("          ", "5044", " - ", "PURCHASES @ COST-ACCESSORIES")</f>
        <v xml:space="preserve">          5044 - PURCHASES @ COST-ACCESSORIES</v>
      </c>
      <c r="C138" s="10"/>
      <c r="D138" s="2"/>
      <c r="E138" s="2"/>
      <c r="F138" s="19">
        <f t="shared" si="37"/>
        <v>0</v>
      </c>
      <c r="G138" s="2"/>
      <c r="H138" s="2">
        <v>1395</v>
      </c>
      <c r="I138" s="2"/>
      <c r="J138" s="19">
        <f t="shared" si="38"/>
        <v>5.2915024198856133E-3</v>
      </c>
      <c r="K138" s="2"/>
      <c r="L138" s="2">
        <f t="shared" si="39"/>
        <v>-1395</v>
      </c>
      <c r="M138" s="2"/>
      <c r="N138" s="19">
        <f t="shared" si="40"/>
        <v>-1</v>
      </c>
      <c r="O138" s="10"/>
      <c r="P138" s="2">
        <v>2555.71</v>
      </c>
      <c r="Q138" s="2"/>
      <c r="R138" s="19">
        <f t="shared" si="41"/>
        <v>4.9059568022259811E-4</v>
      </c>
      <c r="S138" s="2"/>
      <c r="T138" s="2">
        <v>37869.03</v>
      </c>
      <c r="U138" s="2"/>
      <c r="V138" s="19">
        <f t="shared" si="42"/>
        <v>4.1951986951111143E-3</v>
      </c>
      <c r="W138" s="2"/>
      <c r="X138" s="2">
        <f t="shared" si="43"/>
        <v>-35313.32</v>
      </c>
      <c r="Y138" s="2"/>
      <c r="Z138" s="19">
        <f t="shared" si="44"/>
        <v>-0.93251187051794038</v>
      </c>
    </row>
    <row r="139" spans="1:26" s="23" customFormat="1" hidden="1" outlineLevel="1" x14ac:dyDescent="0.25">
      <c r="A139" s="44"/>
      <c r="B139" s="10" t="str">
        <f>CONCATENATE("          ", "5045", " - ", "PURCHASES @ COST-SPECIAL ORDER")</f>
        <v xml:space="preserve">          5045 - PURCHASES @ COST-SPECIAL ORDER</v>
      </c>
      <c r="C139" s="10"/>
      <c r="D139" s="2">
        <v>24141.17</v>
      </c>
      <c r="E139" s="2"/>
      <c r="F139" s="19">
        <f t="shared" si="37"/>
        <v>4.7638050609680245E-2</v>
      </c>
      <c r="G139" s="2"/>
      <c r="H139" s="2">
        <v>16919.25</v>
      </c>
      <c r="I139" s="2"/>
      <c r="J139" s="19">
        <f t="shared" si="38"/>
        <v>6.417795865064492E-2</v>
      </c>
      <c r="K139" s="2"/>
      <c r="L139" s="2">
        <f t="shared" si="39"/>
        <v>7221.9199999999983</v>
      </c>
      <c r="M139" s="2"/>
      <c r="N139" s="19">
        <f t="shared" si="40"/>
        <v>0.42684634366180524</v>
      </c>
      <c r="O139" s="10"/>
      <c r="P139" s="2">
        <v>139139.24</v>
      </c>
      <c r="Q139" s="2"/>
      <c r="R139" s="19">
        <f t="shared" si="41"/>
        <v>2.6709254998984754E-2</v>
      </c>
      <c r="S139" s="2"/>
      <c r="T139" s="2">
        <v>78842.399999999994</v>
      </c>
      <c r="U139" s="2"/>
      <c r="V139" s="19">
        <f t="shared" si="42"/>
        <v>8.7343017130206008E-3</v>
      </c>
      <c r="W139" s="2"/>
      <c r="X139" s="2">
        <f t="shared" si="43"/>
        <v>60296.84</v>
      </c>
      <c r="Y139" s="2"/>
      <c r="Z139" s="19">
        <f t="shared" si="44"/>
        <v>0.7647768205939951</v>
      </c>
    </row>
    <row r="140" spans="1:26" s="23" customFormat="1" hidden="1" outlineLevel="1" x14ac:dyDescent="0.25">
      <c r="A140" s="44"/>
      <c r="B140" s="10" t="str">
        <f>CONCATENATE("          ", "5081", " - ", "PURCHASES @ COST-ELECTRONICS")</f>
        <v xml:space="preserve">          5081 - PURCHASES @ COST-ELECTRONICS</v>
      </c>
      <c r="C140" s="10"/>
      <c r="D140" s="2"/>
      <c r="E140" s="2"/>
      <c r="F140" s="19">
        <f t="shared" si="37"/>
        <v>0</v>
      </c>
      <c r="G140" s="2"/>
      <c r="H140" s="2"/>
      <c r="I140" s="2"/>
      <c r="J140" s="19">
        <f t="shared" si="38"/>
        <v>0</v>
      </c>
      <c r="K140" s="2"/>
      <c r="L140" s="2">
        <f t="shared" si="39"/>
        <v>0</v>
      </c>
      <c r="M140" s="2"/>
      <c r="N140" s="19">
        <f t="shared" si="40"/>
        <v>0</v>
      </c>
      <c r="O140" s="10"/>
      <c r="P140" s="2"/>
      <c r="Q140" s="2"/>
      <c r="R140" s="19">
        <f t="shared" si="41"/>
        <v>0</v>
      </c>
      <c r="S140" s="2"/>
      <c r="T140" s="2">
        <v>2008.03</v>
      </c>
      <c r="U140" s="2"/>
      <c r="V140" s="19">
        <f t="shared" si="42"/>
        <v>2.224531453735142E-4</v>
      </c>
      <c r="W140" s="2"/>
      <c r="X140" s="2">
        <f t="shared" si="43"/>
        <v>-2008.03</v>
      </c>
      <c r="Y140" s="2"/>
      <c r="Z140" s="19">
        <f t="shared" si="44"/>
        <v>-1</v>
      </c>
    </row>
    <row r="141" spans="1:26" s="23" customFormat="1" hidden="1" outlineLevel="1" x14ac:dyDescent="0.25">
      <c r="A141" s="44"/>
      <c r="B141" s="10" t="str">
        <f>CONCATENATE("          ", "5082", " - ", "PURCHASES @ COST-COMPUTER HARD")</f>
        <v xml:space="preserve">          5082 - PURCHASES @ COST-COMPUTER HARD</v>
      </c>
      <c r="C141" s="10"/>
      <c r="D141" s="2"/>
      <c r="E141" s="2"/>
      <c r="F141" s="19">
        <f t="shared" si="37"/>
        <v>0</v>
      </c>
      <c r="G141" s="2"/>
      <c r="H141" s="2"/>
      <c r="I141" s="2"/>
      <c r="J141" s="19">
        <f t="shared" si="38"/>
        <v>0</v>
      </c>
      <c r="K141" s="2"/>
      <c r="L141" s="2">
        <f t="shared" si="39"/>
        <v>0</v>
      </c>
      <c r="M141" s="2"/>
      <c r="N141" s="19">
        <f t="shared" si="40"/>
        <v>0</v>
      </c>
      <c r="O141" s="10"/>
      <c r="P141" s="2"/>
      <c r="Q141" s="2"/>
      <c r="R141" s="19">
        <f t="shared" si="41"/>
        <v>0</v>
      </c>
      <c r="S141" s="2"/>
      <c r="T141" s="2">
        <v>349.6</v>
      </c>
      <c r="U141" s="2"/>
      <c r="V141" s="19">
        <f t="shared" si="42"/>
        <v>3.872931162511545E-5</v>
      </c>
      <c r="W141" s="2"/>
      <c r="X141" s="2">
        <f t="shared" si="43"/>
        <v>-349.6</v>
      </c>
      <c r="Y141" s="2"/>
      <c r="Z141" s="19">
        <f t="shared" si="44"/>
        <v>-1</v>
      </c>
    </row>
    <row r="142" spans="1:26" s="23" customFormat="1" hidden="1" outlineLevel="1" x14ac:dyDescent="0.25">
      <c r="A142" s="44"/>
      <c r="B142" s="10" t="str">
        <f>CONCATENATE("          ", "5083", " - ", "PURCHASES @ COST-COMPUTER EQUI")</f>
        <v xml:space="preserve">          5083 - PURCHASES @ COST-COMPUTER EQUI</v>
      </c>
      <c r="C142" s="10"/>
      <c r="D142" s="2"/>
      <c r="E142" s="2"/>
      <c r="F142" s="19">
        <f t="shared" si="37"/>
        <v>0</v>
      </c>
      <c r="G142" s="2"/>
      <c r="H142" s="2"/>
      <c r="I142" s="2"/>
      <c r="J142" s="19">
        <f t="shared" si="38"/>
        <v>0</v>
      </c>
      <c r="K142" s="2"/>
      <c r="L142" s="2">
        <f t="shared" si="39"/>
        <v>0</v>
      </c>
      <c r="M142" s="2"/>
      <c r="N142" s="19">
        <f t="shared" si="40"/>
        <v>0</v>
      </c>
      <c r="O142" s="10"/>
      <c r="P142" s="2"/>
      <c r="Q142" s="2"/>
      <c r="R142" s="19">
        <f t="shared" si="41"/>
        <v>0</v>
      </c>
      <c r="S142" s="2"/>
      <c r="T142" s="2">
        <v>395.06</v>
      </c>
      <c r="U142" s="2"/>
      <c r="V142" s="19">
        <f t="shared" si="42"/>
        <v>4.3765451517786347E-5</v>
      </c>
      <c r="W142" s="2"/>
      <c r="X142" s="2">
        <f t="shared" si="43"/>
        <v>-395.06</v>
      </c>
      <c r="Y142" s="2"/>
      <c r="Z142" s="19">
        <f t="shared" si="44"/>
        <v>-1</v>
      </c>
    </row>
    <row r="143" spans="1:26" s="23" customFormat="1" hidden="1" outlineLevel="1" x14ac:dyDescent="0.25">
      <c r="A143" s="44"/>
      <c r="B143" s="10" t="str">
        <f>CONCATENATE("          ", "5086", " - ", "PURCHASES @ COST-COMPUTER SUPP")</f>
        <v xml:space="preserve">          5086 - PURCHASES @ COST-COMPUTER SUPP</v>
      </c>
      <c r="C143" s="10"/>
      <c r="D143" s="2"/>
      <c r="E143" s="2"/>
      <c r="F143" s="19">
        <f t="shared" si="37"/>
        <v>0</v>
      </c>
      <c r="G143" s="2"/>
      <c r="H143" s="2"/>
      <c r="I143" s="2"/>
      <c r="J143" s="19">
        <f t="shared" si="38"/>
        <v>0</v>
      </c>
      <c r="K143" s="2"/>
      <c r="L143" s="2">
        <f t="shared" si="39"/>
        <v>0</v>
      </c>
      <c r="M143" s="2"/>
      <c r="N143" s="19">
        <f t="shared" si="40"/>
        <v>0</v>
      </c>
      <c r="O143" s="10"/>
      <c r="P143" s="2">
        <v>13.21</v>
      </c>
      <c r="Q143" s="2"/>
      <c r="R143" s="19">
        <f t="shared" si="41"/>
        <v>2.5357998113011729E-6</v>
      </c>
      <c r="S143" s="2"/>
      <c r="T143" s="2">
        <v>426.22</v>
      </c>
      <c r="U143" s="2"/>
      <c r="V143" s="19">
        <f t="shared" si="42"/>
        <v>4.7217411901764032E-5</v>
      </c>
      <c r="W143" s="2"/>
      <c r="X143" s="2">
        <f t="shared" si="43"/>
        <v>-413.01000000000005</v>
      </c>
      <c r="Y143" s="2"/>
      <c r="Z143" s="19">
        <f t="shared" si="44"/>
        <v>-0.96900661630144058</v>
      </c>
    </row>
    <row r="144" spans="1:26" s="23" customFormat="1" hidden="1" outlineLevel="1" x14ac:dyDescent="0.25">
      <c r="A144" s="44"/>
      <c r="B144" s="10" t="str">
        <f>CONCATENATE("          ", "5092", " - ", "PURCHASES @ COST-GRAD MERCH")</f>
        <v xml:space="preserve">          5092 - PURCHASES @ COST-GRAD MERCH</v>
      </c>
      <c r="C144" s="10"/>
      <c r="D144" s="2"/>
      <c r="E144" s="2"/>
      <c r="F144" s="19">
        <f t="shared" si="37"/>
        <v>0</v>
      </c>
      <c r="G144" s="2"/>
      <c r="H144" s="2">
        <v>-3999.6</v>
      </c>
      <c r="I144" s="2"/>
      <c r="J144" s="19">
        <f t="shared" si="38"/>
        <v>-1.5171249518691395E-2</v>
      </c>
      <c r="K144" s="2"/>
      <c r="L144" s="2">
        <f t="shared" si="39"/>
        <v>3999.6</v>
      </c>
      <c r="M144" s="2"/>
      <c r="N144" s="19">
        <f t="shared" si="40"/>
        <v>-1</v>
      </c>
      <c r="O144" s="10"/>
      <c r="P144" s="2">
        <v>0</v>
      </c>
      <c r="Q144" s="2"/>
      <c r="R144" s="19">
        <f t="shared" si="41"/>
        <v>0</v>
      </c>
      <c r="S144" s="2"/>
      <c r="T144" s="2">
        <v>4485.88</v>
      </c>
      <c r="U144" s="2"/>
      <c r="V144" s="19">
        <f t="shared" si="42"/>
        <v>4.9695378842354939E-4</v>
      </c>
      <c r="W144" s="2"/>
      <c r="X144" s="2">
        <f t="shared" si="43"/>
        <v>-4485.88</v>
      </c>
      <c r="Y144" s="2"/>
      <c r="Z144" s="19">
        <f t="shared" si="44"/>
        <v>-1</v>
      </c>
    </row>
    <row r="145" spans="1:26" s="23" customFormat="1" hidden="1" outlineLevel="1" x14ac:dyDescent="0.25">
      <c r="A145" s="44"/>
      <c r="B145" s="10" t="str">
        <f>CONCATENATE("          ", "5095", " - ", "PURCHASES @ COST-CUSTOMER SERV")</f>
        <v xml:space="preserve">          5095 - PURCHASES @ COST-CUSTOMER SERV</v>
      </c>
      <c r="C145" s="10"/>
      <c r="D145" s="2"/>
      <c r="E145" s="2"/>
      <c r="F145" s="19">
        <f t="shared" si="37"/>
        <v>0</v>
      </c>
      <c r="G145" s="2"/>
      <c r="H145" s="2"/>
      <c r="I145" s="2"/>
      <c r="J145" s="19">
        <f t="shared" si="38"/>
        <v>0</v>
      </c>
      <c r="K145" s="2"/>
      <c r="L145" s="2">
        <f t="shared" si="39"/>
        <v>0</v>
      </c>
      <c r="M145" s="2"/>
      <c r="N145" s="19">
        <f t="shared" si="40"/>
        <v>0</v>
      </c>
      <c r="O145" s="10"/>
      <c r="P145" s="2"/>
      <c r="Q145" s="2"/>
      <c r="R145" s="19">
        <f t="shared" si="41"/>
        <v>0</v>
      </c>
      <c r="S145" s="2"/>
      <c r="T145" s="2">
        <v>0</v>
      </c>
      <c r="U145" s="2"/>
      <c r="V145" s="19">
        <f t="shared" si="42"/>
        <v>0</v>
      </c>
      <c r="W145" s="2"/>
      <c r="X145" s="2">
        <f t="shared" si="43"/>
        <v>0</v>
      </c>
      <c r="Y145" s="2"/>
      <c r="Z145" s="19">
        <f t="shared" si="44"/>
        <v>0</v>
      </c>
    </row>
    <row r="146" spans="1:26" s="23" customFormat="1" hidden="1" outlineLevel="1" x14ac:dyDescent="0.25">
      <c r="A146" s="44"/>
      <c r="B146" s="10" t="str">
        <f>CONCATENATE("          ", "5200", " - ", "PURCHASES OFFSET")</f>
        <v xml:space="preserve">          5200 - PURCHASES OFFSET</v>
      </c>
      <c r="C146" s="10"/>
      <c r="D146" s="2">
        <v>-162582.03</v>
      </c>
      <c r="E146" s="2"/>
      <c r="F146" s="19">
        <f t="shared" si="37"/>
        <v>-0.32082500447843054</v>
      </c>
      <c r="G146" s="2"/>
      <c r="H146" s="2">
        <v>-55155</v>
      </c>
      <c r="I146" s="2"/>
      <c r="J146" s="19">
        <f t="shared" si="38"/>
        <v>-0.20921348814967095</v>
      </c>
      <c r="K146" s="2"/>
      <c r="L146" s="2">
        <f t="shared" si="39"/>
        <v>-107427.03</v>
      </c>
      <c r="M146" s="2"/>
      <c r="N146" s="19">
        <f t="shared" si="40"/>
        <v>1.9477296709273864</v>
      </c>
      <c r="O146" s="10"/>
      <c r="P146" s="2">
        <v>-1847967.16</v>
      </c>
      <c r="Q146" s="2"/>
      <c r="R146" s="19">
        <f t="shared" si="41"/>
        <v>-0.35473692472511464</v>
      </c>
      <c r="S146" s="2"/>
      <c r="T146" s="2">
        <v>-3473326</v>
      </c>
      <c r="U146" s="2"/>
      <c r="V146" s="19">
        <f t="shared" si="42"/>
        <v>-0.3847812500847132</v>
      </c>
      <c r="W146" s="2"/>
      <c r="X146" s="2">
        <f t="shared" si="43"/>
        <v>1625358.84</v>
      </c>
      <c r="Y146" s="2"/>
      <c r="Z146" s="19">
        <f t="shared" si="44"/>
        <v>-0.46795458877168455</v>
      </c>
    </row>
    <row r="147" spans="1:26" s="23" customFormat="1" hidden="1" outlineLevel="1" x14ac:dyDescent="0.25">
      <c r="A147" s="44"/>
      <c r="B147" s="10" t="str">
        <f>CONCATENATE("          ", "5300", " - ", "COG$ OFFSET")</f>
        <v xml:space="preserve">          5300 - COG$ OFFSET</v>
      </c>
      <c r="C147" s="10"/>
      <c r="D147" s="2">
        <v>241236</v>
      </c>
      <c r="E147" s="2"/>
      <c r="F147" s="19">
        <f t="shared" si="37"/>
        <v>0.47603379525005729</v>
      </c>
      <c r="G147" s="2"/>
      <c r="H147" s="2">
        <v>148333</v>
      </c>
      <c r="I147" s="2"/>
      <c r="J147" s="19">
        <f t="shared" si="38"/>
        <v>0.56265550426443911</v>
      </c>
      <c r="K147" s="2"/>
      <c r="L147" s="2">
        <f t="shared" si="39"/>
        <v>92903</v>
      </c>
      <c r="M147" s="2"/>
      <c r="N147" s="19">
        <f t="shared" si="40"/>
        <v>0.62631376699722918</v>
      </c>
      <c r="O147" s="10"/>
      <c r="P147" s="2">
        <v>2641632</v>
      </c>
      <c r="Q147" s="2"/>
      <c r="R147" s="19">
        <f t="shared" si="41"/>
        <v>0.50708932075148672</v>
      </c>
      <c r="S147" s="2"/>
      <c r="T147" s="2">
        <v>4035934.47</v>
      </c>
      <c r="U147" s="2"/>
      <c r="V147" s="19">
        <f t="shared" si="42"/>
        <v>0.44710801998619892</v>
      </c>
      <c r="W147" s="2"/>
      <c r="X147" s="2">
        <f t="shared" si="43"/>
        <v>-1394302.4700000002</v>
      </c>
      <c r="Y147" s="2"/>
      <c r="Z147" s="19">
        <f t="shared" si="44"/>
        <v>-0.34547202893509815</v>
      </c>
    </row>
    <row r="148" spans="1:26" s="23" customFormat="1" hidden="1" outlineLevel="1" x14ac:dyDescent="0.25">
      <c r="A148" s="44"/>
      <c r="B148" s="10" t="str">
        <f>CONCATENATE("          ", "5500", " - ", "FREIGHT-IN")</f>
        <v xml:space="preserve">          5500 - FREIGHT-IN</v>
      </c>
      <c r="C148" s="10"/>
      <c r="D148" s="2">
        <v>0</v>
      </c>
      <c r="E148" s="2"/>
      <c r="F148" s="19">
        <f t="shared" si="37"/>
        <v>0</v>
      </c>
      <c r="G148" s="2"/>
      <c r="H148" s="2"/>
      <c r="I148" s="2"/>
      <c r="J148" s="19">
        <f t="shared" si="38"/>
        <v>0</v>
      </c>
      <c r="K148" s="2"/>
      <c r="L148" s="2">
        <f t="shared" si="39"/>
        <v>0</v>
      </c>
      <c r="M148" s="2"/>
      <c r="N148" s="19">
        <f t="shared" si="40"/>
        <v>0</v>
      </c>
      <c r="O148" s="10"/>
      <c r="P148" s="2">
        <v>0</v>
      </c>
      <c r="Q148" s="2"/>
      <c r="R148" s="19">
        <f t="shared" si="41"/>
        <v>0</v>
      </c>
      <c r="S148" s="2"/>
      <c r="T148" s="2">
        <v>156.47999999999999</v>
      </c>
      <c r="U148" s="2"/>
      <c r="V148" s="19">
        <f t="shared" si="42"/>
        <v>1.7335133532889199E-5</v>
      </c>
      <c r="W148" s="2"/>
      <c r="X148" s="2">
        <f t="shared" si="43"/>
        <v>-156.47999999999999</v>
      </c>
      <c r="Y148" s="2"/>
      <c r="Z148" s="19">
        <f t="shared" si="44"/>
        <v>-1</v>
      </c>
    </row>
    <row r="149" spans="1:26" s="23" customFormat="1" hidden="1" outlineLevel="1" x14ac:dyDescent="0.25">
      <c r="A149" s="44"/>
      <c r="B149" s="10" t="str">
        <f>CONCATENATE("          ", "5501", " - ", "FREIGHT-IN-NEW TEXT")</f>
        <v xml:space="preserve">          5501 - FREIGHT-IN-NEW TEXT</v>
      </c>
      <c r="C149" s="10"/>
      <c r="D149" s="2">
        <v>1522.41</v>
      </c>
      <c r="E149" s="2"/>
      <c r="F149" s="19">
        <f t="shared" si="37"/>
        <v>3.0041893010439558E-3</v>
      </c>
      <c r="G149" s="2"/>
      <c r="H149" s="2">
        <v>-21.22</v>
      </c>
      <c r="I149" s="2"/>
      <c r="J149" s="19">
        <f t="shared" si="38"/>
        <v>-8.0491527849442797E-5</v>
      </c>
      <c r="K149" s="2"/>
      <c r="L149" s="2">
        <f t="shared" si="39"/>
        <v>1543.63</v>
      </c>
      <c r="M149" s="2"/>
      <c r="N149" s="19">
        <f t="shared" si="40"/>
        <v>-72.744109330819995</v>
      </c>
      <c r="O149" s="10"/>
      <c r="P149" s="2">
        <v>51836.14</v>
      </c>
      <c r="Q149" s="2"/>
      <c r="R149" s="19">
        <f t="shared" si="41"/>
        <v>9.9504976556079629E-3</v>
      </c>
      <c r="S149" s="2"/>
      <c r="T149" s="2">
        <v>69747.73</v>
      </c>
      <c r="U149" s="2"/>
      <c r="V149" s="19">
        <f t="shared" si="42"/>
        <v>7.7267779471236076E-3</v>
      </c>
      <c r="W149" s="2"/>
      <c r="X149" s="2">
        <f t="shared" si="43"/>
        <v>-17911.589999999997</v>
      </c>
      <c r="Y149" s="2"/>
      <c r="Z149" s="19">
        <f t="shared" si="44"/>
        <v>-0.25680534692670282</v>
      </c>
    </row>
    <row r="150" spans="1:26" s="23" customFormat="1" hidden="1" outlineLevel="1" x14ac:dyDescent="0.25">
      <c r="A150" s="44"/>
      <c r="B150" s="10" t="str">
        <f>CONCATENATE("          ", "5502", " - ", "FREIGHT-IN-USED TEXT")</f>
        <v xml:space="preserve">          5502 - FREIGHT-IN-USED TEXT</v>
      </c>
      <c r="C150" s="10"/>
      <c r="D150" s="2">
        <v>133.97</v>
      </c>
      <c r="E150" s="2"/>
      <c r="F150" s="19">
        <f t="shared" si="37"/>
        <v>2.643645540037564E-4</v>
      </c>
      <c r="G150" s="2"/>
      <c r="H150" s="2">
        <v>379.42</v>
      </c>
      <c r="I150" s="2"/>
      <c r="J150" s="19">
        <f t="shared" si="38"/>
        <v>1.4392127943749099E-3</v>
      </c>
      <c r="K150" s="2"/>
      <c r="L150" s="2">
        <f t="shared" si="39"/>
        <v>-245.45000000000002</v>
      </c>
      <c r="M150" s="2"/>
      <c r="N150" s="19">
        <f t="shared" si="40"/>
        <v>-0.64690843919666863</v>
      </c>
      <c r="O150" s="10"/>
      <c r="P150" s="2">
        <v>17992.87</v>
      </c>
      <c r="Q150" s="2"/>
      <c r="R150" s="19">
        <f t="shared" si="41"/>
        <v>3.453922509520555E-3</v>
      </c>
      <c r="S150" s="2"/>
      <c r="T150" s="2">
        <v>15680.76</v>
      </c>
      <c r="U150" s="2"/>
      <c r="V150" s="19">
        <f t="shared" si="42"/>
        <v>1.7371425645270175E-3</v>
      </c>
      <c r="W150" s="2"/>
      <c r="X150" s="2">
        <f t="shared" si="43"/>
        <v>2312.1099999999988</v>
      </c>
      <c r="Y150" s="2"/>
      <c r="Z150" s="19">
        <f t="shared" si="44"/>
        <v>0.14744884814256443</v>
      </c>
    </row>
    <row r="151" spans="1:26" s="23" customFormat="1" hidden="1" outlineLevel="1" x14ac:dyDescent="0.25">
      <c r="A151" s="44"/>
      <c r="B151" s="10" t="str">
        <f>CONCATENATE("          ", "5504", " - ", "FREIGHT-IN-DIGITAL TEXT")</f>
        <v xml:space="preserve">          5504 - FREIGHT-IN-DIGITAL TEXT</v>
      </c>
      <c r="C151" s="10"/>
      <c r="D151" s="2"/>
      <c r="E151" s="2"/>
      <c r="F151" s="19">
        <f t="shared" si="37"/>
        <v>0</v>
      </c>
      <c r="G151" s="2"/>
      <c r="H151" s="2"/>
      <c r="I151" s="2"/>
      <c r="J151" s="19">
        <f t="shared" si="38"/>
        <v>0</v>
      </c>
      <c r="K151" s="2"/>
      <c r="L151" s="2">
        <f t="shared" si="39"/>
        <v>0</v>
      </c>
      <c r="M151" s="2"/>
      <c r="N151" s="19">
        <f t="shared" si="40"/>
        <v>0</v>
      </c>
      <c r="O151" s="10"/>
      <c r="P151" s="2">
        <v>28.92</v>
      </c>
      <c r="Q151" s="2"/>
      <c r="R151" s="19">
        <f t="shared" si="41"/>
        <v>5.5515011765957549E-6</v>
      </c>
      <c r="S151" s="2"/>
      <c r="T151" s="2">
        <v>118.75</v>
      </c>
      <c r="U151" s="2"/>
      <c r="V151" s="19">
        <f t="shared" si="42"/>
        <v>1.3155336829183235E-5</v>
      </c>
      <c r="W151" s="2"/>
      <c r="X151" s="2">
        <f t="shared" si="43"/>
        <v>-89.83</v>
      </c>
      <c r="Y151" s="2"/>
      <c r="Z151" s="19">
        <f t="shared" si="44"/>
        <v>-0.75646315789473684</v>
      </c>
    </row>
    <row r="152" spans="1:26" s="23" customFormat="1" hidden="1" outlineLevel="1" x14ac:dyDescent="0.25">
      <c r="A152" s="44"/>
      <c r="B152" s="10" t="str">
        <f>CONCATENATE("          ", "5513", " - ", "FREIGHT-IN-TRADE BOOKS")</f>
        <v xml:space="preserve">          5513 - FREIGHT-IN-TRADE BOOKS</v>
      </c>
      <c r="C152" s="10"/>
      <c r="D152" s="2"/>
      <c r="E152" s="2"/>
      <c r="F152" s="19">
        <f t="shared" si="37"/>
        <v>0</v>
      </c>
      <c r="G152" s="2"/>
      <c r="H152" s="2"/>
      <c r="I152" s="2"/>
      <c r="J152" s="19">
        <f t="shared" si="38"/>
        <v>0</v>
      </c>
      <c r="K152" s="2"/>
      <c r="L152" s="2">
        <f t="shared" si="39"/>
        <v>0</v>
      </c>
      <c r="M152" s="2"/>
      <c r="N152" s="19">
        <f t="shared" si="40"/>
        <v>0</v>
      </c>
      <c r="O152" s="10"/>
      <c r="P152" s="2">
        <v>85.28</v>
      </c>
      <c r="Q152" s="2"/>
      <c r="R152" s="19">
        <f t="shared" si="41"/>
        <v>1.6370401809823167E-5</v>
      </c>
      <c r="S152" s="2"/>
      <c r="T152" s="2">
        <v>30.24</v>
      </c>
      <c r="U152" s="2"/>
      <c r="V152" s="19">
        <f t="shared" si="42"/>
        <v>3.3500411428589558E-6</v>
      </c>
      <c r="W152" s="2"/>
      <c r="X152" s="2">
        <f t="shared" si="43"/>
        <v>55.040000000000006</v>
      </c>
      <c r="Y152" s="2"/>
      <c r="Z152" s="19">
        <f t="shared" si="44"/>
        <v>1.8201058201058204</v>
      </c>
    </row>
    <row r="153" spans="1:26" s="23" customFormat="1" hidden="1" outlineLevel="1" x14ac:dyDescent="0.25">
      <c r="A153" s="44"/>
      <c r="B153" s="10" t="str">
        <f>CONCATENATE("          ", "5518", " - ", "FREIGHT-IN-STUDY GUIDES")</f>
        <v xml:space="preserve">          5518 - FREIGHT-IN-STUDY GUIDES</v>
      </c>
      <c r="C153" s="10"/>
      <c r="D153" s="2"/>
      <c r="E153" s="2"/>
      <c r="F153" s="19">
        <f t="shared" si="37"/>
        <v>0</v>
      </c>
      <c r="G153" s="2"/>
      <c r="H153" s="2"/>
      <c r="I153" s="2"/>
      <c r="J153" s="19">
        <f t="shared" si="38"/>
        <v>0</v>
      </c>
      <c r="K153" s="2"/>
      <c r="L153" s="2">
        <f t="shared" si="39"/>
        <v>0</v>
      </c>
      <c r="M153" s="2"/>
      <c r="N153" s="19">
        <f t="shared" si="40"/>
        <v>0</v>
      </c>
      <c r="O153" s="10"/>
      <c r="P153" s="2"/>
      <c r="Q153" s="2"/>
      <c r="R153" s="19">
        <f t="shared" si="41"/>
        <v>0</v>
      </c>
      <c r="S153" s="2"/>
      <c r="T153" s="2">
        <v>21.13</v>
      </c>
      <c r="U153" s="2"/>
      <c r="V153" s="19">
        <f t="shared" si="42"/>
        <v>2.3408190922159306E-6</v>
      </c>
      <c r="W153" s="2"/>
      <c r="X153" s="2">
        <f t="shared" si="43"/>
        <v>-21.13</v>
      </c>
      <c r="Y153" s="2"/>
      <c r="Z153" s="19">
        <f t="shared" si="44"/>
        <v>-1</v>
      </c>
    </row>
    <row r="154" spans="1:26" s="23" customFormat="1" hidden="1" outlineLevel="1" x14ac:dyDescent="0.25">
      <c r="A154" s="44"/>
      <c r="B154" s="10" t="str">
        <f>CONCATENATE("          ", "5525", " - ", "FREIGHT-IN-TEST FORMS")</f>
        <v xml:space="preserve">          5525 - FREIGHT-IN-TEST FORMS</v>
      </c>
      <c r="C154" s="10"/>
      <c r="D154" s="2"/>
      <c r="E154" s="2"/>
      <c r="F154" s="19">
        <f t="shared" si="37"/>
        <v>0</v>
      </c>
      <c r="G154" s="2"/>
      <c r="H154" s="2">
        <v>377.1</v>
      </c>
      <c r="I154" s="2"/>
      <c r="J154" s="19">
        <f t="shared" si="38"/>
        <v>1.4304125896335948E-3</v>
      </c>
      <c r="K154" s="2"/>
      <c r="L154" s="2">
        <f t="shared" si="39"/>
        <v>-377.1</v>
      </c>
      <c r="M154" s="2"/>
      <c r="N154" s="19">
        <f t="shared" si="40"/>
        <v>-1</v>
      </c>
      <c r="O154" s="10"/>
      <c r="P154" s="2">
        <v>48.14</v>
      </c>
      <c r="Q154" s="2"/>
      <c r="R154" s="19">
        <f t="shared" si="41"/>
        <v>9.2409843236970828E-6</v>
      </c>
      <c r="S154" s="2"/>
      <c r="T154" s="2">
        <v>1614.32</v>
      </c>
      <c r="U154" s="2"/>
      <c r="V154" s="19">
        <f t="shared" si="42"/>
        <v>1.7883724926389121E-4</v>
      </c>
      <c r="W154" s="2"/>
      <c r="X154" s="2">
        <f t="shared" si="43"/>
        <v>-1566.1799999999998</v>
      </c>
      <c r="Y154" s="2"/>
      <c r="Z154" s="19">
        <f t="shared" si="44"/>
        <v>-0.9701793944199415</v>
      </c>
    </row>
    <row r="155" spans="1:26" s="23" customFormat="1" hidden="1" outlineLevel="1" x14ac:dyDescent="0.25">
      <c r="A155" s="44"/>
      <c r="B155" s="10" t="str">
        <f>CONCATENATE("          ", "5526", " - ", "FREIGHT-IN-WRITING INSTRUMENTS")</f>
        <v xml:space="preserve">          5526 - FREIGHT-IN-WRITING INSTRUMENTS</v>
      </c>
      <c r="C155" s="10"/>
      <c r="D155" s="2"/>
      <c r="E155" s="2"/>
      <c r="F155" s="19">
        <f t="shared" si="37"/>
        <v>0</v>
      </c>
      <c r="G155" s="2"/>
      <c r="H155" s="2">
        <v>14.15</v>
      </c>
      <c r="I155" s="2"/>
      <c r="J155" s="19">
        <f t="shared" si="38"/>
        <v>5.3673662538624677E-5</v>
      </c>
      <c r="K155" s="2"/>
      <c r="L155" s="2">
        <f t="shared" si="39"/>
        <v>-14.15</v>
      </c>
      <c r="M155" s="2"/>
      <c r="N155" s="19">
        <f t="shared" si="40"/>
        <v>-1</v>
      </c>
      <c r="O155" s="10"/>
      <c r="P155" s="2">
        <v>0</v>
      </c>
      <c r="Q155" s="2"/>
      <c r="R155" s="19">
        <f t="shared" si="41"/>
        <v>0</v>
      </c>
      <c r="S155" s="2"/>
      <c r="T155" s="2">
        <v>274.5</v>
      </c>
      <c r="U155" s="2"/>
      <c r="V155" s="19">
        <f t="shared" si="42"/>
        <v>3.0409599659880406E-5</v>
      </c>
      <c r="W155" s="2"/>
      <c r="X155" s="2">
        <f t="shared" si="43"/>
        <v>-274.5</v>
      </c>
      <c r="Y155" s="2"/>
      <c r="Z155" s="19">
        <f t="shared" si="44"/>
        <v>-1</v>
      </c>
    </row>
    <row r="156" spans="1:26" s="23" customFormat="1" hidden="1" outlineLevel="1" x14ac:dyDescent="0.25">
      <c r="A156" s="44"/>
      <c r="B156" s="10" t="str">
        <f>CONCATENATE("          ", "5527", " - ", "FREIGHT-IN-SCHOOL SUPPLIES")</f>
        <v xml:space="preserve">          5527 - FREIGHT-IN-SCHOOL SUPPLIES</v>
      </c>
      <c r="C156" s="10"/>
      <c r="D156" s="2"/>
      <c r="E156" s="2"/>
      <c r="F156" s="19">
        <f t="shared" si="37"/>
        <v>0</v>
      </c>
      <c r="G156" s="2"/>
      <c r="H156" s="2">
        <v>-250.91</v>
      </c>
      <c r="I156" s="2"/>
      <c r="J156" s="19">
        <f t="shared" si="38"/>
        <v>-9.5174972915663015E-4</v>
      </c>
      <c r="K156" s="2"/>
      <c r="L156" s="2">
        <f t="shared" si="39"/>
        <v>250.91</v>
      </c>
      <c r="M156" s="2"/>
      <c r="N156" s="19">
        <f t="shared" si="40"/>
        <v>-1</v>
      </c>
      <c r="O156" s="10"/>
      <c r="P156" s="2">
        <v>218.62</v>
      </c>
      <c r="Q156" s="2"/>
      <c r="R156" s="19">
        <f t="shared" si="41"/>
        <v>4.196643109361563E-5</v>
      </c>
      <c r="S156" s="2"/>
      <c r="T156" s="2">
        <v>1808</v>
      </c>
      <c r="U156" s="2"/>
      <c r="V156" s="19">
        <f t="shared" si="42"/>
        <v>2.0029346515505929E-4</v>
      </c>
      <c r="W156" s="2"/>
      <c r="X156" s="2">
        <f t="shared" si="43"/>
        <v>-1589.38</v>
      </c>
      <c r="Y156" s="2"/>
      <c r="Z156" s="19">
        <f t="shared" si="44"/>
        <v>-0.87908185840707975</v>
      </c>
    </row>
    <row r="157" spans="1:26" s="23" customFormat="1" hidden="1" outlineLevel="1" x14ac:dyDescent="0.25">
      <c r="A157" s="44"/>
      <c r="B157" s="10" t="str">
        <f>CONCATENATE("          ", "5528", " - ", "FREIGHT-IN-ART/TECH")</f>
        <v xml:space="preserve">          5528 - FREIGHT-IN-ART/TECH</v>
      </c>
      <c r="C157" s="10"/>
      <c r="D157" s="2">
        <v>28.53</v>
      </c>
      <c r="E157" s="2"/>
      <c r="F157" s="19">
        <f t="shared" si="37"/>
        <v>5.6298579724768003E-5</v>
      </c>
      <c r="G157" s="2"/>
      <c r="H157" s="2">
        <v>-19.75</v>
      </c>
      <c r="I157" s="2"/>
      <c r="J157" s="19">
        <f t="shared" si="38"/>
        <v>-7.4915536052143982E-5</v>
      </c>
      <c r="K157" s="2"/>
      <c r="L157" s="2">
        <f t="shared" si="39"/>
        <v>48.28</v>
      </c>
      <c r="M157" s="2"/>
      <c r="N157" s="19">
        <f t="shared" si="40"/>
        <v>-2.4445569620253167</v>
      </c>
      <c r="O157" s="10"/>
      <c r="P157" s="2">
        <v>572.96</v>
      </c>
      <c r="Q157" s="2"/>
      <c r="R157" s="19">
        <f t="shared" si="41"/>
        <v>1.0998575775042545E-4</v>
      </c>
      <c r="S157" s="2"/>
      <c r="T157" s="2">
        <v>2824.37</v>
      </c>
      <c r="U157" s="2"/>
      <c r="V157" s="19">
        <f t="shared" si="42"/>
        <v>3.1288874678097055E-4</v>
      </c>
      <c r="W157" s="2"/>
      <c r="X157" s="2">
        <f t="shared" si="43"/>
        <v>-2251.41</v>
      </c>
      <c r="Y157" s="2"/>
      <c r="Z157" s="19">
        <f t="shared" si="44"/>
        <v>-0.7971370606542344</v>
      </c>
    </row>
    <row r="158" spans="1:26" s="23" customFormat="1" hidden="1" outlineLevel="1" x14ac:dyDescent="0.25">
      <c r="A158" s="44"/>
      <c r="B158" s="10" t="str">
        <f>CONCATENATE("          ", "5540", " - ", "FREIGHT-IN-LOGO CLOTHING")</f>
        <v xml:space="preserve">          5540 - FREIGHT-IN-LOGO CLOTHING</v>
      </c>
      <c r="C158" s="10"/>
      <c r="D158" s="2">
        <v>1283.68</v>
      </c>
      <c r="E158" s="2"/>
      <c r="F158" s="19">
        <f t="shared" si="37"/>
        <v>2.5331006246438904E-3</v>
      </c>
      <c r="G158" s="2"/>
      <c r="H158" s="2">
        <v>815.7</v>
      </c>
      <c r="I158" s="2"/>
      <c r="J158" s="19">
        <f t="shared" si="38"/>
        <v>3.0941064687460178E-3</v>
      </c>
      <c r="K158" s="2"/>
      <c r="L158" s="2">
        <f t="shared" si="39"/>
        <v>467.98</v>
      </c>
      <c r="M158" s="2"/>
      <c r="N158" s="19">
        <f t="shared" si="40"/>
        <v>0.57371582689714351</v>
      </c>
      <c r="O158" s="10"/>
      <c r="P158" s="2">
        <v>10499.7</v>
      </c>
      <c r="Q158" s="2"/>
      <c r="R158" s="19">
        <f t="shared" si="41"/>
        <v>2.0155289385858388E-3</v>
      </c>
      <c r="S158" s="2"/>
      <c r="T158" s="2">
        <v>32519</v>
      </c>
      <c r="U158" s="2"/>
      <c r="V158" s="19">
        <f t="shared" si="42"/>
        <v>3.6025128281954497E-3</v>
      </c>
      <c r="W158" s="2"/>
      <c r="X158" s="2">
        <f t="shared" si="43"/>
        <v>-22019.3</v>
      </c>
      <c r="Y158" s="2"/>
      <c r="Z158" s="19">
        <f t="shared" si="44"/>
        <v>-0.6771210676835081</v>
      </c>
    </row>
    <row r="159" spans="1:26" s="23" customFormat="1" hidden="1" outlineLevel="1" x14ac:dyDescent="0.25">
      <c r="A159" s="44"/>
      <c r="B159" s="10" t="str">
        <f>CONCATENATE("          ", "5541", " - ", "FREIGHT-IN-LOGO GIFTS")</f>
        <v xml:space="preserve">          5541 - FREIGHT-IN-LOGO GIFTS</v>
      </c>
      <c r="C159" s="10"/>
      <c r="D159" s="2">
        <v>961.21</v>
      </c>
      <c r="E159" s="2"/>
      <c r="F159" s="19">
        <f t="shared" si="37"/>
        <v>1.8967668355150456E-3</v>
      </c>
      <c r="G159" s="2"/>
      <c r="H159" s="2">
        <v>343.16</v>
      </c>
      <c r="I159" s="2"/>
      <c r="J159" s="19">
        <f t="shared" si="38"/>
        <v>1.3016716633748725E-3</v>
      </c>
      <c r="K159" s="2"/>
      <c r="L159" s="2">
        <f t="shared" si="39"/>
        <v>618.04999999999995</v>
      </c>
      <c r="M159" s="2"/>
      <c r="N159" s="19">
        <f t="shared" si="40"/>
        <v>1.8010549015036714</v>
      </c>
      <c r="O159" s="10"/>
      <c r="P159" s="2">
        <v>5977.2</v>
      </c>
      <c r="Q159" s="2"/>
      <c r="R159" s="19">
        <f t="shared" si="41"/>
        <v>1.1473870274117616E-3</v>
      </c>
      <c r="S159" s="2"/>
      <c r="T159" s="2">
        <v>5226.1000000000004</v>
      </c>
      <c r="U159" s="2"/>
      <c r="V159" s="19">
        <f t="shared" si="42"/>
        <v>5.7895668044626958E-4</v>
      </c>
      <c r="W159" s="2"/>
      <c r="X159" s="2">
        <f t="shared" si="43"/>
        <v>751.09999999999945</v>
      </c>
      <c r="Y159" s="2"/>
      <c r="Z159" s="19">
        <f t="shared" si="44"/>
        <v>0.14372093913243134</v>
      </c>
    </row>
    <row r="160" spans="1:26" s="23" customFormat="1" hidden="1" outlineLevel="1" x14ac:dyDescent="0.25">
      <c r="A160" s="44"/>
      <c r="B160" s="10" t="str">
        <f>CONCATENATE("          ", "5542", " - ", "FREIGHT-IN-EVERYDAY GIFTS")</f>
        <v xml:space="preserve">          5542 - FREIGHT-IN-EVERYDAY GIFTS</v>
      </c>
      <c r="C160" s="10"/>
      <c r="D160" s="2"/>
      <c r="E160" s="2"/>
      <c r="F160" s="19">
        <f t="shared" si="37"/>
        <v>0</v>
      </c>
      <c r="G160" s="2"/>
      <c r="H160" s="2">
        <v>384.47</v>
      </c>
      <c r="I160" s="2"/>
      <c r="J160" s="19">
        <f t="shared" si="38"/>
        <v>1.4583684124540657E-3</v>
      </c>
      <c r="K160" s="2"/>
      <c r="L160" s="2">
        <f t="shared" si="39"/>
        <v>-384.47</v>
      </c>
      <c r="M160" s="2"/>
      <c r="N160" s="19">
        <f t="shared" si="40"/>
        <v>-1</v>
      </c>
      <c r="O160" s="10"/>
      <c r="P160" s="2">
        <v>681.72</v>
      </c>
      <c r="Q160" s="2"/>
      <c r="R160" s="19">
        <f t="shared" si="41"/>
        <v>1.3086339495535471E-4</v>
      </c>
      <c r="S160" s="2"/>
      <c r="T160" s="2">
        <v>2223.5100000000002</v>
      </c>
      <c r="U160" s="2"/>
      <c r="V160" s="19">
        <f t="shared" si="42"/>
        <v>2.463244041520608E-4</v>
      </c>
      <c r="W160" s="2"/>
      <c r="X160" s="2">
        <f t="shared" si="43"/>
        <v>-1541.7900000000002</v>
      </c>
      <c r="Y160" s="2"/>
      <c r="Z160" s="19">
        <f t="shared" si="44"/>
        <v>-0.69340367257174473</v>
      </c>
    </row>
    <row r="161" spans="1:26" s="23" customFormat="1" hidden="1" outlineLevel="1" x14ac:dyDescent="0.25">
      <c r="A161" s="44"/>
      <c r="B161" s="10" t="str">
        <f>CONCATENATE("          ", "5543", " - ", "FREIGHT-IN-CARDS")</f>
        <v xml:space="preserve">          5543 - FREIGHT-IN-CARDS</v>
      </c>
      <c r="C161" s="10"/>
      <c r="D161" s="2"/>
      <c r="E161" s="2"/>
      <c r="F161" s="19">
        <f t="shared" si="37"/>
        <v>0</v>
      </c>
      <c r="G161" s="2"/>
      <c r="H161" s="2"/>
      <c r="I161" s="2"/>
      <c r="J161" s="19">
        <f t="shared" si="38"/>
        <v>0</v>
      </c>
      <c r="K161" s="2"/>
      <c r="L161" s="2">
        <f t="shared" si="39"/>
        <v>0</v>
      </c>
      <c r="M161" s="2"/>
      <c r="N161" s="19">
        <f t="shared" si="40"/>
        <v>0</v>
      </c>
      <c r="O161" s="10"/>
      <c r="P161" s="2">
        <v>9110.5300000000007</v>
      </c>
      <c r="Q161" s="2"/>
      <c r="R161" s="19">
        <f t="shared" si="41"/>
        <v>1.7488630018814291E-3</v>
      </c>
      <c r="S161" s="2"/>
      <c r="T161" s="2">
        <v>2926.76</v>
      </c>
      <c r="U161" s="2"/>
      <c r="V161" s="19">
        <f t="shared" si="42"/>
        <v>3.2423169362678174E-4</v>
      </c>
      <c r="W161" s="2"/>
      <c r="X161" s="2">
        <f t="shared" si="43"/>
        <v>6183.77</v>
      </c>
      <c r="Y161" s="2"/>
      <c r="Z161" s="19">
        <f t="shared" si="44"/>
        <v>2.112838087168063</v>
      </c>
    </row>
    <row r="162" spans="1:26" s="23" customFormat="1" hidden="1" outlineLevel="1" x14ac:dyDescent="0.25">
      <c r="A162" s="44"/>
      <c r="B162" s="10" t="str">
        <f>CONCATENATE("          ", "5544", " - ", "FREIGHT-IN-ACCESSORIES")</f>
        <v xml:space="preserve">          5544 - FREIGHT-IN-ACCESSORIES</v>
      </c>
      <c r="C162" s="10"/>
      <c r="D162" s="2"/>
      <c r="E162" s="2"/>
      <c r="F162" s="19">
        <f t="shared" si="37"/>
        <v>0</v>
      </c>
      <c r="G162" s="2"/>
      <c r="H162" s="2"/>
      <c r="I162" s="2"/>
      <c r="J162" s="19">
        <f t="shared" si="38"/>
        <v>0</v>
      </c>
      <c r="K162" s="2"/>
      <c r="L162" s="2">
        <f t="shared" si="39"/>
        <v>0</v>
      </c>
      <c r="M162" s="2"/>
      <c r="N162" s="19">
        <f t="shared" si="40"/>
        <v>0</v>
      </c>
      <c r="O162" s="10"/>
      <c r="P162" s="2"/>
      <c r="Q162" s="2"/>
      <c r="R162" s="19">
        <f t="shared" si="41"/>
        <v>0</v>
      </c>
      <c r="S162" s="2"/>
      <c r="T162" s="2">
        <v>483.44</v>
      </c>
      <c r="U162" s="2"/>
      <c r="V162" s="19">
        <f t="shared" si="42"/>
        <v>5.3556345572213416E-5</v>
      </c>
      <c r="W162" s="2"/>
      <c r="X162" s="2">
        <f t="shared" si="43"/>
        <v>-483.44</v>
      </c>
      <c r="Y162" s="2"/>
      <c r="Z162" s="19">
        <f t="shared" si="44"/>
        <v>-1</v>
      </c>
    </row>
    <row r="163" spans="1:26" s="23" customFormat="1" hidden="1" outlineLevel="1" x14ac:dyDescent="0.25">
      <c r="A163" s="44"/>
      <c r="B163" s="10" t="str">
        <f>CONCATENATE("          ", "5545", " - ", "FREIGHT-IN-SPECIAL ORDERS")</f>
        <v xml:space="preserve">          5545 - FREIGHT-IN-SPECIAL ORDERS</v>
      </c>
      <c r="C163" s="10"/>
      <c r="D163" s="2">
        <v>1033.9000000000001</v>
      </c>
      <c r="E163" s="2"/>
      <c r="F163" s="19">
        <f t="shared" si="37"/>
        <v>2.0402068551502854E-3</v>
      </c>
      <c r="G163" s="2"/>
      <c r="H163" s="2">
        <v>173.06</v>
      </c>
      <c r="I163" s="2"/>
      <c r="J163" s="19">
        <f t="shared" si="38"/>
        <v>6.5644975540172341E-4</v>
      </c>
      <c r="K163" s="2"/>
      <c r="L163" s="2">
        <f t="shared" si="39"/>
        <v>860.84000000000015</v>
      </c>
      <c r="M163" s="2"/>
      <c r="N163" s="19">
        <f t="shared" si="40"/>
        <v>4.974228591240033</v>
      </c>
      <c r="O163" s="10"/>
      <c r="P163" s="2">
        <v>2468.66</v>
      </c>
      <c r="Q163" s="2"/>
      <c r="R163" s="19">
        <f t="shared" si="41"/>
        <v>4.7388550811254754E-4</v>
      </c>
      <c r="S163" s="2"/>
      <c r="T163" s="2">
        <v>1065.32</v>
      </c>
      <c r="U163" s="2"/>
      <c r="V163" s="19">
        <f t="shared" si="42"/>
        <v>1.1801804994413038E-4</v>
      </c>
      <c r="W163" s="2"/>
      <c r="X163" s="2">
        <f t="shared" si="43"/>
        <v>1403.34</v>
      </c>
      <c r="Y163" s="2"/>
      <c r="Z163" s="19">
        <f t="shared" si="44"/>
        <v>1.3172943340967973</v>
      </c>
    </row>
    <row r="164" spans="1:26" s="23" customFormat="1" hidden="1" outlineLevel="1" x14ac:dyDescent="0.25">
      <c r="A164" s="44"/>
      <c r="B164" s="10" t="str">
        <f>CONCATENATE("          ", "5592", " - ", "FREIGHT-IN-GRAD MERCH")</f>
        <v xml:space="preserve">          5592 - FREIGHT-IN-GRAD MERCH</v>
      </c>
      <c r="C164" s="10"/>
      <c r="D164" s="2"/>
      <c r="E164" s="2"/>
      <c r="F164" s="19">
        <f t="shared" si="37"/>
        <v>0</v>
      </c>
      <c r="G164" s="2"/>
      <c r="H164" s="2">
        <v>41.32</v>
      </c>
      <c r="I164" s="2"/>
      <c r="J164" s="19">
        <f t="shared" si="38"/>
        <v>1.5673468099618173E-4</v>
      </c>
      <c r="K164" s="2"/>
      <c r="L164" s="2">
        <f t="shared" si="39"/>
        <v>-41.32</v>
      </c>
      <c r="M164" s="2"/>
      <c r="N164" s="19">
        <f t="shared" si="40"/>
        <v>-1</v>
      </c>
      <c r="O164" s="10"/>
      <c r="P164" s="2">
        <v>0</v>
      </c>
      <c r="Q164" s="2"/>
      <c r="R164" s="19">
        <f t="shared" si="41"/>
        <v>0</v>
      </c>
      <c r="S164" s="2"/>
      <c r="T164" s="2">
        <v>160.05000000000001</v>
      </c>
      <c r="U164" s="2"/>
      <c r="V164" s="19">
        <f t="shared" si="42"/>
        <v>1.7730624501143386E-5</v>
      </c>
      <c r="W164" s="2"/>
      <c r="X164" s="2">
        <f t="shared" si="43"/>
        <v>-160.05000000000001</v>
      </c>
      <c r="Y164" s="2"/>
      <c r="Z164" s="19">
        <f t="shared" si="44"/>
        <v>-1</v>
      </c>
    </row>
    <row r="165" spans="1:26" x14ac:dyDescent="0.25">
      <c r="A165" s="9"/>
      <c r="B165" s="11"/>
      <c r="C165" s="11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O165" s="11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4" customFormat="1" x14ac:dyDescent="0.25">
      <c r="A166" s="11"/>
      <c r="B166" s="28" t="s">
        <v>107</v>
      </c>
      <c r="C166" s="28"/>
      <c r="D166" s="20">
        <f>D12-D113</f>
        <v>258139.27000000019</v>
      </c>
      <c r="E166" s="14"/>
      <c r="F166" s="21">
        <f>IF(D$12=0,0,D166/D$12)</f>
        <v>0.50938921388673064</v>
      </c>
      <c r="G166" s="14"/>
      <c r="H166" s="20">
        <f>H12-H113</f>
        <v>107275.59999999983</v>
      </c>
      <c r="I166" s="14"/>
      <c r="J166" s="21">
        <f>IF(H$12=0,0,H166/H$12)</f>
        <v>0.40691691540837288</v>
      </c>
      <c r="K166" s="15"/>
      <c r="L166" s="20">
        <f>+D166-H166</f>
        <v>150863.67000000036</v>
      </c>
      <c r="M166" s="15"/>
      <c r="N166" s="21">
        <f>IF(H166=0,0,L166/H166)</f>
        <v>1.4063185850277287</v>
      </c>
      <c r="O166" s="29"/>
      <c r="P166" s="20">
        <f>P12-P113</f>
        <v>2016620.94</v>
      </c>
      <c r="Q166" s="14"/>
      <c r="R166" s="21">
        <f>IF(P$12=0,0,P166/P$12)</f>
        <v>0.38711180916865962</v>
      </c>
      <c r="S166" s="14"/>
      <c r="T166" s="20">
        <f>T12-T113</f>
        <v>3778046.2700000051</v>
      </c>
      <c r="U166" s="14"/>
      <c r="V166" s="21">
        <f>IF(T$12=0,0,T166/T$12)</f>
        <v>0.41853870516285824</v>
      </c>
      <c r="W166" s="15"/>
      <c r="X166" s="20">
        <f>+P166-T166</f>
        <v>-1761425.3300000052</v>
      </c>
      <c r="Y166" s="15"/>
      <c r="Z166" s="21">
        <f>IF(T166=0,0,X166/T166)</f>
        <v>-0.46622651077272348</v>
      </c>
    </row>
    <row r="167" spans="1:26" x14ac:dyDescent="0.25">
      <c r="A167" s="9"/>
      <c r="B167" s="11"/>
      <c r="C167" s="9"/>
      <c r="D167" s="1"/>
      <c r="E167" s="1"/>
      <c r="F167" s="5"/>
      <c r="G167" s="1"/>
      <c r="H167" s="1"/>
      <c r="I167" s="1"/>
      <c r="J167" s="5"/>
      <c r="K167" s="1"/>
      <c r="L167" s="1"/>
      <c r="M167" s="1"/>
      <c r="N167" s="5"/>
      <c r="O167" s="37"/>
      <c r="P167" s="1"/>
      <c r="Q167" s="1"/>
      <c r="R167" s="5"/>
      <c r="S167" s="1"/>
      <c r="T167" s="1"/>
      <c r="U167" s="1"/>
      <c r="V167" s="5"/>
      <c r="W167" s="1"/>
      <c r="X167" s="1"/>
      <c r="Y167" s="1"/>
      <c r="Z167" s="5"/>
    </row>
    <row r="168" spans="1:26" s="24" customFormat="1" x14ac:dyDescent="0.25">
      <c r="A168" s="11"/>
      <c r="B168" s="29" t="s">
        <v>294</v>
      </c>
      <c r="C168" s="11"/>
      <c r="D168" s="22">
        <f>SUM(OSRRefD22x_0)</f>
        <v>230734.18999999994</v>
      </c>
      <c r="E168" s="22"/>
      <c r="F168" s="32">
        <f t="shared" ref="F168:F179" si="45">IF(D$12=0,0,D168/D$12)</f>
        <v>0.45531045183823221</v>
      </c>
      <c r="G168" s="22"/>
      <c r="H168" s="22">
        <f>SUM(OSRRefH22x_0)</f>
        <v>246220.08</v>
      </c>
      <c r="I168" s="22"/>
      <c r="J168" s="32">
        <f t="shared" ref="J168:J179" si="46">IF(H$12=0,0,H168/H$12)</f>
        <v>0.9339599635443937</v>
      </c>
      <c r="K168" s="4"/>
      <c r="L168" s="22">
        <f t="shared" ref="L168:L179" si="47">+D168-H168</f>
        <v>-15485.890000000043</v>
      </c>
      <c r="M168" s="4"/>
      <c r="N168" s="32">
        <f t="shared" ref="N168:N179" si="48">IF(H168=0,0,L168/H168)</f>
        <v>-6.289450478612485E-2</v>
      </c>
      <c r="O168" s="11"/>
      <c r="P168" s="22">
        <f>SUM(OSRRefP22x_0)</f>
        <v>2869065.8400000012</v>
      </c>
      <c r="Q168" s="22"/>
      <c r="R168" s="32">
        <f t="shared" ref="R168:R179" si="49">IF(P$12=0,0,P168/P$12)</f>
        <v>0.55074766205016235</v>
      </c>
      <c r="S168" s="22"/>
      <c r="T168" s="22">
        <f>SUM(OSRRefT22x_0)</f>
        <v>3894900.24</v>
      </c>
      <c r="U168" s="22"/>
      <c r="V168" s="32">
        <f t="shared" ref="V168:V179" si="50">IF(T$12=0,0,T168/T$12)</f>
        <v>0.43148399640645579</v>
      </c>
      <c r="W168" s="4"/>
      <c r="X168" s="22">
        <f t="shared" ref="X168:X179" si="51">+P168-T168</f>
        <v>-1025834.399999999</v>
      </c>
      <c r="Y168" s="4"/>
      <c r="Z168" s="32">
        <f t="shared" ref="Z168:Z179" si="52">IF(T168=0,0,X168/T168)</f>
        <v>-0.26337886384478976</v>
      </c>
    </row>
    <row r="169" spans="1:26" s="26" customFormat="1" outlineLevel="1" collapsed="1" x14ac:dyDescent="0.25">
      <c r="A169" s="25"/>
      <c r="B169" s="12" t="str">
        <f>CONCATENATE("     ","*Benefits                                         ")</f>
        <v xml:space="preserve">     *Benefits                                         </v>
      </c>
      <c r="C169" s="12"/>
      <c r="D169" s="1">
        <f>SUM(OSRRefD22_0x_0)</f>
        <v>47641.08</v>
      </c>
      <c r="E169" s="1"/>
      <c r="F169" s="5">
        <f t="shared" si="45"/>
        <v>9.4010695427762025E-2</v>
      </c>
      <c r="G169" s="1"/>
      <c r="H169" s="1">
        <f>SUM(OSRRefH22_0x_0)</f>
        <v>34546.320000000007</v>
      </c>
      <c r="I169" s="1"/>
      <c r="J169" s="5">
        <f t="shared" si="46"/>
        <v>0.13104081424956471</v>
      </c>
      <c r="K169" s="1"/>
      <c r="L169" s="1">
        <f t="shared" si="47"/>
        <v>13094.759999999995</v>
      </c>
      <c r="M169" s="1"/>
      <c r="N169" s="5">
        <f t="shared" si="48"/>
        <v>0.37904934592164929</v>
      </c>
      <c r="O169" s="12"/>
      <c r="P169" s="1">
        <f>SUM(OSRRefP22_0x_0)</f>
        <v>511502.97000000003</v>
      </c>
      <c r="Q169" s="1"/>
      <c r="R169" s="5">
        <f t="shared" si="49"/>
        <v>9.8188428070097616E-2</v>
      </c>
      <c r="S169" s="1"/>
      <c r="T169" s="1">
        <f>SUM(OSRRefT22_0x_0)</f>
        <v>485164.55</v>
      </c>
      <c r="U169" s="1"/>
      <c r="V169" s="5">
        <f t="shared" si="50"/>
        <v>5.3747394297508307E-2</v>
      </c>
      <c r="W169" s="1"/>
      <c r="X169" s="1">
        <f t="shared" si="51"/>
        <v>26338.420000000042</v>
      </c>
      <c r="Y169" s="1"/>
      <c r="Z169" s="5">
        <f t="shared" si="52"/>
        <v>5.4287602010493229E-2</v>
      </c>
    </row>
    <row r="170" spans="1:26" s="23" customFormat="1" hidden="1" outlineLevel="2" x14ac:dyDescent="0.25">
      <c r="A170" s="27"/>
      <c r="B170" s="10" t="str">
        <f>CONCATENATE("          ", "6111", " - ", "F.I.C.A.")</f>
        <v xml:space="preserve">          6111 - F.I.C.A.</v>
      </c>
      <c r="C170" s="10"/>
      <c r="D170" s="6">
        <v>8259.76</v>
      </c>
      <c r="E170" s="2"/>
      <c r="F170" s="7">
        <f t="shared" si="45"/>
        <v>1.6299080156587795E-2</v>
      </c>
      <c r="G170" s="2"/>
      <c r="H170" s="6">
        <v>6049.72</v>
      </c>
      <c r="I170" s="2"/>
      <c r="J170" s="7">
        <f t="shared" si="46"/>
        <v>2.294774768432286E-2</v>
      </c>
      <c r="K170" s="2"/>
      <c r="L170" s="6">
        <f t="shared" si="47"/>
        <v>2210.04</v>
      </c>
      <c r="M170" s="2"/>
      <c r="N170" s="7">
        <f t="shared" si="48"/>
        <v>0.36531277480610669</v>
      </c>
      <c r="O170" s="10"/>
      <c r="P170" s="6">
        <v>97477.94</v>
      </c>
      <c r="Q170" s="2"/>
      <c r="R170" s="7">
        <f t="shared" si="49"/>
        <v>1.8711925954430511E-2</v>
      </c>
      <c r="S170" s="2"/>
      <c r="T170" s="6">
        <v>99844.84</v>
      </c>
      <c r="U170" s="2"/>
      <c r="V170" s="7">
        <f t="shared" si="50"/>
        <v>1.1060989480891853E-2</v>
      </c>
      <c r="W170" s="2"/>
      <c r="X170" s="6">
        <f t="shared" si="51"/>
        <v>-2366.8999999999942</v>
      </c>
      <c r="Y170" s="2"/>
      <c r="Z170" s="7">
        <f t="shared" si="52"/>
        <v>-2.37057818911823E-2</v>
      </c>
    </row>
    <row r="171" spans="1:26" s="23" customFormat="1" hidden="1" outlineLevel="2" x14ac:dyDescent="0.25">
      <c r="A171" s="27"/>
      <c r="B171" s="10" t="str">
        <f>CONCATENATE("          ", "6112", " - ", "COMPENSATION INSURANCE")</f>
        <v xml:space="preserve">          6112 - COMPENSATION INSURANCE</v>
      </c>
      <c r="C171" s="10"/>
      <c r="D171" s="6">
        <v>2713.69</v>
      </c>
      <c r="E171" s="2"/>
      <c r="F171" s="7">
        <f t="shared" si="45"/>
        <v>5.3549559345708268E-3</v>
      </c>
      <c r="G171" s="2"/>
      <c r="H171" s="6">
        <v>1933.73</v>
      </c>
      <c r="I171" s="2"/>
      <c r="J171" s="7">
        <f t="shared" si="46"/>
        <v>7.3350085838031591E-3</v>
      </c>
      <c r="K171" s="2"/>
      <c r="L171" s="6">
        <f t="shared" si="47"/>
        <v>779.96</v>
      </c>
      <c r="M171" s="2"/>
      <c r="N171" s="7">
        <f t="shared" si="48"/>
        <v>0.4033448309743346</v>
      </c>
      <c r="O171" s="10"/>
      <c r="P171" s="6">
        <v>24292.02</v>
      </c>
      <c r="Q171" s="2"/>
      <c r="R171" s="7">
        <f t="shared" si="49"/>
        <v>4.6631112590555879E-3</v>
      </c>
      <c r="S171" s="2"/>
      <c r="T171" s="6">
        <v>26308.79</v>
      </c>
      <c r="U171" s="2"/>
      <c r="V171" s="7">
        <f t="shared" si="50"/>
        <v>2.9145346864694536E-3</v>
      </c>
      <c r="W171" s="2"/>
      <c r="X171" s="6">
        <f t="shared" si="51"/>
        <v>-2016.7700000000004</v>
      </c>
      <c r="Y171" s="2"/>
      <c r="Z171" s="7">
        <f t="shared" si="52"/>
        <v>-7.6657649401587855E-2</v>
      </c>
    </row>
    <row r="172" spans="1:26" s="23" customFormat="1" hidden="1" outlineLevel="2" x14ac:dyDescent="0.25">
      <c r="A172" s="27"/>
      <c r="B172" s="10" t="str">
        <f>CONCATENATE("          ", "6113", " - ", "GROUP INSURANCE")</f>
        <v xml:space="preserve">          6113 - GROUP INSURANCE</v>
      </c>
      <c r="C172" s="10"/>
      <c r="D172" s="6">
        <v>18284.05</v>
      </c>
      <c r="E172" s="2"/>
      <c r="F172" s="7">
        <f t="shared" si="45"/>
        <v>3.6080127816917079E-2</v>
      </c>
      <c r="G172" s="2"/>
      <c r="H172" s="6">
        <v>13413.27</v>
      </c>
      <c r="I172" s="2"/>
      <c r="J172" s="7">
        <f t="shared" si="46"/>
        <v>5.087910441833627E-2</v>
      </c>
      <c r="K172" s="2"/>
      <c r="L172" s="6">
        <f t="shared" si="47"/>
        <v>4870.7799999999988</v>
      </c>
      <c r="M172" s="2"/>
      <c r="N172" s="7">
        <f t="shared" si="48"/>
        <v>0.36313143625678146</v>
      </c>
      <c r="O172" s="10"/>
      <c r="P172" s="6">
        <v>183154.19</v>
      </c>
      <c r="Q172" s="2"/>
      <c r="R172" s="7">
        <f t="shared" si="49"/>
        <v>3.5158392160561637E-2</v>
      </c>
      <c r="S172" s="2"/>
      <c r="T172" s="6">
        <v>190029.07</v>
      </c>
      <c r="U172" s="2"/>
      <c r="V172" s="7">
        <f t="shared" si="50"/>
        <v>2.1051759353148961E-2</v>
      </c>
      <c r="W172" s="2"/>
      <c r="X172" s="6">
        <f t="shared" si="51"/>
        <v>-6874.8800000000047</v>
      </c>
      <c r="Y172" s="2"/>
      <c r="Z172" s="7">
        <f t="shared" si="52"/>
        <v>-3.6178043706681325E-2</v>
      </c>
    </row>
    <row r="173" spans="1:26" s="23" customFormat="1" hidden="1" outlineLevel="2" x14ac:dyDescent="0.25">
      <c r="A173" s="27"/>
      <c r="B173" s="10" t="str">
        <f>CONCATENATE("          ", "6114", " - ", "STATE UNEMPLOYMENT INSURANCE")</f>
        <v xml:space="preserve">          6114 - STATE UNEMPLOYMENT INSURANCE</v>
      </c>
      <c r="C173" s="10"/>
      <c r="D173" s="6">
        <v>481.57</v>
      </c>
      <c r="E173" s="2"/>
      <c r="F173" s="7">
        <f t="shared" si="45"/>
        <v>9.5028766344397214E-4</v>
      </c>
      <c r="G173" s="2"/>
      <c r="H173" s="6">
        <v>338.46</v>
      </c>
      <c r="I173" s="2"/>
      <c r="J173" s="7">
        <f t="shared" si="46"/>
        <v>1.2838436623903114E-3</v>
      </c>
      <c r="K173" s="2"/>
      <c r="L173" s="6">
        <f t="shared" si="47"/>
        <v>143.11000000000001</v>
      </c>
      <c r="M173" s="2"/>
      <c r="N173" s="7">
        <f t="shared" si="48"/>
        <v>0.42282692194055432</v>
      </c>
      <c r="O173" s="10"/>
      <c r="P173" s="6">
        <v>4015</v>
      </c>
      <c r="Q173" s="2"/>
      <c r="R173" s="7">
        <f t="shared" si="49"/>
        <v>7.7072189571341483E-4</v>
      </c>
      <c r="S173" s="2"/>
      <c r="T173" s="6">
        <v>5103.99</v>
      </c>
      <c r="U173" s="2"/>
      <c r="V173" s="7">
        <f t="shared" si="50"/>
        <v>5.6542911682343525E-4</v>
      </c>
      <c r="W173" s="2"/>
      <c r="X173" s="6">
        <f t="shared" si="51"/>
        <v>-1088.9899999999998</v>
      </c>
      <c r="Y173" s="2"/>
      <c r="Z173" s="7">
        <f t="shared" si="52"/>
        <v>-0.21336052774398065</v>
      </c>
    </row>
    <row r="174" spans="1:26" s="23" customFormat="1" hidden="1" outlineLevel="2" x14ac:dyDescent="0.25">
      <c r="A174" s="27"/>
      <c r="B174" s="10" t="str">
        <f>CONCATENATE("          ", "6115", " - ", "P.E.R.S.")</f>
        <v xml:space="preserve">          6115 - P.E.R.S.</v>
      </c>
      <c r="C174" s="10"/>
      <c r="D174" s="6">
        <v>6355.39</v>
      </c>
      <c r="E174" s="2"/>
      <c r="F174" s="7">
        <f t="shared" si="45"/>
        <v>1.2541164759796471E-2</v>
      </c>
      <c r="G174" s="2"/>
      <c r="H174" s="6">
        <v>4664.0600000000004</v>
      </c>
      <c r="I174" s="2"/>
      <c r="J174" s="7">
        <f t="shared" si="46"/>
        <v>1.7691673674904439E-2</v>
      </c>
      <c r="K174" s="2"/>
      <c r="L174" s="6">
        <f t="shared" si="47"/>
        <v>1691.33</v>
      </c>
      <c r="M174" s="2"/>
      <c r="N174" s="7">
        <f t="shared" si="48"/>
        <v>0.36263041213020408</v>
      </c>
      <c r="O174" s="10"/>
      <c r="P174" s="6">
        <v>74700.44</v>
      </c>
      <c r="Q174" s="2"/>
      <c r="R174" s="7">
        <f t="shared" si="49"/>
        <v>1.4339542895996564E-2</v>
      </c>
      <c r="S174" s="2"/>
      <c r="T174" s="6">
        <v>74460.61</v>
      </c>
      <c r="U174" s="2"/>
      <c r="V174" s="7">
        <f t="shared" si="50"/>
        <v>8.2488792004753644E-3</v>
      </c>
      <c r="W174" s="2"/>
      <c r="X174" s="6">
        <f t="shared" si="51"/>
        <v>239.83000000000175</v>
      </c>
      <c r="Y174" s="2"/>
      <c r="Z174" s="7">
        <f t="shared" si="52"/>
        <v>3.2208975994153385E-3</v>
      </c>
    </row>
    <row r="175" spans="1:26" s="23" customFormat="1" hidden="1" outlineLevel="2" x14ac:dyDescent="0.25">
      <c r="A175" s="27"/>
      <c r="B175" s="10" t="str">
        <f>CONCATENATE("          ", "6116", " - ", "EDUCATIONAL BENEFITS")</f>
        <v xml:space="preserve">          6116 - EDUCATIONAL BENEFITS</v>
      </c>
      <c r="C175" s="10"/>
      <c r="D175" s="6"/>
      <c r="E175" s="2"/>
      <c r="F175" s="7">
        <f t="shared" si="45"/>
        <v>0</v>
      </c>
      <c r="G175" s="2"/>
      <c r="H175" s="6"/>
      <c r="I175" s="2"/>
      <c r="J175" s="7">
        <f t="shared" si="46"/>
        <v>0</v>
      </c>
      <c r="K175" s="2"/>
      <c r="L175" s="6">
        <f t="shared" si="47"/>
        <v>0</v>
      </c>
      <c r="M175" s="2"/>
      <c r="N175" s="7">
        <f t="shared" si="48"/>
        <v>0</v>
      </c>
      <c r="O175" s="10"/>
      <c r="P175" s="6">
        <v>0</v>
      </c>
      <c r="Q175" s="2"/>
      <c r="R175" s="7">
        <f t="shared" si="49"/>
        <v>0</v>
      </c>
      <c r="S175" s="2"/>
      <c r="T175" s="6"/>
      <c r="U175" s="2"/>
      <c r="V175" s="7">
        <f t="shared" si="50"/>
        <v>0</v>
      </c>
      <c r="W175" s="2"/>
      <c r="X175" s="6">
        <f t="shared" si="51"/>
        <v>0</v>
      </c>
      <c r="Y175" s="2"/>
      <c r="Z175" s="7">
        <f t="shared" si="52"/>
        <v>0</v>
      </c>
    </row>
    <row r="176" spans="1:26" s="23" customFormat="1" hidden="1" outlineLevel="2" x14ac:dyDescent="0.25">
      <c r="A176" s="27"/>
      <c r="B176" s="10" t="str">
        <f>CONCATENATE("          ", "6117", " - ", "RETIREMENT STAFF HOURLY")</f>
        <v xml:space="preserve">          6117 - RETIREMENT STAFF HOURLY</v>
      </c>
      <c r="C176" s="10"/>
      <c r="D176" s="6">
        <v>477.35</v>
      </c>
      <c r="E176" s="2"/>
      <c r="F176" s="7">
        <f t="shared" si="45"/>
        <v>9.4196028852499148E-4</v>
      </c>
      <c r="G176" s="2"/>
      <c r="H176" s="6">
        <v>219.6</v>
      </c>
      <c r="I176" s="2"/>
      <c r="J176" s="7">
        <f t="shared" si="46"/>
        <v>8.3298489706586424E-4</v>
      </c>
      <c r="K176" s="2"/>
      <c r="L176" s="6">
        <f t="shared" si="47"/>
        <v>257.75</v>
      </c>
      <c r="M176" s="2"/>
      <c r="N176" s="7">
        <f t="shared" si="48"/>
        <v>1.1737249544626593</v>
      </c>
      <c r="O176" s="10"/>
      <c r="P176" s="6">
        <v>4238.32</v>
      </c>
      <c r="Q176" s="2"/>
      <c r="R176" s="7">
        <f t="shared" si="49"/>
        <v>8.13590541728538E-4</v>
      </c>
      <c r="S176" s="2"/>
      <c r="T176" s="6">
        <v>1835.92</v>
      </c>
      <c r="U176" s="2"/>
      <c r="V176" s="7">
        <f t="shared" si="50"/>
        <v>2.0338649255944495E-4</v>
      </c>
      <c r="W176" s="2"/>
      <c r="X176" s="6">
        <f t="shared" si="51"/>
        <v>2402.3999999999996</v>
      </c>
      <c r="Y176" s="2"/>
      <c r="Z176" s="7">
        <f t="shared" si="52"/>
        <v>1.3085537496187196</v>
      </c>
    </row>
    <row r="177" spans="1:26" s="23" customFormat="1" hidden="1" outlineLevel="2" x14ac:dyDescent="0.25">
      <c r="A177" s="27"/>
      <c r="B177" s="10" t="str">
        <f>CONCATENATE("          ", "6118", " - ", "VACATION")</f>
        <v xml:space="preserve">          6118 - VACATION</v>
      </c>
      <c r="C177" s="10"/>
      <c r="D177" s="6">
        <v>5570.12</v>
      </c>
      <c r="E177" s="2"/>
      <c r="F177" s="7">
        <f t="shared" si="45"/>
        <v>1.0991582365808789E-2</v>
      </c>
      <c r="G177" s="2"/>
      <c r="H177" s="6">
        <v>4493.24</v>
      </c>
      <c r="I177" s="2"/>
      <c r="J177" s="7">
        <f t="shared" si="46"/>
        <v>1.7043720668908122E-2</v>
      </c>
      <c r="K177" s="2"/>
      <c r="L177" s="6">
        <f t="shared" si="47"/>
        <v>1076.8800000000001</v>
      </c>
      <c r="M177" s="2"/>
      <c r="N177" s="7">
        <f t="shared" si="48"/>
        <v>0.23966669930829426</v>
      </c>
      <c r="O177" s="10"/>
      <c r="P177" s="6">
        <v>63124.73</v>
      </c>
      <c r="Q177" s="2"/>
      <c r="R177" s="7">
        <f t="shared" si="49"/>
        <v>1.2117462408965746E-2</v>
      </c>
      <c r="S177" s="2"/>
      <c r="T177" s="6">
        <v>62712.65</v>
      </c>
      <c r="U177" s="2"/>
      <c r="V177" s="7">
        <f t="shared" si="50"/>
        <v>6.9474192353741306E-3</v>
      </c>
      <c r="W177" s="2"/>
      <c r="X177" s="6">
        <f t="shared" si="51"/>
        <v>412.08000000000175</v>
      </c>
      <c r="Y177" s="2"/>
      <c r="Z177" s="7">
        <f t="shared" si="52"/>
        <v>6.5709230912742765E-3</v>
      </c>
    </row>
    <row r="178" spans="1:26" s="23" customFormat="1" hidden="1" outlineLevel="2" x14ac:dyDescent="0.25">
      <c r="A178" s="27"/>
      <c r="B178" s="10" t="str">
        <f>CONCATENATE("          ", "6119", " - ", "SICK LEAVE")</f>
        <v xml:space="preserve">          6119 - SICK LEAVE</v>
      </c>
      <c r="C178" s="10"/>
      <c r="D178" s="6">
        <v>3824.03</v>
      </c>
      <c r="E178" s="2"/>
      <c r="F178" s="7">
        <f t="shared" si="45"/>
        <v>7.54600272782701E-3</v>
      </c>
      <c r="G178" s="2"/>
      <c r="H178" s="6">
        <v>2857.44</v>
      </c>
      <c r="I178" s="2"/>
      <c r="J178" s="7">
        <f t="shared" si="46"/>
        <v>1.083881768794118E-2</v>
      </c>
      <c r="K178" s="2"/>
      <c r="L178" s="6">
        <f t="shared" si="47"/>
        <v>966.59000000000015</v>
      </c>
      <c r="M178" s="2"/>
      <c r="N178" s="7">
        <f t="shared" si="48"/>
        <v>0.33827131978274266</v>
      </c>
      <c r="O178" s="10"/>
      <c r="P178" s="6">
        <v>44528.58</v>
      </c>
      <c r="Q178" s="2"/>
      <c r="R178" s="7">
        <f t="shared" si="49"/>
        <v>8.5477338956479326E-3</v>
      </c>
      <c r="S178" s="2"/>
      <c r="T178" s="6">
        <v>6043.11</v>
      </c>
      <c r="U178" s="2"/>
      <c r="V178" s="7">
        <f t="shared" si="50"/>
        <v>6.6946650564888839E-4</v>
      </c>
      <c r="W178" s="2"/>
      <c r="X178" s="6">
        <f t="shared" si="51"/>
        <v>38485.47</v>
      </c>
      <c r="Y178" s="2"/>
      <c r="Z178" s="7">
        <f t="shared" si="52"/>
        <v>6.3684874179023723</v>
      </c>
    </row>
    <row r="179" spans="1:26" s="23" customFormat="1" hidden="1" outlineLevel="2" x14ac:dyDescent="0.25">
      <c r="A179" s="27"/>
      <c r="B179" s="10" t="str">
        <f>CONCATENATE("          ", "6156", " - ", "EMPLOYEE MEALS")</f>
        <v xml:space="preserve">          6156 - EMPLOYEE MEALS</v>
      </c>
      <c r="C179" s="10"/>
      <c r="D179" s="6">
        <v>1675.12</v>
      </c>
      <c r="E179" s="2"/>
      <c r="F179" s="7">
        <f t="shared" si="45"/>
        <v>3.3055337142850814E-3</v>
      </c>
      <c r="G179" s="2"/>
      <c r="H179" s="6">
        <v>576.79999999999995</v>
      </c>
      <c r="I179" s="2"/>
      <c r="J179" s="7">
        <f t="shared" si="46"/>
        <v>2.1879129718924886E-3</v>
      </c>
      <c r="K179" s="2"/>
      <c r="L179" s="6">
        <f t="shared" si="47"/>
        <v>1098.32</v>
      </c>
      <c r="M179" s="2"/>
      <c r="N179" s="7">
        <f t="shared" si="48"/>
        <v>1.9041608876560334</v>
      </c>
      <c r="O179" s="10"/>
      <c r="P179" s="6">
        <v>15971.75</v>
      </c>
      <c r="Q179" s="2"/>
      <c r="R179" s="7">
        <f t="shared" si="49"/>
        <v>3.065947057997692E-3</v>
      </c>
      <c r="S179" s="2"/>
      <c r="T179" s="6">
        <v>18825.57</v>
      </c>
      <c r="U179" s="2"/>
      <c r="V179" s="7">
        <f t="shared" si="50"/>
        <v>2.085530226116775E-3</v>
      </c>
      <c r="W179" s="2"/>
      <c r="X179" s="6">
        <f t="shared" si="51"/>
        <v>-2853.8199999999997</v>
      </c>
      <c r="Y179" s="2"/>
      <c r="Z179" s="7">
        <f t="shared" si="52"/>
        <v>-0.15159275389802274</v>
      </c>
    </row>
    <row r="180" spans="1:26" s="26" customFormat="1" outlineLevel="1" collapsed="1" x14ac:dyDescent="0.25">
      <c r="A180" s="25"/>
      <c r="B180" s="12" t="str">
        <f>CONCATENATE("     ","*Payroll                                          ")</f>
        <v xml:space="preserve">     *Payroll                                          </v>
      </c>
      <c r="C180" s="12"/>
      <c r="D180" s="1">
        <f>SUM(OSRRefD22_1x_0)</f>
        <v>122510.93000000001</v>
      </c>
      <c r="E180" s="1"/>
      <c r="F180" s="5">
        <f t="shared" ref="F180:F187" si="53">IF(D$12=0,0,D180/D$12)</f>
        <v>0.24175223833720549</v>
      </c>
      <c r="G180" s="1"/>
      <c r="H180" s="1">
        <f>SUM(OSRRefH22_1x_0)</f>
        <v>84495.489999999991</v>
      </c>
      <c r="I180" s="1"/>
      <c r="J180" s="5">
        <f t="shared" ref="J180:J187" si="54">IF(H$12=0,0,H180/H$12)</f>
        <v>0.32050759125764916</v>
      </c>
      <c r="K180" s="1"/>
      <c r="L180" s="1">
        <f t="shared" ref="L180:L187" si="55">+D180-H180</f>
        <v>38015.440000000017</v>
      </c>
      <c r="M180" s="1"/>
      <c r="N180" s="5">
        <f t="shared" ref="N180:N187" si="56">IF(H180=0,0,L180/H180)</f>
        <v>0.44991087690005727</v>
      </c>
      <c r="O180" s="12"/>
      <c r="P180" s="1">
        <f>SUM(OSRRefP22_1x_0)</f>
        <v>1371370.71</v>
      </c>
      <c r="Q180" s="1"/>
      <c r="R180" s="5">
        <f t="shared" ref="R180:R187" si="57">IF(P$12=0,0,P180/P$12)</f>
        <v>0.2632491739320178</v>
      </c>
      <c r="S180" s="1"/>
      <c r="T180" s="1">
        <f>SUM(OSRRefT22_1x_0)</f>
        <v>1794940.71</v>
      </c>
      <c r="U180" s="1"/>
      <c r="V180" s="5">
        <f t="shared" ref="V180:V187" si="58">IF(T$12=0,0,T180/T$12)</f>
        <v>0.19884673371337519</v>
      </c>
      <c r="W180" s="1"/>
      <c r="X180" s="1">
        <f t="shared" ref="X180:X187" si="59">+P180-T180</f>
        <v>-423570</v>
      </c>
      <c r="Y180" s="1"/>
      <c r="Z180" s="5">
        <f t="shared" ref="Z180:Z187" si="60">IF(T180=0,0,X180/T180)</f>
        <v>-0.23597993941538048</v>
      </c>
    </row>
    <row r="181" spans="1:26" s="23" customFormat="1" hidden="1" outlineLevel="2" x14ac:dyDescent="0.25">
      <c r="A181" s="27"/>
      <c r="B181" s="10" t="str">
        <f>CONCATENATE("          ", "6001", " - ", "ADMINISTRATIVE SALARIES")</f>
        <v xml:space="preserve">          6001 - ADMINISTRATIVE SALARIES</v>
      </c>
      <c r="C181" s="10"/>
      <c r="D181" s="6">
        <v>4205.74</v>
      </c>
      <c r="E181" s="2"/>
      <c r="F181" s="7">
        <f t="shared" si="53"/>
        <v>8.2992354956763319E-3</v>
      </c>
      <c r="G181" s="2"/>
      <c r="H181" s="6"/>
      <c r="I181" s="2"/>
      <c r="J181" s="7">
        <f t="shared" si="54"/>
        <v>0</v>
      </c>
      <c r="K181" s="2"/>
      <c r="L181" s="6">
        <f t="shared" si="55"/>
        <v>4205.74</v>
      </c>
      <c r="M181" s="2"/>
      <c r="N181" s="7">
        <f t="shared" si="56"/>
        <v>0</v>
      </c>
      <c r="O181" s="10"/>
      <c r="P181" s="6">
        <v>47398.53</v>
      </c>
      <c r="Q181" s="2"/>
      <c r="R181" s="7">
        <f t="shared" si="57"/>
        <v>9.098651281601285E-3</v>
      </c>
      <c r="S181" s="2"/>
      <c r="T181" s="6">
        <v>93238.31</v>
      </c>
      <c r="U181" s="2"/>
      <c r="V181" s="7">
        <f t="shared" si="58"/>
        <v>1.0329106302600451E-2</v>
      </c>
      <c r="W181" s="2"/>
      <c r="X181" s="6">
        <f t="shared" si="59"/>
        <v>-45839.78</v>
      </c>
      <c r="Y181" s="2"/>
      <c r="Z181" s="7">
        <f t="shared" si="60"/>
        <v>-0.49164104325786256</v>
      </c>
    </row>
    <row r="182" spans="1:26" s="23" customFormat="1" hidden="1" outlineLevel="2" x14ac:dyDescent="0.25">
      <c r="A182" s="27"/>
      <c r="B182" s="10" t="str">
        <f>CONCATENATE("          ", "6002", " - ", "STAFF SALARIES")</f>
        <v xml:space="preserve">          6002 - STAFF SALARIES</v>
      </c>
      <c r="C182" s="10"/>
      <c r="D182" s="6">
        <v>63555.839999999997</v>
      </c>
      <c r="E182" s="2"/>
      <c r="F182" s="7">
        <f t="shared" si="53"/>
        <v>0.12541547582245352</v>
      </c>
      <c r="G182" s="2"/>
      <c r="H182" s="6">
        <v>45369.93</v>
      </c>
      <c r="I182" s="2"/>
      <c r="J182" s="7">
        <f t="shared" si="54"/>
        <v>0.17209684185307589</v>
      </c>
      <c r="K182" s="2"/>
      <c r="L182" s="6">
        <f t="shared" si="55"/>
        <v>18185.909999999996</v>
      </c>
      <c r="M182" s="2"/>
      <c r="N182" s="7">
        <f t="shared" si="56"/>
        <v>0.40083619260598363</v>
      </c>
      <c r="O182" s="10"/>
      <c r="P182" s="6">
        <v>666730.72</v>
      </c>
      <c r="Q182" s="2"/>
      <c r="R182" s="7">
        <f t="shared" si="57"/>
        <v>0.12798604344925776</v>
      </c>
      <c r="S182" s="2"/>
      <c r="T182" s="6">
        <v>611117.42000000004</v>
      </c>
      <c r="U182" s="2"/>
      <c r="V182" s="7">
        <f t="shared" si="58"/>
        <v>6.7700677913948973E-2</v>
      </c>
      <c r="W182" s="2"/>
      <c r="X182" s="6">
        <f t="shared" si="59"/>
        <v>55613.29999999993</v>
      </c>
      <c r="Y182" s="2"/>
      <c r="Z182" s="7">
        <f t="shared" si="60"/>
        <v>9.1002642339994055E-2</v>
      </c>
    </row>
    <row r="183" spans="1:26" s="23" customFormat="1" hidden="1" outlineLevel="2" x14ac:dyDescent="0.25">
      <c r="A183" s="27"/>
      <c r="B183" s="10" t="str">
        <f>CONCATENATE("          ", "6004", " - ", "STAFF HOURLY")</f>
        <v xml:space="preserve">          6004 - STAFF HOURLY</v>
      </c>
      <c r="C183" s="10"/>
      <c r="D183" s="6">
        <v>13052.53</v>
      </c>
      <c r="E183" s="2"/>
      <c r="F183" s="7">
        <f t="shared" si="53"/>
        <v>2.5756708756218931E-2</v>
      </c>
      <c r="G183" s="2"/>
      <c r="H183" s="6">
        <v>11060.64</v>
      </c>
      <c r="I183" s="2"/>
      <c r="J183" s="7">
        <f t="shared" si="54"/>
        <v>4.1955127831887887E-2</v>
      </c>
      <c r="K183" s="2"/>
      <c r="L183" s="6">
        <f t="shared" si="55"/>
        <v>1991.8900000000012</v>
      </c>
      <c r="M183" s="2"/>
      <c r="N183" s="7">
        <f t="shared" si="56"/>
        <v>0.18008813233230639</v>
      </c>
      <c r="O183" s="10"/>
      <c r="P183" s="6">
        <v>168344.5</v>
      </c>
      <c r="Q183" s="2"/>
      <c r="R183" s="7">
        <f t="shared" si="57"/>
        <v>3.2315514862497376E-2</v>
      </c>
      <c r="S183" s="2"/>
      <c r="T183" s="6">
        <v>62836.97</v>
      </c>
      <c r="U183" s="2"/>
      <c r="V183" s="7">
        <f t="shared" si="58"/>
        <v>6.9611916267392181E-3</v>
      </c>
      <c r="W183" s="2"/>
      <c r="X183" s="6">
        <f t="shared" si="59"/>
        <v>105507.53</v>
      </c>
      <c r="Y183" s="2"/>
      <c r="Z183" s="7">
        <f t="shared" si="60"/>
        <v>1.6790677526303384</v>
      </c>
    </row>
    <row r="184" spans="1:26" s="23" customFormat="1" hidden="1" outlineLevel="2" x14ac:dyDescent="0.25">
      <c r="A184" s="27"/>
      <c r="B184" s="10" t="str">
        <f>CONCATENATE("          ", "6005", " - ", "TEMPORARY WAGES-HOURLY")</f>
        <v xml:space="preserve">          6005 - TEMPORARY WAGES-HOURLY</v>
      </c>
      <c r="C184" s="10"/>
      <c r="D184" s="6">
        <v>7607.71</v>
      </c>
      <c r="E184" s="2"/>
      <c r="F184" s="7">
        <f t="shared" si="53"/>
        <v>1.5012382332909736E-2</v>
      </c>
      <c r="G184" s="2"/>
      <c r="H184" s="6">
        <v>8052.32</v>
      </c>
      <c r="I184" s="2"/>
      <c r="J184" s="7">
        <f t="shared" si="54"/>
        <v>3.0543993380425318E-2</v>
      </c>
      <c r="K184" s="2"/>
      <c r="L184" s="6">
        <f t="shared" si="55"/>
        <v>-444.60999999999967</v>
      </c>
      <c r="M184" s="2"/>
      <c r="N184" s="7">
        <f t="shared" si="56"/>
        <v>-5.5215142965008804E-2</v>
      </c>
      <c r="O184" s="10"/>
      <c r="P184" s="6">
        <v>159839.76</v>
      </c>
      <c r="Q184" s="2"/>
      <c r="R184" s="7">
        <f t="shared" si="57"/>
        <v>3.0682939685573413E-2</v>
      </c>
      <c r="S184" s="2"/>
      <c r="T184" s="6">
        <v>188348.22</v>
      </c>
      <c r="U184" s="2"/>
      <c r="V184" s="7">
        <f t="shared" si="58"/>
        <v>2.0865551791807213E-2</v>
      </c>
      <c r="W184" s="2"/>
      <c r="X184" s="6">
        <f t="shared" si="59"/>
        <v>-28508.459999999992</v>
      </c>
      <c r="Y184" s="2"/>
      <c r="Z184" s="7">
        <f t="shared" si="60"/>
        <v>-0.15136038981414315</v>
      </c>
    </row>
    <row r="185" spans="1:26" s="23" customFormat="1" hidden="1" outlineLevel="2" x14ac:dyDescent="0.25">
      <c r="A185" s="27"/>
      <c r="B185" s="10" t="str">
        <f>CONCATENATE("          ", "6006", " - ", "TEMPORARY PART TIME")</f>
        <v xml:space="preserve">          6006 - TEMPORARY PART TIME</v>
      </c>
      <c r="C185" s="10"/>
      <c r="D185" s="6">
        <v>2769.97</v>
      </c>
      <c r="E185" s="2"/>
      <c r="F185" s="7">
        <f t="shared" si="53"/>
        <v>5.466013910978465E-3</v>
      </c>
      <c r="G185" s="2"/>
      <c r="H185" s="6">
        <v>1929.14</v>
      </c>
      <c r="I185" s="2"/>
      <c r="J185" s="7">
        <f t="shared" si="54"/>
        <v>7.3175978339054711E-3</v>
      </c>
      <c r="K185" s="2"/>
      <c r="L185" s="6">
        <f t="shared" si="55"/>
        <v>840.8299999999997</v>
      </c>
      <c r="M185" s="2"/>
      <c r="N185" s="7">
        <f t="shared" si="56"/>
        <v>0.43585742869879823</v>
      </c>
      <c r="O185" s="10"/>
      <c r="P185" s="6">
        <v>19716.73</v>
      </c>
      <c r="Q185" s="2"/>
      <c r="R185" s="7">
        <f t="shared" si="57"/>
        <v>3.7848357466673866E-3</v>
      </c>
      <c r="S185" s="2"/>
      <c r="T185" s="6">
        <v>35085.4</v>
      </c>
      <c r="U185" s="2"/>
      <c r="V185" s="7">
        <f t="shared" si="58"/>
        <v>3.8868231982031624E-3</v>
      </c>
      <c r="W185" s="2"/>
      <c r="X185" s="6">
        <f t="shared" si="59"/>
        <v>-15368.670000000002</v>
      </c>
      <c r="Y185" s="2"/>
      <c r="Z185" s="7">
        <f t="shared" si="60"/>
        <v>-0.438036049182851</v>
      </c>
    </row>
    <row r="186" spans="1:26" s="23" customFormat="1" hidden="1" outlineLevel="2" x14ac:dyDescent="0.25">
      <c r="A186" s="27"/>
      <c r="B186" s="10" t="str">
        <f>CONCATENATE("          ", "6007", " - ", "STUDENT HOURLY")</f>
        <v xml:space="preserve">          6007 - STUDENT HOURLY</v>
      </c>
      <c r="C186" s="10"/>
      <c r="D186" s="6">
        <v>28779.68</v>
      </c>
      <c r="E186" s="2"/>
      <c r="F186" s="7">
        <f t="shared" si="53"/>
        <v>5.6791276163102387E-2</v>
      </c>
      <c r="G186" s="2"/>
      <c r="H186" s="6">
        <v>18083.46</v>
      </c>
      <c r="I186" s="2"/>
      <c r="J186" s="7">
        <f t="shared" si="54"/>
        <v>6.859403035835461E-2</v>
      </c>
      <c r="K186" s="2"/>
      <c r="L186" s="6">
        <f t="shared" si="55"/>
        <v>10696.220000000001</v>
      </c>
      <c r="M186" s="2"/>
      <c r="N186" s="7">
        <f t="shared" si="56"/>
        <v>0.59149189369733457</v>
      </c>
      <c r="O186" s="10"/>
      <c r="P186" s="6">
        <v>296799.06</v>
      </c>
      <c r="Q186" s="2"/>
      <c r="R186" s="7">
        <f t="shared" si="57"/>
        <v>5.6973732047113208E-2</v>
      </c>
      <c r="S186" s="2"/>
      <c r="T186" s="6">
        <v>788834.47</v>
      </c>
      <c r="U186" s="2"/>
      <c r="V186" s="7">
        <f t="shared" si="58"/>
        <v>8.7388489729012531E-2</v>
      </c>
      <c r="W186" s="2"/>
      <c r="X186" s="6">
        <f t="shared" si="59"/>
        <v>-492035.41</v>
      </c>
      <c r="Y186" s="2"/>
      <c r="Z186" s="7">
        <f t="shared" si="60"/>
        <v>-0.62374988506777596</v>
      </c>
    </row>
    <row r="187" spans="1:26" s="23" customFormat="1" hidden="1" outlineLevel="2" x14ac:dyDescent="0.25">
      <c r="A187" s="27"/>
      <c r="B187" s="10" t="str">
        <f>CONCATENATE("          ", "6008", " - ", "STUDENT HOURLY-FICA EXEMPT")</f>
        <v xml:space="preserve">          6008 - STUDENT HOURLY-FICA EXEMPT</v>
      </c>
      <c r="C187" s="10"/>
      <c r="D187" s="6">
        <v>2539.46</v>
      </c>
      <c r="E187" s="2"/>
      <c r="F187" s="7">
        <f t="shared" si="53"/>
        <v>5.0111458558660836E-3</v>
      </c>
      <c r="G187" s="2"/>
      <c r="H187" s="6"/>
      <c r="I187" s="2"/>
      <c r="J187" s="7">
        <f t="shared" si="54"/>
        <v>0</v>
      </c>
      <c r="K187" s="2"/>
      <c r="L187" s="6">
        <f t="shared" si="55"/>
        <v>2539.46</v>
      </c>
      <c r="M187" s="2"/>
      <c r="N187" s="7">
        <f t="shared" si="56"/>
        <v>0</v>
      </c>
      <c r="O187" s="10"/>
      <c r="P187" s="6">
        <v>12541.41</v>
      </c>
      <c r="Q187" s="2"/>
      <c r="R187" s="7">
        <f t="shared" si="57"/>
        <v>2.4074568593073914E-3</v>
      </c>
      <c r="S187" s="2"/>
      <c r="T187" s="6">
        <v>15479.92</v>
      </c>
      <c r="U187" s="2"/>
      <c r="V187" s="7">
        <f t="shared" si="58"/>
        <v>1.7148931510636645E-3</v>
      </c>
      <c r="W187" s="2"/>
      <c r="X187" s="6">
        <f t="shared" si="59"/>
        <v>-2938.51</v>
      </c>
      <c r="Y187" s="2"/>
      <c r="Z187" s="7">
        <f t="shared" si="60"/>
        <v>-0.1898272084093458</v>
      </c>
    </row>
    <row r="188" spans="1:26" s="26" customFormat="1" outlineLevel="1" collapsed="1" x14ac:dyDescent="0.25">
      <c r="A188" s="25"/>
      <c r="B188" s="12" t="str">
        <f>CONCATENATE("     ","Advertising/Promo                                 ")</f>
        <v xml:space="preserve">     Advertising/Promo                                 </v>
      </c>
      <c r="C188" s="12"/>
      <c r="D188" s="1">
        <f>SUM(OSRRefD22_2x_0)</f>
        <v>7.47</v>
      </c>
      <c r="E188" s="1"/>
      <c r="F188" s="5">
        <f t="shared" ref="F188:F192" si="61">IF(D$12=0,0,D188/D$12)</f>
        <v>1.4740637593551243E-5</v>
      </c>
      <c r="G188" s="1"/>
      <c r="H188" s="1">
        <f>SUM(OSRRefH22_2x_0)</f>
        <v>1029</v>
      </c>
      <c r="I188" s="1"/>
      <c r="J188" s="5">
        <f t="shared" ref="J188:J192" si="62">IF(H$12=0,0,H188/H$12)</f>
        <v>3.9031942581091725E-3</v>
      </c>
      <c r="K188" s="1"/>
      <c r="L188" s="1">
        <f t="shared" ref="L188:L192" si="63">+D188-H188</f>
        <v>-1021.53</v>
      </c>
      <c r="M188" s="1"/>
      <c r="N188" s="5">
        <f t="shared" ref="N188:N192" si="64">IF(H188=0,0,L188/H188)</f>
        <v>-0.99274052478134112</v>
      </c>
      <c r="O188" s="12"/>
      <c r="P188" s="1">
        <f>SUM(OSRRefP22_2x_0)</f>
        <v>17543.52</v>
      </c>
      <c r="Q188" s="1"/>
      <c r="R188" s="5">
        <f t="shared" ref="R188:R192" si="65">IF(P$12=0,0,P188/P$12)</f>
        <v>3.36766500420578E-3</v>
      </c>
      <c r="S188" s="1"/>
      <c r="T188" s="1">
        <f>SUM(OSRRefT22_2x_0)</f>
        <v>45471.49</v>
      </c>
      <c r="U188" s="1"/>
      <c r="V188" s="5">
        <f t="shared" ref="V188:V192" si="66">IF(T$12=0,0,T188/T$12)</f>
        <v>5.0374127753670499E-3</v>
      </c>
      <c r="W188" s="1"/>
      <c r="X188" s="1">
        <f t="shared" ref="X188:X192" si="67">+P188-T188</f>
        <v>-27927.969999999998</v>
      </c>
      <c r="Y188" s="1"/>
      <c r="Z188" s="5">
        <f t="shared" ref="Z188:Z192" si="68">IF(T188=0,0,X188/T188)</f>
        <v>-0.61418638359992161</v>
      </c>
    </row>
    <row r="189" spans="1:26" s="23" customFormat="1" hidden="1" outlineLevel="2" x14ac:dyDescent="0.25">
      <c r="A189" s="27"/>
      <c r="B189" s="10" t="str">
        <f>CONCATENATE("          ", "6362", " - ", "ADVERTISING EXPENSE")</f>
        <v xml:space="preserve">          6362 - ADVERTISING EXPENSE</v>
      </c>
      <c r="C189" s="10"/>
      <c r="D189" s="6">
        <v>7.47</v>
      </c>
      <c r="E189" s="2"/>
      <c r="F189" s="7">
        <f t="shared" si="61"/>
        <v>1.4740637593551243E-5</v>
      </c>
      <c r="G189" s="2"/>
      <c r="H189" s="6">
        <v>1029</v>
      </c>
      <c r="I189" s="2"/>
      <c r="J189" s="7">
        <f t="shared" si="62"/>
        <v>3.9031942581091725E-3</v>
      </c>
      <c r="K189" s="2"/>
      <c r="L189" s="6">
        <f t="shared" si="63"/>
        <v>-1021.53</v>
      </c>
      <c r="M189" s="2"/>
      <c r="N189" s="7">
        <f t="shared" si="64"/>
        <v>-0.99274052478134112</v>
      </c>
      <c r="O189" s="10"/>
      <c r="P189" s="6">
        <v>17543.52</v>
      </c>
      <c r="Q189" s="2"/>
      <c r="R189" s="7">
        <f t="shared" si="65"/>
        <v>3.36766500420578E-3</v>
      </c>
      <c r="S189" s="2"/>
      <c r="T189" s="6">
        <v>45471.49</v>
      </c>
      <c r="U189" s="2"/>
      <c r="V189" s="7">
        <f t="shared" si="66"/>
        <v>5.0374127753670499E-3</v>
      </c>
      <c r="W189" s="2"/>
      <c r="X189" s="6">
        <f t="shared" si="67"/>
        <v>-27927.969999999998</v>
      </c>
      <c r="Y189" s="2"/>
      <c r="Z189" s="7">
        <f t="shared" si="68"/>
        <v>-0.61418638359992161</v>
      </c>
    </row>
    <row r="190" spans="1:26" s="26" customFormat="1" outlineLevel="1" collapsed="1" x14ac:dyDescent="0.25">
      <c r="A190" s="25"/>
      <c r="B190" s="12" t="str">
        <f>CONCATENATE("     ","Bad Debts/Over/Short                              ")</f>
        <v xml:space="preserve">     Bad Debts/Over/Short                              </v>
      </c>
      <c r="C190" s="12"/>
      <c r="D190" s="1">
        <f>SUM(OSRRefD22_3x_0)</f>
        <v>21.56</v>
      </c>
      <c r="E190" s="1"/>
      <c r="F190" s="5">
        <f t="shared" si="61"/>
        <v>4.2544597927304523E-5</v>
      </c>
      <c r="G190" s="1"/>
      <c r="H190" s="1">
        <f>SUM(OSRRefH22_3x_0)</f>
        <v>-4.55</v>
      </c>
      <c r="I190" s="1"/>
      <c r="J190" s="5">
        <f t="shared" si="62"/>
        <v>-1.7259022229734436E-5</v>
      </c>
      <c r="K190" s="1"/>
      <c r="L190" s="1">
        <f t="shared" si="63"/>
        <v>26.11</v>
      </c>
      <c r="M190" s="1"/>
      <c r="N190" s="5">
        <f t="shared" si="64"/>
        <v>-5.7384615384615385</v>
      </c>
      <c r="O190" s="12"/>
      <c r="P190" s="1">
        <f>SUM(OSRRefP22_3x_0)</f>
        <v>5204.26</v>
      </c>
      <c r="Q190" s="1"/>
      <c r="R190" s="5">
        <f t="shared" si="65"/>
        <v>9.9901298455429537E-4</v>
      </c>
      <c r="S190" s="1"/>
      <c r="T190" s="1">
        <f>SUM(OSRRefT22_3x_0)</f>
        <v>-30.92</v>
      </c>
      <c r="U190" s="1"/>
      <c r="V190" s="5">
        <f t="shared" si="66"/>
        <v>-3.4253727558597531E-6</v>
      </c>
      <c r="W190" s="1"/>
      <c r="X190" s="1">
        <f t="shared" si="67"/>
        <v>5235.18</v>
      </c>
      <c r="Y190" s="1"/>
      <c r="Z190" s="5">
        <f t="shared" si="68"/>
        <v>-169.31371280724451</v>
      </c>
    </row>
    <row r="191" spans="1:26" s="23" customFormat="1" hidden="1" outlineLevel="2" x14ac:dyDescent="0.25">
      <c r="A191" s="27"/>
      <c r="B191" s="10" t="str">
        <f>CONCATENATE("          ", "6272", " - ", "CASH (OVER/SHORT)")</f>
        <v xml:space="preserve">          6272 - CASH (OVER/SHORT)</v>
      </c>
      <c r="C191" s="10"/>
      <c r="D191" s="6">
        <v>21.56</v>
      </c>
      <c r="E191" s="2"/>
      <c r="F191" s="7">
        <f t="shared" si="61"/>
        <v>4.2544597927304523E-5</v>
      </c>
      <c r="G191" s="2"/>
      <c r="H191" s="6">
        <v>-4.55</v>
      </c>
      <c r="I191" s="2"/>
      <c r="J191" s="7">
        <f t="shared" si="62"/>
        <v>-1.7259022229734436E-5</v>
      </c>
      <c r="K191" s="2"/>
      <c r="L191" s="6">
        <f t="shared" si="63"/>
        <v>26.11</v>
      </c>
      <c r="M191" s="2"/>
      <c r="N191" s="7">
        <f t="shared" si="64"/>
        <v>-5.7384615384615385</v>
      </c>
      <c r="O191" s="10"/>
      <c r="P191" s="6">
        <v>-145.16</v>
      </c>
      <c r="Q191" s="2"/>
      <c r="R191" s="7">
        <f t="shared" si="65"/>
        <v>-2.7865003831073298E-5</v>
      </c>
      <c r="S191" s="2"/>
      <c r="T191" s="6">
        <v>-75.72</v>
      </c>
      <c r="U191" s="2"/>
      <c r="V191" s="7">
        <f t="shared" si="66"/>
        <v>-8.3883966712063545E-6</v>
      </c>
      <c r="W191" s="2"/>
      <c r="X191" s="6">
        <f t="shared" si="67"/>
        <v>-69.44</v>
      </c>
      <c r="Y191" s="2"/>
      <c r="Z191" s="7">
        <f t="shared" si="68"/>
        <v>0.9170628631801373</v>
      </c>
    </row>
    <row r="192" spans="1:26" s="23" customFormat="1" hidden="1" outlineLevel="2" x14ac:dyDescent="0.25">
      <c r="A192" s="27"/>
      <c r="B192" s="10" t="str">
        <f>CONCATENATE("          ", "6342", " - ", "BAD DEBT")</f>
        <v xml:space="preserve">          6342 - BAD DEBT</v>
      </c>
      <c r="C192" s="10"/>
      <c r="D192" s="6"/>
      <c r="E192" s="2"/>
      <c r="F192" s="7">
        <f t="shared" si="61"/>
        <v>0</v>
      </c>
      <c r="G192" s="2"/>
      <c r="H192" s="6"/>
      <c r="I192" s="2"/>
      <c r="J192" s="7">
        <f t="shared" si="62"/>
        <v>0</v>
      </c>
      <c r="K192" s="2"/>
      <c r="L192" s="6">
        <f t="shared" si="63"/>
        <v>0</v>
      </c>
      <c r="M192" s="2"/>
      <c r="N192" s="7">
        <f t="shared" si="64"/>
        <v>0</v>
      </c>
      <c r="O192" s="10"/>
      <c r="P192" s="6">
        <v>5349.42</v>
      </c>
      <c r="Q192" s="2"/>
      <c r="R192" s="7">
        <f t="shared" si="65"/>
        <v>1.0268779883853688E-3</v>
      </c>
      <c r="S192" s="2"/>
      <c r="T192" s="6">
        <v>44.8</v>
      </c>
      <c r="U192" s="2"/>
      <c r="V192" s="7">
        <f t="shared" si="66"/>
        <v>4.963023915346601E-6</v>
      </c>
      <c r="W192" s="2"/>
      <c r="X192" s="6">
        <f t="shared" si="67"/>
        <v>5304.62</v>
      </c>
      <c r="Y192" s="2"/>
      <c r="Z192" s="7">
        <f t="shared" si="68"/>
        <v>118.40669642857144</v>
      </c>
    </row>
    <row r="193" spans="1:26" s="26" customFormat="1" outlineLevel="1" collapsed="1" x14ac:dyDescent="0.25">
      <c r="A193" s="25"/>
      <c r="B193" s="12" t="str">
        <f>CONCATENATE("     ","Bank/card Fees                                    ")</f>
        <v xml:space="preserve">     Bank/card Fees                                    </v>
      </c>
      <c r="C193" s="12"/>
      <c r="D193" s="1">
        <f>SUM(OSRRefD22_4x_0)</f>
        <v>3967.68</v>
      </c>
      <c r="E193" s="1"/>
      <c r="F193" s="5">
        <f t="shared" ref="F193:F198" si="69">IF(D$12=0,0,D193/D$12)</f>
        <v>7.8294689380430244E-3</v>
      </c>
      <c r="G193" s="1"/>
      <c r="H193" s="1">
        <f>SUM(OSRRefH22_4x_0)</f>
        <v>5413.34</v>
      </c>
      <c r="I193" s="1"/>
      <c r="J193" s="5">
        <f t="shared" ref="J193:J198" si="70">IF(H$12=0,0,H193/H$12)</f>
        <v>2.0533836351013322E-2</v>
      </c>
      <c r="K193" s="1"/>
      <c r="L193" s="1">
        <f t="shared" ref="L193:L198" si="71">+D193-H193</f>
        <v>-1445.6600000000003</v>
      </c>
      <c r="M193" s="1"/>
      <c r="N193" s="5">
        <f t="shared" ref="N193:N198" si="72">IF(H193=0,0,L193/H193)</f>
        <v>-0.26705508983363324</v>
      </c>
      <c r="O193" s="12"/>
      <c r="P193" s="1">
        <f>SUM(OSRRefP22_4x_0)</f>
        <v>78603.539999999994</v>
      </c>
      <c r="Q193" s="1"/>
      <c r="R193" s="5">
        <f t="shared" ref="R193:R198" si="73">IF(P$12=0,0,P193/P$12)</f>
        <v>1.5088784398153232E-2</v>
      </c>
      <c r="S193" s="1"/>
      <c r="T193" s="1">
        <f>SUM(OSRRefT22_4x_0)</f>
        <v>145245.03</v>
      </c>
      <c r="U193" s="1"/>
      <c r="V193" s="5">
        <f t="shared" ref="V193:V198" si="74">IF(T$12=0,0,T193/T$12)</f>
        <v>1.6090503515072203E-2</v>
      </c>
      <c r="W193" s="1"/>
      <c r="X193" s="1">
        <f t="shared" ref="X193:X198" si="75">+P193-T193</f>
        <v>-66641.490000000005</v>
      </c>
      <c r="Y193" s="1"/>
      <c r="Z193" s="5">
        <f t="shared" ref="Z193:Z198" si="76">IF(T193=0,0,X193/T193)</f>
        <v>-0.45882113832053328</v>
      </c>
    </row>
    <row r="194" spans="1:26" s="23" customFormat="1" hidden="1" outlineLevel="2" x14ac:dyDescent="0.25">
      <c r="A194" s="27"/>
      <c r="B194" s="10" t="str">
        <f>CONCATENATE("          ", "6381", " - ", "BANK/CREDIT CARD FEES")</f>
        <v xml:space="preserve">          6381 - BANK/CREDIT CARD FEES</v>
      </c>
      <c r="C194" s="10"/>
      <c r="D194" s="6">
        <v>3967.68</v>
      </c>
      <c r="E194" s="2"/>
      <c r="F194" s="7">
        <f t="shared" si="69"/>
        <v>7.8294689380430244E-3</v>
      </c>
      <c r="G194" s="2"/>
      <c r="H194" s="6">
        <v>5413.34</v>
      </c>
      <c r="I194" s="2"/>
      <c r="J194" s="7">
        <f t="shared" si="70"/>
        <v>2.0533836351013322E-2</v>
      </c>
      <c r="K194" s="2"/>
      <c r="L194" s="6">
        <f t="shared" si="71"/>
        <v>-1445.6600000000003</v>
      </c>
      <c r="M194" s="2"/>
      <c r="N194" s="7">
        <f t="shared" si="72"/>
        <v>-0.26705508983363324</v>
      </c>
      <c r="O194" s="10"/>
      <c r="P194" s="6">
        <v>78603.539999999994</v>
      </c>
      <c r="Q194" s="2"/>
      <c r="R194" s="7">
        <f t="shared" si="73"/>
        <v>1.5088784398153232E-2</v>
      </c>
      <c r="S194" s="2"/>
      <c r="T194" s="6">
        <v>145245.03</v>
      </c>
      <c r="U194" s="2"/>
      <c r="V194" s="7">
        <f t="shared" si="74"/>
        <v>1.6090503515072203E-2</v>
      </c>
      <c r="W194" s="2"/>
      <c r="X194" s="6">
        <f t="shared" si="75"/>
        <v>-66641.490000000005</v>
      </c>
      <c r="Y194" s="2"/>
      <c r="Z194" s="7">
        <f t="shared" si="76"/>
        <v>-0.45882113832053328</v>
      </c>
    </row>
    <row r="195" spans="1:26" s="26" customFormat="1" outlineLevel="1" collapsed="1" x14ac:dyDescent="0.25">
      <c r="A195" s="25"/>
      <c r="B195" s="12" t="str">
        <f>CONCATENATE("     ","Depreciation                                      ")</f>
        <v xml:space="preserve">     Depreciation                                      </v>
      </c>
      <c r="C195" s="12"/>
      <c r="D195" s="1">
        <f>SUM(OSRRefD22_5x_0)</f>
        <v>30735.85</v>
      </c>
      <c r="E195" s="1"/>
      <c r="F195" s="5">
        <f t="shared" si="69"/>
        <v>6.0651409100368404E-2</v>
      </c>
      <c r="G195" s="1"/>
      <c r="H195" s="1">
        <f>SUM(OSRRefH22_5x_0)</f>
        <v>30349.48</v>
      </c>
      <c r="I195" s="1"/>
      <c r="J195" s="5">
        <f t="shared" si="70"/>
        <v>0.11512139560019355</v>
      </c>
      <c r="K195" s="1"/>
      <c r="L195" s="1">
        <f t="shared" si="71"/>
        <v>386.36999999999898</v>
      </c>
      <c r="M195" s="1"/>
      <c r="N195" s="5">
        <f t="shared" si="72"/>
        <v>1.2730695880127072E-2</v>
      </c>
      <c r="O195" s="12"/>
      <c r="P195" s="1">
        <f>SUM(OSRRefP22_5x_0)</f>
        <v>338389.83999999997</v>
      </c>
      <c r="Q195" s="1"/>
      <c r="R195" s="5">
        <f t="shared" si="73"/>
        <v>6.4957524028632405E-2</v>
      </c>
      <c r="S195" s="1"/>
      <c r="T195" s="1">
        <f>SUM(OSRRefT22_5x_0)</f>
        <v>329032.42000000004</v>
      </c>
      <c r="U195" s="1"/>
      <c r="V195" s="5">
        <f t="shared" si="74"/>
        <v>3.6450798423758209E-2</v>
      </c>
      <c r="W195" s="1"/>
      <c r="X195" s="1">
        <f t="shared" si="75"/>
        <v>9357.4199999999255</v>
      </c>
      <c r="Y195" s="1"/>
      <c r="Z195" s="5">
        <f t="shared" si="76"/>
        <v>2.8439203650509347E-2</v>
      </c>
    </row>
    <row r="196" spans="1:26" s="23" customFormat="1" hidden="1" outlineLevel="2" x14ac:dyDescent="0.25">
      <c r="A196" s="27"/>
      <c r="B196" s="10" t="str">
        <f>CONCATENATE("          ", "6321", " - ", "BUILDING DEPRECIATION")</f>
        <v xml:space="preserve">          6321 - BUILDING DEPRECIATION</v>
      </c>
      <c r="C196" s="10"/>
      <c r="D196" s="6">
        <v>16396.52</v>
      </c>
      <c r="E196" s="2"/>
      <c r="F196" s="7">
        <f t="shared" si="69"/>
        <v>3.2355442987337994E-2</v>
      </c>
      <c r="G196" s="2"/>
      <c r="H196" s="6">
        <v>16396.52</v>
      </c>
      <c r="I196" s="2"/>
      <c r="J196" s="7">
        <f t="shared" si="70"/>
        <v>6.2195143553908858E-2</v>
      </c>
      <c r="K196" s="2"/>
      <c r="L196" s="6">
        <f t="shared" si="71"/>
        <v>0</v>
      </c>
      <c r="M196" s="2"/>
      <c r="N196" s="7">
        <f t="shared" si="72"/>
        <v>0</v>
      </c>
      <c r="O196" s="10"/>
      <c r="P196" s="6">
        <v>180361.72</v>
      </c>
      <c r="Q196" s="2"/>
      <c r="R196" s="7">
        <f t="shared" si="73"/>
        <v>3.4622347883569646E-2</v>
      </c>
      <c r="S196" s="2"/>
      <c r="T196" s="6">
        <v>180361.72</v>
      </c>
      <c r="U196" s="2"/>
      <c r="V196" s="7">
        <f t="shared" si="74"/>
        <v>1.9980793075291239E-2</v>
      </c>
      <c r="W196" s="2"/>
      <c r="X196" s="6">
        <f t="shared" si="75"/>
        <v>0</v>
      </c>
      <c r="Y196" s="2"/>
      <c r="Z196" s="7">
        <f t="shared" si="76"/>
        <v>0</v>
      </c>
    </row>
    <row r="197" spans="1:26" s="23" customFormat="1" hidden="1" outlineLevel="2" x14ac:dyDescent="0.25">
      <c r="A197" s="27"/>
      <c r="B197" s="10" t="str">
        <f>CONCATENATE("          ", "6322", " - ", "EQUIPMENT DEPRECIATION EXPENSE")</f>
        <v xml:space="preserve">          6322 - EQUIPMENT DEPRECIATION EXPENSE</v>
      </c>
      <c r="C197" s="10"/>
      <c r="D197" s="6">
        <v>14339.33</v>
      </c>
      <c r="E197" s="2"/>
      <c r="F197" s="7">
        <f t="shared" si="69"/>
        <v>2.8295966113030407E-2</v>
      </c>
      <c r="G197" s="2"/>
      <c r="H197" s="6">
        <v>13952.96</v>
      </c>
      <c r="I197" s="2"/>
      <c r="J197" s="7">
        <f t="shared" si="70"/>
        <v>5.2926252046284698E-2</v>
      </c>
      <c r="K197" s="2"/>
      <c r="L197" s="6">
        <f t="shared" si="71"/>
        <v>386.3700000000008</v>
      </c>
      <c r="M197" s="2"/>
      <c r="N197" s="7">
        <f t="shared" si="72"/>
        <v>2.7690898562025609E-2</v>
      </c>
      <c r="O197" s="10"/>
      <c r="P197" s="6">
        <v>158028.12</v>
      </c>
      <c r="Q197" s="2"/>
      <c r="R197" s="7">
        <f t="shared" si="73"/>
        <v>3.0335176145062762E-2</v>
      </c>
      <c r="S197" s="2"/>
      <c r="T197" s="6">
        <v>148670.70000000001</v>
      </c>
      <c r="U197" s="2"/>
      <c r="V197" s="7">
        <f t="shared" si="74"/>
        <v>1.6470005348466966E-2</v>
      </c>
      <c r="W197" s="2"/>
      <c r="X197" s="6">
        <f t="shared" si="75"/>
        <v>9357.4199999999837</v>
      </c>
      <c r="Y197" s="2"/>
      <c r="Z197" s="7">
        <f t="shared" si="76"/>
        <v>6.2940579414773615E-2</v>
      </c>
    </row>
    <row r="198" spans="1:26" s="23" customFormat="1" hidden="1" outlineLevel="2" x14ac:dyDescent="0.25">
      <c r="A198" s="27"/>
      <c r="B198" s="10" t="str">
        <f>CONCATENATE("          ", "6324", " - ", "FURNITURE + FIXT DEPRECIATION")</f>
        <v xml:space="preserve">          6324 - FURNITURE + FIXT DEPRECIATION</v>
      </c>
      <c r="C198" s="10"/>
      <c r="D198" s="6"/>
      <c r="E198" s="2"/>
      <c r="F198" s="7">
        <f t="shared" si="69"/>
        <v>0</v>
      </c>
      <c r="G198" s="2"/>
      <c r="H198" s="6"/>
      <c r="I198" s="2"/>
      <c r="J198" s="7">
        <f t="shared" si="70"/>
        <v>0</v>
      </c>
      <c r="K198" s="2"/>
      <c r="L198" s="6">
        <f t="shared" si="71"/>
        <v>0</v>
      </c>
      <c r="M198" s="2"/>
      <c r="N198" s="7">
        <f t="shared" si="72"/>
        <v>0</v>
      </c>
      <c r="O198" s="10"/>
      <c r="P198" s="6"/>
      <c r="Q198" s="2"/>
      <c r="R198" s="7">
        <f t="shared" si="73"/>
        <v>0</v>
      </c>
      <c r="S198" s="2"/>
      <c r="T198" s="6">
        <v>0</v>
      </c>
      <c r="U198" s="2"/>
      <c r="V198" s="7">
        <f t="shared" si="74"/>
        <v>0</v>
      </c>
      <c r="W198" s="2"/>
      <c r="X198" s="6">
        <f t="shared" si="75"/>
        <v>0</v>
      </c>
      <c r="Y198" s="2"/>
      <c r="Z198" s="7">
        <f t="shared" si="76"/>
        <v>0</v>
      </c>
    </row>
    <row r="199" spans="1:26" s="26" customFormat="1" outlineLevel="1" collapsed="1" x14ac:dyDescent="0.25">
      <c r="A199" s="25"/>
      <c r="B199" s="12" t="str">
        <f>CONCATENATE("     ","Discounts and Markdowns                           ")</f>
        <v xml:space="preserve">     Discounts and Markdowns                           </v>
      </c>
      <c r="C199" s="12"/>
      <c r="D199" s="1">
        <f>SUM(OSRRefD22_6x_0)</f>
        <v>0</v>
      </c>
      <c r="E199" s="1"/>
      <c r="F199" s="5">
        <f t="shared" ref="F199:F201" si="77">IF(D$12=0,0,D199/D$12)</f>
        <v>0</v>
      </c>
      <c r="G199" s="1"/>
      <c r="H199" s="1">
        <f>SUM(OSRRefH22_6x_0)</f>
        <v>43517.71</v>
      </c>
      <c r="I199" s="1"/>
      <c r="J199" s="5">
        <f t="shared" ref="J199:J201" si="78">IF(H$12=0,0,H199/H$12)</f>
        <v>0.16507101632464541</v>
      </c>
      <c r="K199" s="1"/>
      <c r="L199" s="1">
        <f t="shared" ref="L199:L201" si="79">+D199-H199</f>
        <v>-43517.71</v>
      </c>
      <c r="M199" s="1"/>
      <c r="N199" s="5">
        <f t="shared" ref="N199:N201" si="80">IF(H199=0,0,L199/H199)</f>
        <v>-1</v>
      </c>
      <c r="O199" s="12"/>
      <c r="P199" s="1">
        <f>SUM(OSRRefP22_6x_0)</f>
        <v>-15.43</v>
      </c>
      <c r="Q199" s="1"/>
      <c r="R199" s="5">
        <f t="shared" ref="R199:R201" si="81">IF(P$12=0,0,P199/P$12)</f>
        <v>-2.96195239124732E-6</v>
      </c>
      <c r="S199" s="1"/>
      <c r="T199" s="1">
        <f>SUM(OSRRefT22_6x_0)</f>
        <v>347412.28</v>
      </c>
      <c r="U199" s="1"/>
      <c r="V199" s="5">
        <f t="shared" ref="V199:V201" si="82">IF(T$12=0,0,T199/T$12)</f>
        <v>3.8486952101006472E-2</v>
      </c>
      <c r="W199" s="1"/>
      <c r="X199" s="1">
        <f t="shared" ref="X199:X201" si="83">+P199-T199</f>
        <v>-347427.71</v>
      </c>
      <c r="Y199" s="1"/>
      <c r="Z199" s="5">
        <f t="shared" ref="Z199:Z201" si="84">IF(T199=0,0,X199/T199)</f>
        <v>-1.00004441408922</v>
      </c>
    </row>
    <row r="200" spans="1:26" s="23" customFormat="1" hidden="1" outlineLevel="2" x14ac:dyDescent="0.25">
      <c r="A200" s="27"/>
      <c r="B200" s="10" t="str">
        <f>CONCATENATE("          ", "6382", " - ", "DISCOUNTS/MARK DOWNS")</f>
        <v xml:space="preserve">          6382 - DISCOUNTS/MARK DOWNS</v>
      </c>
      <c r="C200" s="10"/>
      <c r="D200" s="6">
        <v>0</v>
      </c>
      <c r="E200" s="2"/>
      <c r="F200" s="7">
        <f t="shared" si="77"/>
        <v>0</v>
      </c>
      <c r="G200" s="2"/>
      <c r="H200" s="6">
        <v>43517.71</v>
      </c>
      <c r="I200" s="2"/>
      <c r="J200" s="7">
        <f t="shared" si="78"/>
        <v>0.16507101632464541</v>
      </c>
      <c r="K200" s="2"/>
      <c r="L200" s="6">
        <f t="shared" si="79"/>
        <v>-43517.71</v>
      </c>
      <c r="M200" s="2"/>
      <c r="N200" s="7">
        <f t="shared" si="80"/>
        <v>-1</v>
      </c>
      <c r="O200" s="10"/>
      <c r="P200" s="6">
        <v>0</v>
      </c>
      <c r="Q200" s="2"/>
      <c r="R200" s="7">
        <f t="shared" si="81"/>
        <v>0</v>
      </c>
      <c r="S200" s="2"/>
      <c r="T200" s="6">
        <v>350643.9</v>
      </c>
      <c r="U200" s="2"/>
      <c r="V200" s="7">
        <f t="shared" si="82"/>
        <v>3.8844956729250056E-2</v>
      </c>
      <c r="W200" s="2"/>
      <c r="X200" s="6">
        <f t="shared" si="83"/>
        <v>-350643.9</v>
      </c>
      <c r="Y200" s="2"/>
      <c r="Z200" s="7">
        <f t="shared" si="84"/>
        <v>-1</v>
      </c>
    </row>
    <row r="201" spans="1:26" s="23" customFormat="1" hidden="1" outlineLevel="2" x14ac:dyDescent="0.25">
      <c r="A201" s="27"/>
      <c r="B201" s="10" t="str">
        <f>CONCATENATE("          ", "9175", " - ", "EARNED DISCOUNTS")</f>
        <v xml:space="preserve">          9175 - EARNED DISCOUNTS</v>
      </c>
      <c r="C201" s="10"/>
      <c r="D201" s="6">
        <v>0</v>
      </c>
      <c r="E201" s="2"/>
      <c r="F201" s="7">
        <f t="shared" si="77"/>
        <v>0</v>
      </c>
      <c r="G201" s="2"/>
      <c r="H201" s="6"/>
      <c r="I201" s="2"/>
      <c r="J201" s="7">
        <f t="shared" si="78"/>
        <v>0</v>
      </c>
      <c r="K201" s="2"/>
      <c r="L201" s="6">
        <f t="shared" si="79"/>
        <v>0</v>
      </c>
      <c r="M201" s="2"/>
      <c r="N201" s="7">
        <f t="shared" si="80"/>
        <v>0</v>
      </c>
      <c r="O201" s="10"/>
      <c r="P201" s="6">
        <v>-15.43</v>
      </c>
      <c r="Q201" s="2"/>
      <c r="R201" s="7">
        <f t="shared" si="81"/>
        <v>-2.96195239124732E-6</v>
      </c>
      <c r="S201" s="2"/>
      <c r="T201" s="6">
        <v>-3231.62</v>
      </c>
      <c r="U201" s="2"/>
      <c r="V201" s="7">
        <f t="shared" si="82"/>
        <v>-3.5800462824358003E-4</v>
      </c>
      <c r="W201" s="2"/>
      <c r="X201" s="6">
        <f t="shared" si="83"/>
        <v>3216.19</v>
      </c>
      <c r="Y201" s="2"/>
      <c r="Z201" s="7">
        <f t="shared" si="84"/>
        <v>-0.9952253049554094</v>
      </c>
    </row>
    <row r="202" spans="1:26" s="26" customFormat="1" outlineLevel="1" collapsed="1" x14ac:dyDescent="0.25">
      <c r="A202" s="25"/>
      <c r="B202" s="12" t="str">
        <f>CONCATENATE("     ","Donations                                         ")</f>
        <v xml:space="preserve">     Donations                                         </v>
      </c>
      <c r="C202" s="12"/>
      <c r="D202" s="1">
        <f>SUM(OSRRefD22_7x_0)</f>
        <v>0</v>
      </c>
      <c r="E202" s="1"/>
      <c r="F202" s="5">
        <f t="shared" ref="F202:F210" si="85">IF(D$12=0,0,D202/D$12)</f>
        <v>0</v>
      </c>
      <c r="G202" s="1"/>
      <c r="H202" s="1">
        <f>SUM(OSRRefH22_7x_0)</f>
        <v>-1385.81</v>
      </c>
      <c r="I202" s="1"/>
      <c r="J202" s="5">
        <f t="shared" ref="J202:J210" si="86">IF(H$12=0,0,H202/H$12)</f>
        <v>-5.2566429881732478E-3</v>
      </c>
      <c r="K202" s="1"/>
      <c r="L202" s="1">
        <f t="shared" ref="L202:L210" si="87">+D202-H202</f>
        <v>1385.81</v>
      </c>
      <c r="M202" s="1"/>
      <c r="N202" s="5">
        <f t="shared" ref="N202:N210" si="88">IF(H202=0,0,L202/H202)</f>
        <v>-1</v>
      </c>
      <c r="O202" s="12"/>
      <c r="P202" s="1">
        <f>SUM(OSRRefP22_7x_0)</f>
        <v>360.9</v>
      </c>
      <c r="Q202" s="1"/>
      <c r="R202" s="5">
        <f t="shared" ref="R202:R210" si="89">IF(P$12=0,0,P202/P$12)</f>
        <v>6.9278588334488518E-5</v>
      </c>
      <c r="S202" s="1"/>
      <c r="T202" s="1">
        <f>SUM(OSRRefT22_7x_0)</f>
        <v>10985.64</v>
      </c>
      <c r="U202" s="1"/>
      <c r="V202" s="5">
        <f t="shared" ref="V202:V210" si="90">IF(T$12=0,0,T202/T$12)</f>
        <v>1.2170087956559874E-3</v>
      </c>
      <c r="W202" s="1"/>
      <c r="X202" s="1">
        <f t="shared" ref="X202:X210" si="91">+P202-T202</f>
        <v>-10624.74</v>
      </c>
      <c r="Y202" s="1"/>
      <c r="Z202" s="5">
        <f t="shared" ref="Z202:Z210" si="92">IF(T202=0,0,X202/T202)</f>
        <v>-0.96714802232732922</v>
      </c>
    </row>
    <row r="203" spans="1:26" s="23" customFormat="1" hidden="1" outlineLevel="2" x14ac:dyDescent="0.25">
      <c r="A203" s="27"/>
      <c r="B203" s="10" t="str">
        <f>CONCATENATE("          ", "6399", " - ", "DONATION-ON CAMPUS")</f>
        <v xml:space="preserve">          6399 - DONATION-ON CAMPUS</v>
      </c>
      <c r="C203" s="10"/>
      <c r="D203" s="6"/>
      <c r="E203" s="2"/>
      <c r="F203" s="7">
        <f t="shared" si="85"/>
        <v>0</v>
      </c>
      <c r="G203" s="2"/>
      <c r="H203" s="6">
        <v>-1385.81</v>
      </c>
      <c r="I203" s="2"/>
      <c r="J203" s="7">
        <f t="shared" si="86"/>
        <v>-5.2566429881732478E-3</v>
      </c>
      <c r="K203" s="2"/>
      <c r="L203" s="6">
        <f t="shared" si="87"/>
        <v>1385.81</v>
      </c>
      <c r="M203" s="2"/>
      <c r="N203" s="7">
        <f t="shared" si="88"/>
        <v>-1</v>
      </c>
      <c r="O203" s="10"/>
      <c r="P203" s="6">
        <v>360.9</v>
      </c>
      <c r="Q203" s="2"/>
      <c r="R203" s="7">
        <f t="shared" si="89"/>
        <v>6.9278588334488518E-5</v>
      </c>
      <c r="S203" s="2"/>
      <c r="T203" s="6">
        <v>10985.64</v>
      </c>
      <c r="U203" s="2"/>
      <c r="V203" s="7">
        <f t="shared" si="90"/>
        <v>1.2170087956559874E-3</v>
      </c>
      <c r="W203" s="2"/>
      <c r="X203" s="6">
        <f t="shared" si="91"/>
        <v>-10624.74</v>
      </c>
      <c r="Y203" s="2"/>
      <c r="Z203" s="7">
        <f t="shared" si="92"/>
        <v>-0.96714802232732922</v>
      </c>
    </row>
    <row r="204" spans="1:26" s="26" customFormat="1" outlineLevel="1" collapsed="1" x14ac:dyDescent="0.25">
      <c r="A204" s="25"/>
      <c r="B204" s="12" t="str">
        <f>CONCATENATE("     ","Employees' Appreciation                           ")</f>
        <v xml:space="preserve">     Employees' Appreciation                           </v>
      </c>
      <c r="C204" s="12"/>
      <c r="D204" s="1">
        <f>SUM(OSRRefD22_8x_0)</f>
        <v>0</v>
      </c>
      <c r="E204" s="1"/>
      <c r="F204" s="5">
        <f t="shared" si="85"/>
        <v>0</v>
      </c>
      <c r="G204" s="1"/>
      <c r="H204" s="1">
        <f>SUM(OSRRefH22_8x_0)</f>
        <v>0</v>
      </c>
      <c r="I204" s="1"/>
      <c r="J204" s="5">
        <f t="shared" si="86"/>
        <v>0</v>
      </c>
      <c r="K204" s="1"/>
      <c r="L204" s="1">
        <f t="shared" si="87"/>
        <v>0</v>
      </c>
      <c r="M204" s="1"/>
      <c r="N204" s="5">
        <f t="shared" si="88"/>
        <v>0</v>
      </c>
      <c r="O204" s="12"/>
      <c r="P204" s="1">
        <f>SUM(OSRRefP22_8x_0)</f>
        <v>186.03</v>
      </c>
      <c r="Q204" s="1"/>
      <c r="R204" s="5">
        <f t="shared" si="89"/>
        <v>3.5710434435757546E-5</v>
      </c>
      <c r="S204" s="1"/>
      <c r="T204" s="1">
        <f>SUM(OSRRefT22_8x_0)</f>
        <v>1554.27</v>
      </c>
      <c r="U204" s="1"/>
      <c r="V204" s="5">
        <f t="shared" si="90"/>
        <v>1.7218480314521792E-4</v>
      </c>
      <c r="W204" s="1"/>
      <c r="X204" s="1">
        <f t="shared" si="91"/>
        <v>-1368.24</v>
      </c>
      <c r="Y204" s="1"/>
      <c r="Z204" s="5">
        <f t="shared" si="92"/>
        <v>-0.88031037078499874</v>
      </c>
    </row>
    <row r="205" spans="1:26" s="23" customFormat="1" hidden="1" outlineLevel="2" x14ac:dyDescent="0.25">
      <c r="A205" s="27"/>
      <c r="B205" s="10" t="str">
        <f>CONCATENATE("          ", "6277", " - ", "EMPLOYEE APPRECIATION")</f>
        <v xml:space="preserve">          6277 - EMPLOYEE APPRECIATION</v>
      </c>
      <c r="C205" s="10"/>
      <c r="D205" s="6"/>
      <c r="E205" s="2"/>
      <c r="F205" s="7">
        <f t="shared" si="85"/>
        <v>0</v>
      </c>
      <c r="G205" s="2"/>
      <c r="H205" s="6"/>
      <c r="I205" s="2"/>
      <c r="J205" s="7">
        <f t="shared" si="86"/>
        <v>0</v>
      </c>
      <c r="K205" s="2"/>
      <c r="L205" s="6">
        <f t="shared" si="87"/>
        <v>0</v>
      </c>
      <c r="M205" s="2"/>
      <c r="N205" s="7">
        <f t="shared" si="88"/>
        <v>0</v>
      </c>
      <c r="O205" s="10"/>
      <c r="P205" s="6">
        <v>186.03</v>
      </c>
      <c r="Q205" s="2"/>
      <c r="R205" s="7">
        <f t="shared" si="89"/>
        <v>3.5710434435757546E-5</v>
      </c>
      <c r="S205" s="2"/>
      <c r="T205" s="6">
        <v>1554.27</v>
      </c>
      <c r="U205" s="2"/>
      <c r="V205" s="7">
        <f t="shared" si="90"/>
        <v>1.7218480314521792E-4</v>
      </c>
      <c r="W205" s="2"/>
      <c r="X205" s="6">
        <f t="shared" si="91"/>
        <v>-1368.24</v>
      </c>
      <c r="Y205" s="2"/>
      <c r="Z205" s="7">
        <f t="shared" si="92"/>
        <v>-0.88031037078499874</v>
      </c>
    </row>
    <row r="206" spans="1:26" s="26" customFormat="1" outlineLevel="1" collapsed="1" x14ac:dyDescent="0.25">
      <c r="A206" s="25"/>
      <c r="B206" s="12" t="str">
        <f>CONCATENATE("     ","Equipment Rental                                  ")</f>
        <v xml:space="preserve">     Equipment Rental                                  </v>
      </c>
      <c r="C206" s="12"/>
      <c r="D206" s="1">
        <f>SUM(OSRRefD22_9x_0)</f>
        <v>1712.05</v>
      </c>
      <c r="E206" s="1"/>
      <c r="F206" s="5">
        <f t="shared" si="85"/>
        <v>3.378408111384124E-3</v>
      </c>
      <c r="G206" s="1"/>
      <c r="H206" s="1">
        <f>SUM(OSRRefH22_9x_0)</f>
        <v>1687.5</v>
      </c>
      <c r="I206" s="1"/>
      <c r="J206" s="5">
        <f t="shared" si="86"/>
        <v>6.4010109917971127E-3</v>
      </c>
      <c r="K206" s="1"/>
      <c r="L206" s="1">
        <f t="shared" si="87"/>
        <v>24.549999999999955</v>
      </c>
      <c r="M206" s="1"/>
      <c r="N206" s="5">
        <f t="shared" si="88"/>
        <v>1.4548148148148121E-2</v>
      </c>
      <c r="O206" s="12"/>
      <c r="P206" s="1">
        <f>SUM(OSRRefP22_9x_0)</f>
        <v>16546.22</v>
      </c>
      <c r="Q206" s="1"/>
      <c r="R206" s="5">
        <f t="shared" si="89"/>
        <v>3.1762226762867296E-3</v>
      </c>
      <c r="S206" s="1"/>
      <c r="T206" s="1">
        <f>SUM(OSRRefT22_9x_0)</f>
        <v>18451.63</v>
      </c>
      <c r="U206" s="1"/>
      <c r="V206" s="5">
        <f t="shared" si="90"/>
        <v>2.0441044858733664E-3</v>
      </c>
      <c r="W206" s="1"/>
      <c r="X206" s="1">
        <f t="shared" si="91"/>
        <v>-1905.4099999999999</v>
      </c>
      <c r="Y206" s="1"/>
      <c r="Z206" s="5">
        <f t="shared" si="92"/>
        <v>-0.10326513159000043</v>
      </c>
    </row>
    <row r="207" spans="1:26" s="23" customFormat="1" hidden="1" outlineLevel="2" x14ac:dyDescent="0.25">
      <c r="A207" s="27"/>
      <c r="B207" s="10" t="str">
        <f>CONCATENATE("          ", "6351", " - ", "EQUIPMENT RENTAL")</f>
        <v xml:space="preserve">          6351 - EQUIPMENT RENTAL</v>
      </c>
      <c r="C207" s="10"/>
      <c r="D207" s="6">
        <v>1712.05</v>
      </c>
      <c r="E207" s="2"/>
      <c r="F207" s="7">
        <f t="shared" si="85"/>
        <v>3.378408111384124E-3</v>
      </c>
      <c r="G207" s="2"/>
      <c r="H207" s="6">
        <v>1687.5</v>
      </c>
      <c r="I207" s="2"/>
      <c r="J207" s="7">
        <f t="shared" si="86"/>
        <v>6.4010109917971127E-3</v>
      </c>
      <c r="K207" s="2"/>
      <c r="L207" s="6">
        <f t="shared" si="87"/>
        <v>24.549999999999955</v>
      </c>
      <c r="M207" s="2"/>
      <c r="N207" s="7">
        <f t="shared" si="88"/>
        <v>1.4548148148148121E-2</v>
      </c>
      <c r="O207" s="10"/>
      <c r="P207" s="6">
        <v>16546.22</v>
      </c>
      <c r="Q207" s="2"/>
      <c r="R207" s="7">
        <f t="shared" si="89"/>
        <v>3.1762226762867296E-3</v>
      </c>
      <c r="S207" s="2"/>
      <c r="T207" s="6">
        <v>18451.63</v>
      </c>
      <c r="U207" s="2"/>
      <c r="V207" s="7">
        <f t="shared" si="90"/>
        <v>2.0441044858733664E-3</v>
      </c>
      <c r="W207" s="2"/>
      <c r="X207" s="6">
        <f t="shared" si="91"/>
        <v>-1905.4099999999999</v>
      </c>
      <c r="Y207" s="2"/>
      <c r="Z207" s="7">
        <f t="shared" si="92"/>
        <v>-0.10326513159000043</v>
      </c>
    </row>
    <row r="208" spans="1:26" s="26" customFormat="1" outlineLevel="1" collapsed="1" x14ac:dyDescent="0.25">
      <c r="A208" s="25"/>
      <c r="B208" s="12" t="str">
        <f>CONCATENATE("     ","Freight out/Postage                               ")</f>
        <v xml:space="preserve">     Freight out/Postage                               </v>
      </c>
      <c r="C208" s="12"/>
      <c r="D208" s="1">
        <f>SUM(OSRRefD22_10x_0)</f>
        <v>-20865.219999999998</v>
      </c>
      <c r="E208" s="1"/>
      <c r="F208" s="5">
        <f t="shared" si="85"/>
        <v>-4.1173580499292803E-2</v>
      </c>
      <c r="G208" s="1"/>
      <c r="H208" s="1">
        <f>SUM(OSRRefH22_10x_0)</f>
        <v>6098.17</v>
      </c>
      <c r="I208" s="1"/>
      <c r="J208" s="5">
        <f t="shared" si="86"/>
        <v>2.3131527822131792E-2</v>
      </c>
      <c r="K208" s="1"/>
      <c r="L208" s="1">
        <f t="shared" si="87"/>
        <v>-26963.39</v>
      </c>
      <c r="M208" s="1"/>
      <c r="N208" s="5">
        <f t="shared" si="88"/>
        <v>-4.4215543351530044</v>
      </c>
      <c r="O208" s="12"/>
      <c r="P208" s="1">
        <f>SUM(OSRRefP22_10x_0)</f>
        <v>-67886.76999999996</v>
      </c>
      <c r="Q208" s="1"/>
      <c r="R208" s="5">
        <f t="shared" si="89"/>
        <v>-1.3031586567437246E-2</v>
      </c>
      <c r="S208" s="1"/>
      <c r="T208" s="1">
        <f>SUM(OSRRefT22_10x_0)</f>
        <v>15992.370000000003</v>
      </c>
      <c r="U208" s="1"/>
      <c r="V208" s="5">
        <f t="shared" si="90"/>
        <v>1.7716632761846328E-3</v>
      </c>
      <c r="W208" s="1"/>
      <c r="X208" s="1">
        <f t="shared" si="91"/>
        <v>-83879.139999999956</v>
      </c>
      <c r="Y208" s="1"/>
      <c r="Z208" s="5">
        <f t="shared" si="92"/>
        <v>-5.2449474343077318</v>
      </c>
    </row>
    <row r="209" spans="1:26" s="23" customFormat="1" hidden="1" outlineLevel="2" x14ac:dyDescent="0.25">
      <c r="A209" s="27"/>
      <c r="B209" s="10" t="str">
        <f>CONCATENATE("          ", "6305", " - ", "FREIGHT OUT")</f>
        <v xml:space="preserve">          6305 - FREIGHT OUT</v>
      </c>
      <c r="C209" s="10"/>
      <c r="D209" s="6">
        <v>22482.81</v>
      </c>
      <c r="E209" s="2"/>
      <c r="F209" s="7">
        <f t="shared" si="85"/>
        <v>4.4365589597680034E-2</v>
      </c>
      <c r="G209" s="2"/>
      <c r="H209" s="6">
        <v>7586</v>
      </c>
      <c r="I209" s="2"/>
      <c r="J209" s="7">
        <f t="shared" si="86"/>
        <v>2.8775152227420976E-2</v>
      </c>
      <c r="K209" s="2"/>
      <c r="L209" s="6">
        <f t="shared" si="87"/>
        <v>14896.810000000001</v>
      </c>
      <c r="M209" s="2"/>
      <c r="N209" s="7">
        <f t="shared" si="88"/>
        <v>1.963723965199051</v>
      </c>
      <c r="O209" s="10"/>
      <c r="P209" s="6">
        <v>224383.64</v>
      </c>
      <c r="Q209" s="2"/>
      <c r="R209" s="7">
        <f t="shared" si="89"/>
        <v>4.3072823010679058E-2</v>
      </c>
      <c r="S209" s="2"/>
      <c r="T209" s="6">
        <v>69911.19</v>
      </c>
      <c r="U209" s="2"/>
      <c r="V209" s="7">
        <f t="shared" si="90"/>
        <v>7.7448863375075934E-3</v>
      </c>
      <c r="W209" s="2"/>
      <c r="X209" s="6">
        <f t="shared" si="91"/>
        <v>154472.45000000001</v>
      </c>
      <c r="Y209" s="2"/>
      <c r="Z209" s="7">
        <f t="shared" si="92"/>
        <v>2.2095525766332971</v>
      </c>
    </row>
    <row r="210" spans="1:26" s="23" customFormat="1" hidden="1" outlineLevel="2" x14ac:dyDescent="0.25">
      <c r="A210" s="27"/>
      <c r="B210" s="10" t="str">
        <f>CONCATENATE("          ", "6307", " - ", "POSTAGE")</f>
        <v xml:space="preserve">          6307 - POSTAGE</v>
      </c>
      <c r="C210" s="10"/>
      <c r="D210" s="6">
        <v>-43348.03</v>
      </c>
      <c r="E210" s="2"/>
      <c r="F210" s="7">
        <f t="shared" si="85"/>
        <v>-8.553917009697283E-2</v>
      </c>
      <c r="G210" s="2"/>
      <c r="H210" s="6">
        <v>-1487.83</v>
      </c>
      <c r="I210" s="2"/>
      <c r="J210" s="7">
        <f t="shared" si="86"/>
        <v>-5.643624405289184E-3</v>
      </c>
      <c r="K210" s="2"/>
      <c r="L210" s="6">
        <f t="shared" si="87"/>
        <v>-41860.199999999997</v>
      </c>
      <c r="M210" s="2"/>
      <c r="N210" s="7">
        <f t="shared" si="88"/>
        <v>28.135069194733269</v>
      </c>
      <c r="O210" s="10"/>
      <c r="P210" s="6">
        <v>-292270.40999999997</v>
      </c>
      <c r="Q210" s="2"/>
      <c r="R210" s="7">
        <f t="shared" si="89"/>
        <v>-5.6104409578116306E-2</v>
      </c>
      <c r="S210" s="2"/>
      <c r="T210" s="6">
        <v>-53918.82</v>
      </c>
      <c r="U210" s="2"/>
      <c r="V210" s="7">
        <f t="shared" si="90"/>
        <v>-5.9732230613229612E-3</v>
      </c>
      <c r="W210" s="2"/>
      <c r="X210" s="6">
        <f t="shared" si="91"/>
        <v>-238351.58999999997</v>
      </c>
      <c r="Y210" s="2"/>
      <c r="Z210" s="7">
        <f t="shared" si="92"/>
        <v>4.4205639144180076</v>
      </c>
    </row>
    <row r="211" spans="1:26" s="26" customFormat="1" outlineLevel="1" collapsed="1" x14ac:dyDescent="0.25">
      <c r="A211" s="25"/>
      <c r="B211" s="12" t="str">
        <f>CONCATENATE("     ","General                                           ")</f>
        <v xml:space="preserve">     General                                           </v>
      </c>
      <c r="C211" s="12"/>
      <c r="D211" s="1">
        <f>SUM(OSRRefD22_11x_0)</f>
        <v>0</v>
      </c>
      <c r="E211" s="1"/>
      <c r="F211" s="5">
        <f t="shared" ref="F211:F218" si="93">IF(D$12=0,0,D211/D$12)</f>
        <v>0</v>
      </c>
      <c r="G211" s="1"/>
      <c r="H211" s="1">
        <f>SUM(OSRRefH22_11x_0)</f>
        <v>120.99</v>
      </c>
      <c r="I211" s="1"/>
      <c r="J211" s="5">
        <f t="shared" ref="J211:J218" si="94">IF(H$12=0,0,H211/H$12)</f>
        <v>4.5893826364298227E-4</v>
      </c>
      <c r="K211" s="1"/>
      <c r="L211" s="1">
        <f t="shared" ref="L211:L218" si="95">+D211-H211</f>
        <v>-120.99</v>
      </c>
      <c r="M211" s="1"/>
      <c r="N211" s="5">
        <f t="shared" ref="N211:N218" si="96">IF(H211=0,0,L211/H211)</f>
        <v>-1</v>
      </c>
      <c r="O211" s="12"/>
      <c r="P211" s="1">
        <f>SUM(OSRRefP22_11x_0)</f>
        <v>2603.63</v>
      </c>
      <c r="Q211" s="1"/>
      <c r="R211" s="5">
        <f t="shared" ref="R211:R218" si="97">IF(P$12=0,0,P211/P$12)</f>
        <v>4.9979443320954378E-4</v>
      </c>
      <c r="S211" s="1"/>
      <c r="T211" s="1">
        <f>SUM(OSRRefT22_11x_0)</f>
        <v>-1570.63</v>
      </c>
      <c r="U211" s="1"/>
      <c r="V211" s="5">
        <f t="shared" ref="V211:V218" si="98">IF(T$12=0,0,T211/T$12)</f>
        <v>-1.7399719312859003E-4</v>
      </c>
      <c r="W211" s="1"/>
      <c r="X211" s="1">
        <f t="shared" ref="X211:X218" si="99">+P211-T211</f>
        <v>4174.26</v>
      </c>
      <c r="Y211" s="1"/>
      <c r="Z211" s="5">
        <f t="shared" ref="Z211:Z218" si="100">IF(T211=0,0,X211/T211)</f>
        <v>-2.6576978664612287</v>
      </c>
    </row>
    <row r="212" spans="1:26" s="23" customFormat="1" hidden="1" outlineLevel="2" x14ac:dyDescent="0.25">
      <c r="A212" s="27"/>
      <c r="B212" s="10" t="str">
        <f>CONCATENATE("          ", "6279", " - ", "GENERAL EXPENSE")</f>
        <v xml:space="preserve">          6279 - GENERAL EXPENSE</v>
      </c>
      <c r="C212" s="10"/>
      <c r="D212" s="6"/>
      <c r="E212" s="2"/>
      <c r="F212" s="7">
        <f t="shared" si="93"/>
        <v>0</v>
      </c>
      <c r="G212" s="2"/>
      <c r="H212" s="6">
        <v>120.99</v>
      </c>
      <c r="I212" s="2"/>
      <c r="J212" s="7">
        <f t="shared" si="94"/>
        <v>4.5893826364298227E-4</v>
      </c>
      <c r="K212" s="2"/>
      <c r="L212" s="6">
        <f t="shared" si="95"/>
        <v>-120.99</v>
      </c>
      <c r="M212" s="2"/>
      <c r="N212" s="7">
        <f t="shared" si="96"/>
        <v>-1</v>
      </c>
      <c r="O212" s="10"/>
      <c r="P212" s="6">
        <v>2603.63</v>
      </c>
      <c r="Q212" s="2"/>
      <c r="R212" s="7">
        <f t="shared" si="97"/>
        <v>4.9979443320954378E-4</v>
      </c>
      <c r="S212" s="2"/>
      <c r="T212" s="6">
        <v>-1570.63</v>
      </c>
      <c r="U212" s="2"/>
      <c r="V212" s="7">
        <f t="shared" si="98"/>
        <v>-1.7399719312859003E-4</v>
      </c>
      <c r="W212" s="2"/>
      <c r="X212" s="6">
        <f t="shared" si="99"/>
        <v>4174.26</v>
      </c>
      <c r="Y212" s="2"/>
      <c r="Z212" s="7">
        <f t="shared" si="100"/>
        <v>-2.6576978664612287</v>
      </c>
    </row>
    <row r="213" spans="1:26" s="26" customFormat="1" outlineLevel="1" collapsed="1" x14ac:dyDescent="0.25">
      <c r="A213" s="25"/>
      <c r="B213" s="12" t="str">
        <f>CONCATENATE("     ","Insurance                                         ")</f>
        <v xml:space="preserve">     Insurance                                         </v>
      </c>
      <c r="C213" s="12"/>
      <c r="D213" s="1">
        <f>SUM(OSRRefD22_12x_0)</f>
        <v>4044.74</v>
      </c>
      <c r="E213" s="1"/>
      <c r="F213" s="5">
        <f t="shared" si="93"/>
        <v>7.9815323293360718E-3</v>
      </c>
      <c r="G213" s="1"/>
      <c r="H213" s="1">
        <f>SUM(OSRRefH22_12x_0)</f>
        <v>4044.74</v>
      </c>
      <c r="I213" s="1"/>
      <c r="J213" s="5">
        <f t="shared" si="94"/>
        <v>1.5342474191977156E-2</v>
      </c>
      <c r="K213" s="1"/>
      <c r="L213" s="1">
        <f t="shared" si="95"/>
        <v>0</v>
      </c>
      <c r="M213" s="1"/>
      <c r="N213" s="5">
        <f t="shared" si="96"/>
        <v>0</v>
      </c>
      <c r="O213" s="12"/>
      <c r="P213" s="1">
        <f>SUM(OSRRefP22_12x_0)</f>
        <v>44492.14</v>
      </c>
      <c r="Q213" s="1"/>
      <c r="R213" s="5">
        <f t="shared" si="97"/>
        <v>8.5407388505969236E-3</v>
      </c>
      <c r="S213" s="1"/>
      <c r="T213" s="1">
        <f>SUM(OSRRefT22_12x_0)</f>
        <v>44492.14</v>
      </c>
      <c r="U213" s="1"/>
      <c r="V213" s="5">
        <f t="shared" si="98"/>
        <v>4.928918635378329E-3</v>
      </c>
      <c r="W213" s="1"/>
      <c r="X213" s="1">
        <f t="shared" si="99"/>
        <v>0</v>
      </c>
      <c r="Y213" s="1"/>
      <c r="Z213" s="5">
        <f t="shared" si="100"/>
        <v>0</v>
      </c>
    </row>
    <row r="214" spans="1:26" s="23" customFormat="1" hidden="1" outlineLevel="2" x14ac:dyDescent="0.25">
      <c r="A214" s="27"/>
      <c r="B214" s="10" t="str">
        <f>CONCATENATE("          ", "6314", " - ", "LIABILITY INSURANCE")</f>
        <v xml:space="preserve">          6314 - LIABILITY INSURANCE</v>
      </c>
      <c r="C214" s="10"/>
      <c r="D214" s="6">
        <v>4044.74</v>
      </c>
      <c r="E214" s="2"/>
      <c r="F214" s="7">
        <f t="shared" si="93"/>
        <v>7.9815323293360718E-3</v>
      </c>
      <c r="G214" s="2"/>
      <c r="H214" s="6">
        <v>4044.74</v>
      </c>
      <c r="I214" s="2"/>
      <c r="J214" s="7">
        <f t="shared" si="94"/>
        <v>1.5342474191977156E-2</v>
      </c>
      <c r="K214" s="2"/>
      <c r="L214" s="6">
        <f t="shared" si="95"/>
        <v>0</v>
      </c>
      <c r="M214" s="2"/>
      <c r="N214" s="7">
        <f t="shared" si="96"/>
        <v>0</v>
      </c>
      <c r="O214" s="10"/>
      <c r="P214" s="6">
        <v>44492.14</v>
      </c>
      <c r="Q214" s="2"/>
      <c r="R214" s="7">
        <f t="shared" si="97"/>
        <v>8.5407388505969236E-3</v>
      </c>
      <c r="S214" s="2"/>
      <c r="T214" s="6">
        <v>44492.14</v>
      </c>
      <c r="U214" s="2"/>
      <c r="V214" s="7">
        <f t="shared" si="98"/>
        <v>4.928918635378329E-3</v>
      </c>
      <c r="W214" s="2"/>
      <c r="X214" s="6">
        <f t="shared" si="99"/>
        <v>0</v>
      </c>
      <c r="Y214" s="2"/>
      <c r="Z214" s="7">
        <f t="shared" si="100"/>
        <v>0</v>
      </c>
    </row>
    <row r="215" spans="1:26" s="26" customFormat="1" outlineLevel="1" collapsed="1" x14ac:dyDescent="0.25">
      <c r="A215" s="25"/>
      <c r="B215" s="12" t="str">
        <f>CONCATENATE("     ","Inventory Adjustment                              ")</f>
        <v xml:space="preserve">     Inventory Adjustment                              </v>
      </c>
      <c r="C215" s="12"/>
      <c r="D215" s="1">
        <f>SUM(OSRRefD22_13x_0)</f>
        <v>2100</v>
      </c>
      <c r="E215" s="1"/>
      <c r="F215" s="5">
        <f t="shared" si="93"/>
        <v>4.1439543435686224E-3</v>
      </c>
      <c r="G215" s="1"/>
      <c r="H215" s="1">
        <f>SUM(OSRRefH22_13x_0)</f>
        <v>4550</v>
      </c>
      <c r="I215" s="1"/>
      <c r="J215" s="5">
        <f t="shared" si="94"/>
        <v>1.7259022229734435E-2</v>
      </c>
      <c r="K215" s="1"/>
      <c r="L215" s="1">
        <f t="shared" si="95"/>
        <v>-2450</v>
      </c>
      <c r="M215" s="1"/>
      <c r="N215" s="5">
        <f t="shared" si="96"/>
        <v>-0.53846153846153844</v>
      </c>
      <c r="O215" s="12"/>
      <c r="P215" s="1">
        <f>SUM(OSRRefP22_13x_0)</f>
        <v>28100</v>
      </c>
      <c r="Q215" s="1"/>
      <c r="R215" s="5">
        <f t="shared" si="97"/>
        <v>5.3940934668859171E-3</v>
      </c>
      <c r="S215" s="1"/>
      <c r="T215" s="1">
        <f>SUM(OSRRefT22_13x_0)</f>
        <v>53350</v>
      </c>
      <c r="U215" s="1"/>
      <c r="V215" s="5">
        <f t="shared" si="98"/>
        <v>5.910208167047795E-3</v>
      </c>
      <c r="W215" s="1"/>
      <c r="X215" s="1">
        <f t="shared" si="99"/>
        <v>-25250</v>
      </c>
      <c r="Y215" s="1"/>
      <c r="Z215" s="5">
        <f t="shared" si="100"/>
        <v>-0.4732895970009372</v>
      </c>
    </row>
    <row r="216" spans="1:26" s="23" customFormat="1" hidden="1" outlineLevel="2" x14ac:dyDescent="0.25">
      <c r="A216" s="27"/>
      <c r="B216" s="10" t="str">
        <f>CONCATENATE("          ", "6408", " - ", "INVENTORY ADJUSTMENT")</f>
        <v xml:space="preserve">          6408 - INVENTORY ADJUSTMENT</v>
      </c>
      <c r="C216" s="10"/>
      <c r="D216" s="6">
        <v>2100</v>
      </c>
      <c r="E216" s="2"/>
      <c r="F216" s="7">
        <f t="shared" si="93"/>
        <v>4.1439543435686224E-3</v>
      </c>
      <c r="G216" s="2"/>
      <c r="H216" s="6">
        <v>4550</v>
      </c>
      <c r="I216" s="2"/>
      <c r="J216" s="7">
        <f t="shared" si="94"/>
        <v>1.7259022229734435E-2</v>
      </c>
      <c r="K216" s="2"/>
      <c r="L216" s="6">
        <f t="shared" si="95"/>
        <v>-2450</v>
      </c>
      <c r="M216" s="2"/>
      <c r="N216" s="7">
        <f t="shared" si="96"/>
        <v>-0.53846153846153844</v>
      </c>
      <c r="O216" s="10"/>
      <c r="P216" s="6">
        <v>28100</v>
      </c>
      <c r="Q216" s="2"/>
      <c r="R216" s="7">
        <f t="shared" si="97"/>
        <v>5.3940934668859171E-3</v>
      </c>
      <c r="S216" s="2"/>
      <c r="T216" s="6">
        <v>53350</v>
      </c>
      <c r="U216" s="2"/>
      <c r="V216" s="7">
        <f t="shared" si="98"/>
        <v>5.910208167047795E-3</v>
      </c>
      <c r="W216" s="2"/>
      <c r="X216" s="6">
        <f t="shared" si="99"/>
        <v>-25250</v>
      </c>
      <c r="Y216" s="2"/>
      <c r="Z216" s="7">
        <f t="shared" si="100"/>
        <v>-0.4732895970009372</v>
      </c>
    </row>
    <row r="217" spans="1:26" s="23" customFormat="1" hidden="1" outlineLevel="2" x14ac:dyDescent="0.25">
      <c r="A217" s="27"/>
      <c r="B217" s="10" t="str">
        <f>CONCATENATE("          ", "7701", " - ", "INV. SHRINKAGE-NEW TEXT")</f>
        <v xml:space="preserve">          7701 - INV. SHRINKAGE-NEW TEXT</v>
      </c>
      <c r="C217" s="10"/>
      <c r="D217" s="6"/>
      <c r="E217" s="2"/>
      <c r="F217" s="7">
        <f t="shared" si="93"/>
        <v>0</v>
      </c>
      <c r="G217" s="2"/>
      <c r="H217" s="6"/>
      <c r="I217" s="2"/>
      <c r="J217" s="7">
        <f t="shared" si="94"/>
        <v>0</v>
      </c>
      <c r="K217" s="2"/>
      <c r="L217" s="6">
        <f t="shared" si="95"/>
        <v>0</v>
      </c>
      <c r="M217" s="2"/>
      <c r="N217" s="7">
        <f t="shared" si="96"/>
        <v>0</v>
      </c>
      <c r="O217" s="10"/>
      <c r="P217" s="6"/>
      <c r="Q217" s="2"/>
      <c r="R217" s="7">
        <f t="shared" si="97"/>
        <v>0</v>
      </c>
      <c r="S217" s="2"/>
      <c r="T217" s="6">
        <v>0</v>
      </c>
      <c r="U217" s="2"/>
      <c r="V217" s="7">
        <f t="shared" si="98"/>
        <v>0</v>
      </c>
      <c r="W217" s="2"/>
      <c r="X217" s="6">
        <f t="shared" si="99"/>
        <v>0</v>
      </c>
      <c r="Y217" s="2"/>
      <c r="Z217" s="7">
        <f t="shared" si="100"/>
        <v>0</v>
      </c>
    </row>
    <row r="218" spans="1:26" s="23" customFormat="1" hidden="1" outlineLevel="2" x14ac:dyDescent="0.25">
      <c r="A218" s="27"/>
      <c r="B218" s="10" t="str">
        <f>CONCATENATE("          ", "7741", " - ", "INV. SHRINKAGE-LOGO GIFTS")</f>
        <v xml:space="preserve">          7741 - INV. SHRINKAGE-LOGO GIFTS</v>
      </c>
      <c r="C218" s="10"/>
      <c r="D218" s="6"/>
      <c r="E218" s="2"/>
      <c r="F218" s="7">
        <f t="shared" si="93"/>
        <v>0</v>
      </c>
      <c r="G218" s="2"/>
      <c r="H218" s="6"/>
      <c r="I218" s="2"/>
      <c r="J218" s="7">
        <f t="shared" si="94"/>
        <v>0</v>
      </c>
      <c r="K218" s="2"/>
      <c r="L218" s="6">
        <f t="shared" si="95"/>
        <v>0</v>
      </c>
      <c r="M218" s="2"/>
      <c r="N218" s="7">
        <f t="shared" si="96"/>
        <v>0</v>
      </c>
      <c r="O218" s="10"/>
      <c r="P218" s="6">
        <v>0</v>
      </c>
      <c r="Q218" s="2"/>
      <c r="R218" s="7">
        <f t="shared" si="97"/>
        <v>0</v>
      </c>
      <c r="S218" s="2"/>
      <c r="T218" s="6"/>
      <c r="U218" s="2"/>
      <c r="V218" s="7">
        <f t="shared" si="98"/>
        <v>0</v>
      </c>
      <c r="W218" s="2"/>
      <c r="X218" s="6">
        <f t="shared" si="99"/>
        <v>0</v>
      </c>
      <c r="Y218" s="2"/>
      <c r="Z218" s="7">
        <f t="shared" si="100"/>
        <v>0</v>
      </c>
    </row>
    <row r="219" spans="1:26" s="26" customFormat="1" outlineLevel="1" collapsed="1" x14ac:dyDescent="0.25">
      <c r="A219" s="25"/>
      <c r="B219" s="12" t="str">
        <f>CONCATENATE("     ","Professional Services                             ")</f>
        <v xml:space="preserve">     Professional Services                             </v>
      </c>
      <c r="C219" s="12"/>
      <c r="D219" s="1">
        <f>SUM(OSRRefD22_14x_0)</f>
        <v>0</v>
      </c>
      <c r="E219" s="1"/>
      <c r="F219" s="5">
        <f t="shared" ref="F219:F227" si="101">IF(D$12=0,0,D219/D$12)</f>
        <v>0</v>
      </c>
      <c r="G219" s="1"/>
      <c r="H219" s="1">
        <f>SUM(OSRRefH22_14x_0)</f>
        <v>0</v>
      </c>
      <c r="I219" s="1"/>
      <c r="J219" s="5">
        <f t="shared" ref="J219:J227" si="102">IF(H$12=0,0,H219/H$12)</f>
        <v>0</v>
      </c>
      <c r="K219" s="1"/>
      <c r="L219" s="1">
        <f t="shared" ref="L219:L227" si="103">+D219-H219</f>
        <v>0</v>
      </c>
      <c r="M219" s="1"/>
      <c r="N219" s="5">
        <f t="shared" ref="N219:N227" si="104">IF(H219=0,0,L219/H219)</f>
        <v>0</v>
      </c>
      <c r="O219" s="12"/>
      <c r="P219" s="1">
        <f>SUM(OSRRefP22_14x_0)</f>
        <v>0</v>
      </c>
      <c r="Q219" s="1"/>
      <c r="R219" s="5">
        <f t="shared" ref="R219:R227" si="105">IF(P$12=0,0,P219/P$12)</f>
        <v>0</v>
      </c>
      <c r="S219" s="1"/>
      <c r="T219" s="1">
        <f>SUM(OSRRefT22_14x_0)</f>
        <v>9129.56</v>
      </c>
      <c r="U219" s="1"/>
      <c r="V219" s="5">
        <f t="shared" ref="V219:V227" si="106">IF(T$12=0,0,T219/T$12)</f>
        <v>1.0113889423346365E-3</v>
      </c>
      <c r="W219" s="1"/>
      <c r="X219" s="1">
        <f t="shared" ref="X219:X227" si="107">+P219-T219</f>
        <v>-9129.56</v>
      </c>
      <c r="Y219" s="1"/>
      <c r="Z219" s="5">
        <f t="shared" ref="Z219:Z227" si="108">IF(T219=0,0,X219/T219)</f>
        <v>-1</v>
      </c>
    </row>
    <row r="220" spans="1:26" s="23" customFormat="1" hidden="1" outlineLevel="2" x14ac:dyDescent="0.25">
      <c r="A220" s="27"/>
      <c r="B220" s="10" t="str">
        <f>CONCATENATE("          ", "6336", " - ", "PROFESSIONAL SERVICES")</f>
        <v xml:space="preserve">          6336 - PROFESSIONAL SERVICES</v>
      </c>
      <c r="C220" s="10"/>
      <c r="D220" s="6"/>
      <c r="E220" s="2"/>
      <c r="F220" s="7">
        <f t="shared" si="101"/>
        <v>0</v>
      </c>
      <c r="G220" s="2"/>
      <c r="H220" s="6"/>
      <c r="I220" s="2"/>
      <c r="J220" s="7">
        <f t="shared" si="102"/>
        <v>0</v>
      </c>
      <c r="K220" s="2"/>
      <c r="L220" s="6">
        <f t="shared" si="103"/>
        <v>0</v>
      </c>
      <c r="M220" s="2"/>
      <c r="N220" s="7">
        <f t="shared" si="104"/>
        <v>0</v>
      </c>
      <c r="O220" s="10"/>
      <c r="P220" s="6"/>
      <c r="Q220" s="2"/>
      <c r="R220" s="7">
        <f t="shared" si="105"/>
        <v>0</v>
      </c>
      <c r="S220" s="2"/>
      <c r="T220" s="6">
        <v>9129.56</v>
      </c>
      <c r="U220" s="2"/>
      <c r="V220" s="7">
        <f t="shared" si="106"/>
        <v>1.0113889423346365E-3</v>
      </c>
      <c r="W220" s="2"/>
      <c r="X220" s="6">
        <f t="shared" si="107"/>
        <v>-9129.56</v>
      </c>
      <c r="Y220" s="2"/>
      <c r="Z220" s="7">
        <f t="shared" si="108"/>
        <v>-1</v>
      </c>
    </row>
    <row r="221" spans="1:26" s="26" customFormat="1" outlineLevel="1" collapsed="1" x14ac:dyDescent="0.25">
      <c r="A221" s="25"/>
      <c r="B221" s="12" t="str">
        <f>CONCATENATE("     ","Rent                                              ")</f>
        <v xml:space="preserve">     Rent                                              </v>
      </c>
      <c r="C221" s="12"/>
      <c r="D221" s="1">
        <f>SUM(OSRRefD22_15x_0)</f>
        <v>6100</v>
      </c>
      <c r="E221" s="1"/>
      <c r="F221" s="5">
        <f t="shared" si="101"/>
        <v>1.2037200712270761E-2</v>
      </c>
      <c r="G221" s="1"/>
      <c r="H221" s="1">
        <f>SUM(OSRRefH22_15x_0)</f>
        <v>6100</v>
      </c>
      <c r="I221" s="1"/>
      <c r="J221" s="5">
        <f t="shared" si="102"/>
        <v>2.3138469362940672E-2</v>
      </c>
      <c r="K221" s="1"/>
      <c r="L221" s="1">
        <f t="shared" si="103"/>
        <v>0</v>
      </c>
      <c r="M221" s="1"/>
      <c r="N221" s="5">
        <f t="shared" si="104"/>
        <v>0</v>
      </c>
      <c r="O221" s="12"/>
      <c r="P221" s="1">
        <f>SUM(OSRRefP22_15x_0)</f>
        <v>67100</v>
      </c>
      <c r="Q221" s="1"/>
      <c r="R221" s="5">
        <f t="shared" si="105"/>
        <v>1.2880557709183097E-2</v>
      </c>
      <c r="S221" s="1"/>
      <c r="T221" s="1">
        <f>SUM(OSRRefT22_15x_0)</f>
        <v>68700</v>
      </c>
      <c r="U221" s="1"/>
      <c r="V221" s="5">
        <f t="shared" si="106"/>
        <v>7.6107085487569538E-3</v>
      </c>
      <c r="W221" s="1"/>
      <c r="X221" s="1">
        <f t="shared" si="107"/>
        <v>-1600</v>
      </c>
      <c r="Y221" s="1"/>
      <c r="Z221" s="5">
        <f t="shared" si="108"/>
        <v>-2.3289665211062592E-2</v>
      </c>
    </row>
    <row r="222" spans="1:26" s="23" customFormat="1" hidden="1" outlineLevel="2" x14ac:dyDescent="0.25">
      <c r="A222" s="27"/>
      <c r="B222" s="10" t="str">
        <f>CONCATENATE("          ", "6273", " - ", "RENT")</f>
        <v xml:space="preserve">          6273 - RENT</v>
      </c>
      <c r="C222" s="10"/>
      <c r="D222" s="6">
        <v>6100</v>
      </c>
      <c r="E222" s="2"/>
      <c r="F222" s="7">
        <f t="shared" si="101"/>
        <v>1.2037200712270761E-2</v>
      </c>
      <c r="G222" s="2"/>
      <c r="H222" s="6">
        <v>6100</v>
      </c>
      <c r="I222" s="2"/>
      <c r="J222" s="7">
        <f t="shared" si="102"/>
        <v>2.3138469362940672E-2</v>
      </c>
      <c r="K222" s="2"/>
      <c r="L222" s="6">
        <f t="shared" si="103"/>
        <v>0</v>
      </c>
      <c r="M222" s="2"/>
      <c r="N222" s="7">
        <f t="shared" si="104"/>
        <v>0</v>
      </c>
      <c r="O222" s="10"/>
      <c r="P222" s="6">
        <v>67100</v>
      </c>
      <c r="Q222" s="2"/>
      <c r="R222" s="7">
        <f t="shared" si="105"/>
        <v>1.2880557709183097E-2</v>
      </c>
      <c r="S222" s="2"/>
      <c r="T222" s="6">
        <v>68700</v>
      </c>
      <c r="U222" s="2"/>
      <c r="V222" s="7">
        <f t="shared" si="106"/>
        <v>7.6107085487569538E-3</v>
      </c>
      <c r="W222" s="2"/>
      <c r="X222" s="6">
        <f t="shared" si="107"/>
        <v>-1600</v>
      </c>
      <c r="Y222" s="2"/>
      <c r="Z222" s="7">
        <f t="shared" si="108"/>
        <v>-2.3289665211062592E-2</v>
      </c>
    </row>
    <row r="223" spans="1:26" s="26" customFormat="1" outlineLevel="1" collapsed="1" x14ac:dyDescent="0.25">
      <c r="A223" s="25"/>
      <c r="B223" s="12" t="str">
        <f>CONCATENATE("     ","Repair and Maintenance                            ")</f>
        <v xml:space="preserve">     Repair and Maintenance                            </v>
      </c>
      <c r="C223" s="12"/>
      <c r="D223" s="1">
        <f>SUM(OSRRefD22_16x_0)</f>
        <v>9239.2199999999993</v>
      </c>
      <c r="E223" s="1"/>
      <c r="F223" s="5">
        <f t="shared" si="101"/>
        <v>1.8231859928660041E-2</v>
      </c>
      <c r="G223" s="1"/>
      <c r="H223" s="1">
        <f>SUM(OSRRefH22_16x_0)</f>
        <v>5285.57</v>
      </c>
      <c r="I223" s="1"/>
      <c r="J223" s="5">
        <f t="shared" si="102"/>
        <v>2.0049180247652183E-2</v>
      </c>
      <c r="K223" s="1"/>
      <c r="L223" s="1">
        <f t="shared" si="103"/>
        <v>3953.6499999999996</v>
      </c>
      <c r="M223" s="1"/>
      <c r="N223" s="5">
        <f t="shared" si="104"/>
        <v>0.74800825644159474</v>
      </c>
      <c r="O223" s="12"/>
      <c r="P223" s="1">
        <f>SUM(OSRRefP22_16x_0)</f>
        <v>142154.91</v>
      </c>
      <c r="Q223" s="1"/>
      <c r="R223" s="5">
        <f t="shared" si="105"/>
        <v>2.7288144886717276E-2</v>
      </c>
      <c r="S223" s="1"/>
      <c r="T223" s="1">
        <f>SUM(OSRRefT22_16x_0)</f>
        <v>133639.59</v>
      </c>
      <c r="U223" s="1"/>
      <c r="V223" s="5">
        <f t="shared" si="106"/>
        <v>1.4804832169801664E-2</v>
      </c>
      <c r="W223" s="1"/>
      <c r="X223" s="1">
        <f t="shared" si="107"/>
        <v>8515.320000000007</v>
      </c>
      <c r="Y223" s="1"/>
      <c r="Z223" s="5">
        <f t="shared" si="108"/>
        <v>6.3718543284965234E-2</v>
      </c>
    </row>
    <row r="224" spans="1:26" s="23" customFormat="1" hidden="1" outlineLevel="2" x14ac:dyDescent="0.25">
      <c r="A224" s="27"/>
      <c r="B224" s="10" t="str">
        <f>CONCATENATE("          ", "6371", " - ", "COMPUTER SOFTWARE MAINTENANCE")</f>
        <v xml:space="preserve">          6371 - COMPUTER SOFTWARE MAINTENANCE</v>
      </c>
      <c r="C224" s="10"/>
      <c r="D224" s="6"/>
      <c r="E224" s="2"/>
      <c r="F224" s="7">
        <f t="shared" si="101"/>
        <v>0</v>
      </c>
      <c r="G224" s="2"/>
      <c r="H224" s="6"/>
      <c r="I224" s="2"/>
      <c r="J224" s="7">
        <f t="shared" si="102"/>
        <v>0</v>
      </c>
      <c r="K224" s="2"/>
      <c r="L224" s="6">
        <f t="shared" si="103"/>
        <v>0</v>
      </c>
      <c r="M224" s="2"/>
      <c r="N224" s="7">
        <f t="shared" si="104"/>
        <v>0</v>
      </c>
      <c r="O224" s="10"/>
      <c r="P224" s="6">
        <v>59767.72</v>
      </c>
      <c r="Q224" s="2"/>
      <c r="R224" s="7">
        <f t="shared" si="105"/>
        <v>1.147304868265718E-2</v>
      </c>
      <c r="S224" s="2"/>
      <c r="T224" s="6">
        <v>16417.5</v>
      </c>
      <c r="U224" s="2"/>
      <c r="V224" s="7">
        <f t="shared" si="106"/>
        <v>1.8187599359420275E-3</v>
      </c>
      <c r="W224" s="2"/>
      <c r="X224" s="6">
        <f t="shared" si="107"/>
        <v>43350.22</v>
      </c>
      <c r="Y224" s="2"/>
      <c r="Z224" s="7">
        <f t="shared" si="108"/>
        <v>2.6404885031216692</v>
      </c>
    </row>
    <row r="225" spans="1:26" s="23" customFormat="1" hidden="1" outlineLevel="2" x14ac:dyDescent="0.25">
      <c r="A225" s="27"/>
      <c r="B225" s="10" t="str">
        <f>CONCATENATE("          ", "6372", " - ", "COMPUTER HARDWARE MAINTENANCE")</f>
        <v xml:space="preserve">          6372 - COMPUTER HARDWARE MAINTENANCE</v>
      </c>
      <c r="C225" s="10"/>
      <c r="D225" s="6"/>
      <c r="E225" s="2"/>
      <c r="F225" s="7">
        <f t="shared" si="101"/>
        <v>0</v>
      </c>
      <c r="G225" s="2"/>
      <c r="H225" s="6"/>
      <c r="I225" s="2"/>
      <c r="J225" s="7">
        <f t="shared" si="102"/>
        <v>0</v>
      </c>
      <c r="K225" s="2"/>
      <c r="L225" s="6">
        <f t="shared" si="103"/>
        <v>0</v>
      </c>
      <c r="M225" s="2"/>
      <c r="N225" s="7">
        <f t="shared" si="104"/>
        <v>0</v>
      </c>
      <c r="O225" s="10"/>
      <c r="P225" s="6">
        <v>-1.1499999999999999</v>
      </c>
      <c r="Q225" s="2"/>
      <c r="R225" s="7">
        <f t="shared" si="105"/>
        <v>-2.2075471483696809E-7</v>
      </c>
      <c r="S225" s="2"/>
      <c r="T225" s="6">
        <v>52.32</v>
      </c>
      <c r="U225" s="2"/>
      <c r="V225" s="7">
        <f t="shared" si="106"/>
        <v>5.7961029297083527E-6</v>
      </c>
      <c r="W225" s="2"/>
      <c r="X225" s="6">
        <f t="shared" si="107"/>
        <v>-53.47</v>
      </c>
      <c r="Y225" s="2"/>
      <c r="Z225" s="7">
        <f t="shared" si="108"/>
        <v>-1.0219801223241589</v>
      </c>
    </row>
    <row r="226" spans="1:26" s="23" customFormat="1" hidden="1" outlineLevel="2" x14ac:dyDescent="0.25">
      <c r="A226" s="27"/>
      <c r="B226" s="10" t="str">
        <f>CONCATENATE("          ", "6373", " - ", "MAINTENANCE CONTRACTS")</f>
        <v xml:space="preserve">          6373 - MAINTENANCE CONTRACTS</v>
      </c>
      <c r="C226" s="10"/>
      <c r="D226" s="6">
        <v>3187.44</v>
      </c>
      <c r="E226" s="2"/>
      <c r="F226" s="7">
        <f t="shared" si="101"/>
        <v>6.2898123013639864E-3</v>
      </c>
      <c r="G226" s="2"/>
      <c r="H226" s="6">
        <v>3743.93</v>
      </c>
      <c r="I226" s="2"/>
      <c r="J226" s="7">
        <f t="shared" si="102"/>
        <v>1.4201444197048274E-2</v>
      </c>
      <c r="K226" s="2"/>
      <c r="L226" s="6">
        <f t="shared" si="103"/>
        <v>-556.48999999999978</v>
      </c>
      <c r="M226" s="2"/>
      <c r="N226" s="7">
        <f t="shared" si="104"/>
        <v>-0.14863792859375036</v>
      </c>
      <c r="O226" s="10"/>
      <c r="P226" s="6">
        <v>49306.02</v>
      </c>
      <c r="Q226" s="2"/>
      <c r="R226" s="7">
        <f t="shared" si="105"/>
        <v>9.4648142476920407E-3</v>
      </c>
      <c r="S226" s="2"/>
      <c r="T226" s="6">
        <v>78674.05</v>
      </c>
      <c r="U226" s="2"/>
      <c r="V226" s="7">
        <f t="shared" si="106"/>
        <v>8.7156515997137123E-3</v>
      </c>
      <c r="W226" s="2"/>
      <c r="X226" s="6">
        <f t="shared" si="107"/>
        <v>-29368.030000000006</v>
      </c>
      <c r="Y226" s="2"/>
      <c r="Z226" s="7">
        <f t="shared" si="108"/>
        <v>-0.37328738001920586</v>
      </c>
    </row>
    <row r="227" spans="1:26" s="23" customFormat="1" hidden="1" outlineLevel="2" x14ac:dyDescent="0.25">
      <c r="A227" s="27"/>
      <c r="B227" s="10" t="str">
        <f>CONCATENATE("          ", "6375", " - ", "OUTSIDE REPAIRS &amp; MAINTENANCE")</f>
        <v xml:space="preserve">          6375 - OUTSIDE REPAIRS &amp; MAINTENANCE</v>
      </c>
      <c r="C227" s="10"/>
      <c r="D227" s="6">
        <v>6051.78</v>
      </c>
      <c r="E227" s="2"/>
      <c r="F227" s="7">
        <f t="shared" si="101"/>
        <v>1.1942047627296056E-2</v>
      </c>
      <c r="G227" s="2"/>
      <c r="H227" s="6">
        <v>1541.64</v>
      </c>
      <c r="I227" s="2"/>
      <c r="J227" s="7">
        <f t="shared" si="102"/>
        <v>5.8477360506039118E-3</v>
      </c>
      <c r="K227" s="2"/>
      <c r="L227" s="6">
        <f t="shared" si="103"/>
        <v>4510.1399999999994</v>
      </c>
      <c r="M227" s="2"/>
      <c r="N227" s="7">
        <f t="shared" si="104"/>
        <v>2.9255468202693229</v>
      </c>
      <c r="O227" s="10"/>
      <c r="P227" s="6">
        <v>33082.32</v>
      </c>
      <c r="Q227" s="2"/>
      <c r="R227" s="7">
        <f t="shared" si="105"/>
        <v>6.3505027110828931E-3</v>
      </c>
      <c r="S227" s="2"/>
      <c r="T227" s="6">
        <v>38495.72</v>
      </c>
      <c r="U227" s="2"/>
      <c r="V227" s="7">
        <f t="shared" si="106"/>
        <v>4.2646245312162158E-3</v>
      </c>
      <c r="W227" s="2"/>
      <c r="X227" s="6">
        <f t="shared" si="107"/>
        <v>-5413.4000000000015</v>
      </c>
      <c r="Y227" s="2"/>
      <c r="Z227" s="7">
        <f t="shared" si="108"/>
        <v>-0.14062342514960108</v>
      </c>
    </row>
    <row r="228" spans="1:26" s="26" customFormat="1" outlineLevel="1" collapsed="1" x14ac:dyDescent="0.25">
      <c r="A228" s="25"/>
      <c r="B228" s="12" t="str">
        <f>CONCATENATE("     ","Royalty &amp; Commissions                             ")</f>
        <v xml:space="preserve">     Royalty &amp; Commissions                             </v>
      </c>
      <c r="C228" s="12"/>
      <c r="D228" s="1">
        <f>SUM(OSRRefD22_17x_0)</f>
        <v>393.98</v>
      </c>
      <c r="E228" s="1"/>
      <c r="F228" s="5">
        <f t="shared" ref="F228:F231" si="109">IF(D$12=0,0,D228/D$12)</f>
        <v>7.7744530108531714E-4</v>
      </c>
      <c r="G228" s="1"/>
      <c r="H228" s="1">
        <f>SUM(OSRRefH22_17x_0)</f>
        <v>0</v>
      </c>
      <c r="I228" s="1"/>
      <c r="J228" s="5">
        <f t="shared" ref="J228:J231" si="110">IF(H$12=0,0,H228/H$12)</f>
        <v>0</v>
      </c>
      <c r="K228" s="1"/>
      <c r="L228" s="1">
        <f t="shared" ref="L228:L231" si="111">+D228-H228</f>
        <v>393.98</v>
      </c>
      <c r="M228" s="1"/>
      <c r="N228" s="5">
        <f t="shared" ref="N228:N231" si="112">IF(H228=0,0,L228/H228)</f>
        <v>0</v>
      </c>
      <c r="O228" s="12"/>
      <c r="P228" s="1">
        <f>SUM(OSRRefP22_17x_0)</f>
        <v>48786.93</v>
      </c>
      <c r="Q228" s="1"/>
      <c r="R228" s="5">
        <f t="shared" ref="R228:R231" si="113">IF(P$12=0,0,P228/P$12)</f>
        <v>9.3651694086270658E-3</v>
      </c>
      <c r="S228" s="1"/>
      <c r="T228" s="1">
        <f>SUM(OSRRefT22_17x_0)</f>
        <v>123449.40000000001</v>
      </c>
      <c r="U228" s="1"/>
      <c r="V228" s="5">
        <f t="shared" ref="V228:V231" si="114">IF(T$12=0,0,T228/T$12)</f>
        <v>1.3675944744089036E-2</v>
      </c>
      <c r="W228" s="1"/>
      <c r="X228" s="1">
        <f t="shared" ref="X228:X231" si="115">+P228-T228</f>
        <v>-74662.47</v>
      </c>
      <c r="Y228" s="1"/>
      <c r="Z228" s="5">
        <f t="shared" ref="Z228:Z231" si="116">IF(T228=0,0,X228/T228)</f>
        <v>-0.60480221046031812</v>
      </c>
    </row>
    <row r="229" spans="1:26" s="23" customFormat="1" hidden="1" outlineLevel="2" x14ac:dyDescent="0.25">
      <c r="A229" s="27"/>
      <c r="B229" s="10" t="str">
        <f>CONCATENATE("          ", "6253", " - ", "ROYALTY DUE ATHLETICS-LRG")</f>
        <v xml:space="preserve">          6253 - ROYALTY DUE ATHLETICS-LRG</v>
      </c>
      <c r="C229" s="10"/>
      <c r="D229" s="6"/>
      <c r="E229" s="2"/>
      <c r="F229" s="7">
        <f t="shared" si="109"/>
        <v>0</v>
      </c>
      <c r="G229" s="2"/>
      <c r="H229" s="6"/>
      <c r="I229" s="2"/>
      <c r="J229" s="7">
        <f t="shared" si="110"/>
        <v>0</v>
      </c>
      <c r="K229" s="2"/>
      <c r="L229" s="6">
        <f t="shared" si="111"/>
        <v>0</v>
      </c>
      <c r="M229" s="2"/>
      <c r="N229" s="7">
        <f t="shared" si="112"/>
        <v>0</v>
      </c>
      <c r="O229" s="10"/>
      <c r="P229" s="6">
        <v>35159.06</v>
      </c>
      <c r="Q229" s="2"/>
      <c r="R229" s="7">
        <f t="shared" si="113"/>
        <v>6.7491550123790012E-3</v>
      </c>
      <c r="S229" s="2"/>
      <c r="T229" s="6">
        <v>32870.44</v>
      </c>
      <c r="U229" s="2"/>
      <c r="V229" s="7">
        <f t="shared" si="114"/>
        <v>3.6414459783028026E-3</v>
      </c>
      <c r="W229" s="2"/>
      <c r="X229" s="6">
        <f t="shared" si="115"/>
        <v>2288.6199999999953</v>
      </c>
      <c r="Y229" s="2"/>
      <c r="Z229" s="7">
        <f t="shared" si="116"/>
        <v>6.962547504688088E-2</v>
      </c>
    </row>
    <row r="230" spans="1:26" s="23" customFormat="1" hidden="1" outlineLevel="2" x14ac:dyDescent="0.25">
      <c r="A230" s="27"/>
      <c r="B230" s="10" t="str">
        <f>CONCATENATE("          ", "6254", " - ", "ROYALTY &amp; COMMISSIONS")</f>
        <v xml:space="preserve">          6254 - ROYALTY &amp; COMMISSIONS</v>
      </c>
      <c r="C230" s="10"/>
      <c r="D230" s="6"/>
      <c r="E230" s="2"/>
      <c r="F230" s="7">
        <f t="shared" si="109"/>
        <v>0</v>
      </c>
      <c r="G230" s="2"/>
      <c r="H230" s="6"/>
      <c r="I230" s="2"/>
      <c r="J230" s="7">
        <f t="shared" si="110"/>
        <v>0</v>
      </c>
      <c r="K230" s="2"/>
      <c r="L230" s="6">
        <f t="shared" si="111"/>
        <v>0</v>
      </c>
      <c r="M230" s="2"/>
      <c r="N230" s="7">
        <f t="shared" si="112"/>
        <v>0</v>
      </c>
      <c r="O230" s="10"/>
      <c r="P230" s="6"/>
      <c r="Q230" s="2"/>
      <c r="R230" s="7">
        <f t="shared" si="113"/>
        <v>0</v>
      </c>
      <c r="S230" s="2"/>
      <c r="T230" s="6">
        <v>7971.22</v>
      </c>
      <c r="U230" s="2"/>
      <c r="V230" s="7">
        <f t="shared" si="114"/>
        <v>8.8306597085913261E-4</v>
      </c>
      <c r="W230" s="2"/>
      <c r="X230" s="6">
        <f t="shared" si="115"/>
        <v>-7971.22</v>
      </c>
      <c r="Y230" s="2"/>
      <c r="Z230" s="7">
        <f t="shared" si="116"/>
        <v>-1</v>
      </c>
    </row>
    <row r="231" spans="1:26" s="23" customFormat="1" hidden="1" outlineLevel="2" x14ac:dyDescent="0.25">
      <c r="A231" s="27"/>
      <c r="B231" s="10" t="str">
        <f>CONCATENATE("          ", "6259", " - ", "ROYALTY &amp; COMMISSIONS")</f>
        <v xml:space="preserve">          6259 - ROYALTY &amp; COMMISSIONS</v>
      </c>
      <c r="C231" s="10"/>
      <c r="D231" s="6">
        <v>393.98</v>
      </c>
      <c r="E231" s="2"/>
      <c r="F231" s="7">
        <f t="shared" si="109"/>
        <v>7.7744530108531714E-4</v>
      </c>
      <c r="G231" s="2"/>
      <c r="H231" s="6"/>
      <c r="I231" s="2"/>
      <c r="J231" s="7">
        <f t="shared" si="110"/>
        <v>0</v>
      </c>
      <c r="K231" s="2"/>
      <c r="L231" s="6">
        <f t="shared" si="111"/>
        <v>393.98</v>
      </c>
      <c r="M231" s="2"/>
      <c r="N231" s="7">
        <f t="shared" si="112"/>
        <v>0</v>
      </c>
      <c r="O231" s="10"/>
      <c r="P231" s="6">
        <v>13627.87</v>
      </c>
      <c r="Q231" s="2"/>
      <c r="R231" s="7">
        <f t="shared" si="113"/>
        <v>2.6160143962480633E-3</v>
      </c>
      <c r="S231" s="2"/>
      <c r="T231" s="6">
        <v>82607.740000000005</v>
      </c>
      <c r="U231" s="2"/>
      <c r="V231" s="7">
        <f t="shared" si="114"/>
        <v>9.1514327949271008E-3</v>
      </c>
      <c r="W231" s="2"/>
      <c r="X231" s="6">
        <f t="shared" si="115"/>
        <v>-68979.87000000001</v>
      </c>
      <c r="Y231" s="2"/>
      <c r="Z231" s="7">
        <f t="shared" si="116"/>
        <v>-0.83502913891603869</v>
      </c>
    </row>
    <row r="232" spans="1:26" s="26" customFormat="1" outlineLevel="1" collapsed="1" x14ac:dyDescent="0.25">
      <c r="A232" s="25"/>
      <c r="B232" s="12" t="str">
        <f>CONCATENATE("     ","Services                                          ")</f>
        <v xml:space="preserve">     Services                                          </v>
      </c>
      <c r="C232" s="12"/>
      <c r="D232" s="1">
        <f>SUM(OSRRefD22_18x_0)</f>
        <v>4297.32</v>
      </c>
      <c r="E232" s="1"/>
      <c r="F232" s="5">
        <f t="shared" ref="F232:F236" si="117">IF(D$12=0,0,D232/D$12)</f>
        <v>8.4799513712877674E-3</v>
      </c>
      <c r="G232" s="1"/>
      <c r="H232" s="1">
        <f>SUM(OSRRefH22_18x_0)</f>
        <v>4376.38</v>
      </c>
      <c r="I232" s="1"/>
      <c r="J232" s="5">
        <f t="shared" ref="J232:J236" si="118">IF(H$12=0,0,H232/H$12)</f>
        <v>1.6600448286981363E-2</v>
      </c>
      <c r="K232" s="1"/>
      <c r="L232" s="1">
        <f t="shared" ref="L232:L236" si="119">+D232-H232</f>
        <v>-79.0600000000004</v>
      </c>
      <c r="M232" s="1"/>
      <c r="N232" s="5">
        <f t="shared" ref="N232:N236" si="120">IF(H232=0,0,L232/H232)</f>
        <v>-1.8065158875600472E-2</v>
      </c>
      <c r="O232" s="12"/>
      <c r="P232" s="1">
        <f>SUM(OSRRefP22_18x_0)</f>
        <v>44441.3</v>
      </c>
      <c r="Q232" s="1"/>
      <c r="R232" s="5">
        <f t="shared" ref="R232:R236" si="121">IF(P$12=0,0,P232/P$12)</f>
        <v>8.5309795725949152E-3</v>
      </c>
      <c r="S232" s="1"/>
      <c r="T232" s="1">
        <f>SUM(OSRRefT22_18x_0)</f>
        <v>50633.25</v>
      </c>
      <c r="U232" s="1"/>
      <c r="V232" s="5">
        <f t="shared" ref="V232:V236" si="122">IF(T$12=0,0,T232/T$12)</f>
        <v>5.6092417558420383E-3</v>
      </c>
      <c r="W232" s="1"/>
      <c r="X232" s="1">
        <f t="shared" ref="X232:X236" si="123">+P232-T232</f>
        <v>-6191.9499999999971</v>
      </c>
      <c r="Y232" s="1"/>
      <c r="Z232" s="5">
        <f t="shared" ref="Z232:Z236" si="124">IF(T232=0,0,X232/T232)</f>
        <v>-0.12229019468432299</v>
      </c>
    </row>
    <row r="233" spans="1:26" s="23" customFormat="1" hidden="1" outlineLevel="2" x14ac:dyDescent="0.25">
      <c r="A233" s="27"/>
      <c r="B233" s="10" t="str">
        <f>CONCATENATE("          ", "6282", " - ", "JANITORIAL/EXTERMINATOR EXPENS")</f>
        <v xml:space="preserve">          6282 - JANITORIAL/EXTERMINATOR EXPENS</v>
      </c>
      <c r="C233" s="10"/>
      <c r="D233" s="6">
        <v>291</v>
      </c>
      <c r="E233" s="2"/>
      <c r="F233" s="7">
        <f t="shared" si="117"/>
        <v>5.7423367332308062E-4</v>
      </c>
      <c r="G233" s="2"/>
      <c r="H233" s="6"/>
      <c r="I233" s="2"/>
      <c r="J233" s="7">
        <f t="shared" si="118"/>
        <v>0</v>
      </c>
      <c r="K233" s="2"/>
      <c r="L233" s="6">
        <f t="shared" si="119"/>
        <v>291</v>
      </c>
      <c r="M233" s="2"/>
      <c r="N233" s="7">
        <f t="shared" si="120"/>
        <v>0</v>
      </c>
      <c r="O233" s="10"/>
      <c r="P233" s="6">
        <v>7697.12</v>
      </c>
      <c r="Q233" s="2"/>
      <c r="R233" s="7">
        <f t="shared" si="121"/>
        <v>1.4775439397094992E-3</v>
      </c>
      <c r="S233" s="2"/>
      <c r="T233" s="6">
        <v>2686.02</v>
      </c>
      <c r="U233" s="2"/>
      <c r="V233" s="7">
        <f t="shared" si="122"/>
        <v>2.9756208698882318E-4</v>
      </c>
      <c r="W233" s="2"/>
      <c r="X233" s="6">
        <f t="shared" si="123"/>
        <v>5011.1000000000004</v>
      </c>
      <c r="Y233" s="2"/>
      <c r="Z233" s="7">
        <f t="shared" si="124"/>
        <v>1.8656227429430907</v>
      </c>
    </row>
    <row r="234" spans="1:26" s="23" customFormat="1" hidden="1" outlineLevel="2" x14ac:dyDescent="0.25">
      <c r="A234" s="27"/>
      <c r="B234" s="10" t="str">
        <f>CONCATENATE("          ", "6283", " - ", "PLANT SERVICE")</f>
        <v xml:space="preserve">          6283 - PLANT SERVICE</v>
      </c>
      <c r="C234" s="10"/>
      <c r="D234" s="6"/>
      <c r="E234" s="2"/>
      <c r="F234" s="7">
        <f t="shared" si="117"/>
        <v>0</v>
      </c>
      <c r="G234" s="2"/>
      <c r="H234" s="6"/>
      <c r="I234" s="2"/>
      <c r="J234" s="7">
        <f t="shared" si="118"/>
        <v>0</v>
      </c>
      <c r="K234" s="2"/>
      <c r="L234" s="6">
        <f t="shared" si="119"/>
        <v>0</v>
      </c>
      <c r="M234" s="2"/>
      <c r="N234" s="7">
        <f t="shared" si="120"/>
        <v>0</v>
      </c>
      <c r="O234" s="10"/>
      <c r="P234" s="6">
        <v>171.31</v>
      </c>
      <c r="Q234" s="2"/>
      <c r="R234" s="7">
        <f t="shared" si="121"/>
        <v>3.2884774085844353E-5</v>
      </c>
      <c r="S234" s="2"/>
      <c r="T234" s="6">
        <v>541.98</v>
      </c>
      <c r="U234" s="2"/>
      <c r="V234" s="7">
        <f t="shared" si="122"/>
        <v>6.0041511197311413E-5</v>
      </c>
      <c r="W234" s="2"/>
      <c r="X234" s="6">
        <f t="shared" si="123"/>
        <v>-370.67</v>
      </c>
      <c r="Y234" s="2"/>
      <c r="Z234" s="7">
        <f t="shared" si="124"/>
        <v>-0.68391822576478833</v>
      </c>
    </row>
    <row r="235" spans="1:26" s="23" customFormat="1" hidden="1" outlineLevel="2" x14ac:dyDescent="0.25">
      <c r="A235" s="27"/>
      <c r="B235" s="10" t="str">
        <f>CONCATENATE("          ", "6284", " - ", "TRASH REMOVAL EXPENSE")</f>
        <v xml:space="preserve">          6284 - TRASH REMOVAL EXPENSE</v>
      </c>
      <c r="C235" s="10"/>
      <c r="D235" s="6">
        <v>142.57</v>
      </c>
      <c r="E235" s="2"/>
      <c r="F235" s="7">
        <f t="shared" si="117"/>
        <v>2.8133503369646594E-4</v>
      </c>
      <c r="G235" s="2"/>
      <c r="H235" s="6">
        <v>134.82</v>
      </c>
      <c r="I235" s="2"/>
      <c r="J235" s="7">
        <f t="shared" si="118"/>
        <v>5.1139810483797731E-4</v>
      </c>
      <c r="K235" s="2"/>
      <c r="L235" s="6">
        <f t="shared" si="119"/>
        <v>7.75</v>
      </c>
      <c r="M235" s="2"/>
      <c r="N235" s="7">
        <f t="shared" si="120"/>
        <v>5.7484052811155616E-2</v>
      </c>
      <c r="O235" s="10"/>
      <c r="P235" s="6">
        <v>1583.29</v>
      </c>
      <c r="Q235" s="2"/>
      <c r="R235" s="7">
        <f t="shared" si="121"/>
        <v>3.0392933256888978E-4</v>
      </c>
      <c r="S235" s="2"/>
      <c r="T235" s="6">
        <v>1483.02</v>
      </c>
      <c r="U235" s="2"/>
      <c r="V235" s="7">
        <f t="shared" si="122"/>
        <v>1.6429160104770797E-4</v>
      </c>
      <c r="W235" s="2"/>
      <c r="X235" s="6">
        <f t="shared" si="123"/>
        <v>100.26999999999998</v>
      </c>
      <c r="Y235" s="2"/>
      <c r="Z235" s="7">
        <f t="shared" si="124"/>
        <v>6.761203490175452E-2</v>
      </c>
    </row>
    <row r="236" spans="1:26" s="23" customFormat="1" hidden="1" outlineLevel="2" x14ac:dyDescent="0.25">
      <c r="A236" s="27"/>
      <c r="B236" s="10" t="str">
        <f>CONCATENATE("          ", "6285", " - ", "JANITORIAL SERVICES")</f>
        <v xml:space="preserve">          6285 - JANITORIAL SERVICES</v>
      </c>
      <c r="C236" s="10"/>
      <c r="D236" s="6">
        <v>3863.75</v>
      </c>
      <c r="E236" s="2"/>
      <c r="F236" s="7">
        <f t="shared" si="117"/>
        <v>7.6243826642682219E-3</v>
      </c>
      <c r="G236" s="2"/>
      <c r="H236" s="6">
        <v>4241.5600000000004</v>
      </c>
      <c r="I236" s="2"/>
      <c r="J236" s="7">
        <f t="shared" si="118"/>
        <v>1.6089050182143384E-2</v>
      </c>
      <c r="K236" s="2"/>
      <c r="L236" s="6">
        <f t="shared" si="119"/>
        <v>-377.8100000000004</v>
      </c>
      <c r="M236" s="2"/>
      <c r="N236" s="7">
        <f t="shared" si="120"/>
        <v>-8.9073359801582527E-2</v>
      </c>
      <c r="O236" s="10"/>
      <c r="P236" s="6">
        <v>34989.58</v>
      </c>
      <c r="Q236" s="2"/>
      <c r="R236" s="7">
        <f t="shared" si="121"/>
        <v>6.7166215262306813E-3</v>
      </c>
      <c r="S236" s="2"/>
      <c r="T236" s="6">
        <v>45922.23</v>
      </c>
      <c r="U236" s="2"/>
      <c r="V236" s="7">
        <f t="shared" si="122"/>
        <v>5.0873465566081966E-3</v>
      </c>
      <c r="W236" s="2"/>
      <c r="X236" s="6">
        <f t="shared" si="123"/>
        <v>-10932.650000000001</v>
      </c>
      <c r="Y236" s="2"/>
      <c r="Z236" s="7">
        <f t="shared" si="124"/>
        <v>-0.23806879587511323</v>
      </c>
    </row>
    <row r="237" spans="1:26" s="26" customFormat="1" outlineLevel="1" collapsed="1" x14ac:dyDescent="0.25">
      <c r="A237" s="25"/>
      <c r="B237" s="12" t="str">
        <f>CONCATENATE("     ","Subscriptions &amp; Dues                              ")</f>
        <v xml:space="preserve">     Subscriptions &amp; Dues                              </v>
      </c>
      <c r="C237" s="12"/>
      <c r="D237" s="1">
        <f>SUM(OSRRefD22_19x_0)</f>
        <v>611.22</v>
      </c>
      <c r="E237" s="1"/>
      <c r="F237" s="5">
        <f t="shared" ref="F237:F239" si="125">IF(D$12=0,0,D237/D$12)</f>
        <v>1.2061275113695303E-3</v>
      </c>
      <c r="G237" s="1"/>
      <c r="H237" s="1">
        <f>SUM(OSRRefH22_19x_0)</f>
        <v>260</v>
      </c>
      <c r="I237" s="1"/>
      <c r="J237" s="5">
        <f t="shared" ref="J237:J239" si="126">IF(H$12=0,0,H237/H$12)</f>
        <v>9.8622984169911073E-4</v>
      </c>
      <c r="K237" s="1"/>
      <c r="L237" s="1">
        <f t="shared" ref="L237:L239" si="127">+D237-H237</f>
        <v>351.22</v>
      </c>
      <c r="M237" s="1"/>
      <c r="N237" s="5">
        <f t="shared" ref="N237:N239" si="128">IF(H237=0,0,L237/H237)</f>
        <v>1.350846153846154</v>
      </c>
      <c r="O237" s="12"/>
      <c r="P237" s="1">
        <f>SUM(OSRRefP22_19x_0)</f>
        <v>7289.13</v>
      </c>
      <c r="Q237" s="1"/>
      <c r="R237" s="5">
        <f t="shared" ref="R237:R239" si="129">IF(P$12=0,0,P237/P$12)</f>
        <v>1.3992259257039909E-3</v>
      </c>
      <c r="S237" s="1"/>
      <c r="T237" s="1">
        <f>SUM(OSRRefT22_19x_0)</f>
        <v>7358.85</v>
      </c>
      <c r="U237" s="1"/>
      <c r="V237" s="5">
        <f t="shared" ref="V237:V239" si="130">IF(T$12=0,0,T237/T$12)</f>
        <v>8.152265298984005E-4</v>
      </c>
      <c r="W237" s="1"/>
      <c r="X237" s="1">
        <f t="shared" ref="X237:X239" si="131">+P237-T237</f>
        <v>-69.720000000000255</v>
      </c>
      <c r="Y237" s="1"/>
      <c r="Z237" s="5">
        <f t="shared" ref="Z237:Z239" si="132">IF(T237=0,0,X237/T237)</f>
        <v>-9.4743064473389524E-3</v>
      </c>
    </row>
    <row r="238" spans="1:26" s="23" customFormat="1" hidden="1" outlineLevel="2" x14ac:dyDescent="0.25">
      <c r="A238" s="27"/>
      <c r="B238" s="10" t="str">
        <f>CONCATENATE("          ", "6258", " - ", "MEMBERSHIP DUES")</f>
        <v xml:space="preserve">          6258 - MEMBERSHIP DUES</v>
      </c>
      <c r="C238" s="10"/>
      <c r="D238" s="6">
        <v>611.22</v>
      </c>
      <c r="E238" s="2"/>
      <c r="F238" s="7">
        <f t="shared" si="125"/>
        <v>1.2061275113695303E-3</v>
      </c>
      <c r="G238" s="2"/>
      <c r="H238" s="6">
        <v>260</v>
      </c>
      <c r="I238" s="2"/>
      <c r="J238" s="7">
        <f t="shared" si="126"/>
        <v>9.8622984169911073E-4</v>
      </c>
      <c r="K238" s="2"/>
      <c r="L238" s="6">
        <f t="shared" si="127"/>
        <v>351.22</v>
      </c>
      <c r="M238" s="2"/>
      <c r="N238" s="7">
        <f t="shared" si="128"/>
        <v>1.350846153846154</v>
      </c>
      <c r="O238" s="10"/>
      <c r="P238" s="6">
        <v>3046.45</v>
      </c>
      <c r="Q238" s="2"/>
      <c r="R238" s="7">
        <f t="shared" si="129"/>
        <v>5.8479843566528822E-4</v>
      </c>
      <c r="S238" s="2"/>
      <c r="T238" s="6">
        <v>4566.41</v>
      </c>
      <c r="U238" s="2"/>
      <c r="V238" s="7">
        <f t="shared" si="130"/>
        <v>5.0587504547495261E-4</v>
      </c>
      <c r="W238" s="2"/>
      <c r="X238" s="6">
        <f t="shared" si="131"/>
        <v>-1519.96</v>
      </c>
      <c r="Y238" s="2"/>
      <c r="Z238" s="7">
        <f t="shared" si="132"/>
        <v>-0.33285666420667442</v>
      </c>
    </row>
    <row r="239" spans="1:26" s="23" customFormat="1" hidden="1" outlineLevel="2" x14ac:dyDescent="0.25">
      <c r="A239" s="27"/>
      <c r="B239" s="10" t="str">
        <f>CONCATENATE("          ", "6275", " - ", "SUBSCRIPTIONS")</f>
        <v xml:space="preserve">          6275 - SUBSCRIPTIONS</v>
      </c>
      <c r="C239" s="10"/>
      <c r="D239" s="6"/>
      <c r="E239" s="2"/>
      <c r="F239" s="7">
        <f t="shared" si="125"/>
        <v>0</v>
      </c>
      <c r="G239" s="2"/>
      <c r="H239" s="6"/>
      <c r="I239" s="2"/>
      <c r="J239" s="7">
        <f t="shared" si="126"/>
        <v>0</v>
      </c>
      <c r="K239" s="2"/>
      <c r="L239" s="6">
        <f t="shared" si="127"/>
        <v>0</v>
      </c>
      <c r="M239" s="2"/>
      <c r="N239" s="7">
        <f t="shared" si="128"/>
        <v>0</v>
      </c>
      <c r="O239" s="10"/>
      <c r="P239" s="6">
        <v>4242.68</v>
      </c>
      <c r="Q239" s="2"/>
      <c r="R239" s="7">
        <f t="shared" si="129"/>
        <v>8.144274900387026E-4</v>
      </c>
      <c r="S239" s="2"/>
      <c r="T239" s="6">
        <v>2792.44</v>
      </c>
      <c r="U239" s="2"/>
      <c r="V239" s="7">
        <f t="shared" si="130"/>
        <v>3.0935148442344789E-4</v>
      </c>
      <c r="W239" s="2"/>
      <c r="X239" s="6">
        <f t="shared" si="131"/>
        <v>1450.2400000000002</v>
      </c>
      <c r="Y239" s="2"/>
      <c r="Z239" s="7">
        <f t="shared" si="132"/>
        <v>0.51934508888284092</v>
      </c>
    </row>
    <row r="240" spans="1:26" s="26" customFormat="1" outlineLevel="1" collapsed="1" x14ac:dyDescent="0.25">
      <c r="A240" s="25"/>
      <c r="B240" s="12" t="str">
        <f>CONCATENATE("     ","Supplies                                          ")</f>
        <v xml:space="preserve">     Supplies                                          </v>
      </c>
      <c r="C240" s="12"/>
      <c r="D240" s="1">
        <f>SUM(OSRRefD22_20x_0)</f>
        <v>10202.06</v>
      </c>
      <c r="E240" s="1"/>
      <c r="F240" s="5">
        <f t="shared" ref="F240:F248" si="133">IF(D$12=0,0,D240/D$12)</f>
        <v>2.0131843262070334E-2</v>
      </c>
      <c r="G240" s="1"/>
      <c r="H240" s="1">
        <f>SUM(OSRRefH22_20x_0)</f>
        <v>4697.6100000000006</v>
      </c>
      <c r="I240" s="1"/>
      <c r="J240" s="5">
        <f t="shared" ref="J240:J248" si="134">IF(H$12=0,0,H240/H$12)</f>
        <v>1.7818935256400614E-2</v>
      </c>
      <c r="K240" s="1"/>
      <c r="L240" s="1">
        <f t="shared" ref="L240:L248" si="135">+D240-H240</f>
        <v>5504.4499999999989</v>
      </c>
      <c r="M240" s="1"/>
      <c r="N240" s="5">
        <f t="shared" ref="N240:N248" si="136">IF(H240=0,0,L240/H240)</f>
        <v>1.1717554245669604</v>
      </c>
      <c r="O240" s="12"/>
      <c r="P240" s="1">
        <f>SUM(OSRRefP22_20x_0)</f>
        <v>121898.75</v>
      </c>
      <c r="Q240" s="1"/>
      <c r="R240" s="5">
        <f t="shared" ref="R240:R248" si="137">IF(P$12=0,0,P240/P$12)</f>
        <v>2.3399759821941625E-2</v>
      </c>
      <c r="S240" s="1"/>
      <c r="T240" s="1">
        <f>SUM(OSRRefT22_20x_0)</f>
        <v>93102.56</v>
      </c>
      <c r="U240" s="1"/>
      <c r="V240" s="5">
        <f t="shared" ref="V240:V248" si="138">IF(T$12=0,0,T240/T$12)</f>
        <v>1.0314067675446247E-2</v>
      </c>
      <c r="W240" s="1"/>
      <c r="X240" s="1">
        <f t="shared" ref="X240:X248" si="139">+P240-T240</f>
        <v>28796.190000000002</v>
      </c>
      <c r="Y240" s="1"/>
      <c r="Z240" s="5">
        <f t="shared" ref="Z240:Z248" si="140">IF(T240=0,0,X240/T240)</f>
        <v>0.30929536201797247</v>
      </c>
    </row>
    <row r="241" spans="1:26" s="23" customFormat="1" hidden="1" outlineLevel="2" x14ac:dyDescent="0.25">
      <c r="A241" s="27"/>
      <c r="B241" s="10" t="str">
        <f>CONCATENATE("          ", "6234", " - ", "EXPENDABLE SUPPLIES &amp; EQUIPMEN")</f>
        <v xml:space="preserve">          6234 - EXPENDABLE SUPPLIES &amp; EQUIPMEN</v>
      </c>
      <c r="C241" s="10"/>
      <c r="D241" s="6"/>
      <c r="E241" s="2"/>
      <c r="F241" s="7">
        <f t="shared" si="133"/>
        <v>0</v>
      </c>
      <c r="G241" s="2"/>
      <c r="H241" s="6">
        <v>700.76</v>
      </c>
      <c r="I241" s="2"/>
      <c r="J241" s="7">
        <f t="shared" si="134"/>
        <v>2.6581170148810337E-3</v>
      </c>
      <c r="K241" s="2"/>
      <c r="L241" s="6">
        <f t="shared" si="135"/>
        <v>-700.76</v>
      </c>
      <c r="M241" s="2"/>
      <c r="N241" s="7">
        <f t="shared" si="136"/>
        <v>-1</v>
      </c>
      <c r="O241" s="10"/>
      <c r="P241" s="6">
        <v>0.16</v>
      </c>
      <c r="Q241" s="2"/>
      <c r="R241" s="7">
        <f t="shared" si="137"/>
        <v>3.0713699455578172E-8</v>
      </c>
      <c r="S241" s="2"/>
      <c r="T241" s="6">
        <v>4142.5600000000004</v>
      </c>
      <c r="U241" s="2"/>
      <c r="V241" s="7">
        <f t="shared" si="138"/>
        <v>4.5892018640085312E-4</v>
      </c>
      <c r="W241" s="2"/>
      <c r="X241" s="6">
        <f t="shared" si="139"/>
        <v>-4142.4000000000005</v>
      </c>
      <c r="Y241" s="2"/>
      <c r="Z241" s="7">
        <f t="shared" si="140"/>
        <v>-0.99996137654011052</v>
      </c>
    </row>
    <row r="242" spans="1:26" s="23" customFormat="1" hidden="1" outlineLevel="2" x14ac:dyDescent="0.25">
      <c r="A242" s="27"/>
      <c r="B242" s="10" t="str">
        <f>CONCATENATE("          ", "6235", " - ", "COVID-19 EXPENSES")</f>
        <v xml:space="preserve">          6235 - COVID-19 EXPENSES</v>
      </c>
      <c r="C242" s="10"/>
      <c r="D242" s="6">
        <v>2928.27</v>
      </c>
      <c r="E242" s="2"/>
      <c r="F242" s="7">
        <f t="shared" si="133"/>
        <v>5.7783891360198526E-3</v>
      </c>
      <c r="G242" s="2"/>
      <c r="H242" s="6">
        <v>1550</v>
      </c>
      <c r="I242" s="2"/>
      <c r="J242" s="7">
        <f t="shared" si="134"/>
        <v>5.8794471332062363E-3</v>
      </c>
      <c r="K242" s="2"/>
      <c r="L242" s="6">
        <f t="shared" si="135"/>
        <v>1378.27</v>
      </c>
      <c r="M242" s="2"/>
      <c r="N242" s="7">
        <f t="shared" si="136"/>
        <v>0.88920645161290324</v>
      </c>
      <c r="O242" s="10"/>
      <c r="P242" s="6">
        <v>43998.06</v>
      </c>
      <c r="Q242" s="2"/>
      <c r="R242" s="7">
        <f t="shared" si="137"/>
        <v>8.4458949466780977E-3</v>
      </c>
      <c r="S242" s="2"/>
      <c r="T242" s="6">
        <v>1550</v>
      </c>
      <c r="U242" s="2"/>
      <c r="V242" s="7">
        <f t="shared" si="138"/>
        <v>1.7171176492828644E-4</v>
      </c>
      <c r="W242" s="2"/>
      <c r="X242" s="6">
        <f t="shared" si="139"/>
        <v>42448.06</v>
      </c>
      <c r="Y242" s="2"/>
      <c r="Z242" s="7">
        <f t="shared" si="140"/>
        <v>27.38584516129032</v>
      </c>
    </row>
    <row r="243" spans="1:26" s="23" customFormat="1" hidden="1" outlineLevel="2" x14ac:dyDescent="0.25">
      <c r="A243" s="27"/>
      <c r="B243" s="10" t="str">
        <f>CONCATENATE("          ", "6237", " - ", "JANITORIAL SUPPLIES")</f>
        <v xml:space="preserve">          6237 - JANITORIAL SUPPLIES</v>
      </c>
      <c r="C243" s="10"/>
      <c r="D243" s="6">
        <v>390.73</v>
      </c>
      <c r="E243" s="2"/>
      <c r="F243" s="7">
        <f t="shared" si="133"/>
        <v>7.7103203841074664E-4</v>
      </c>
      <c r="G243" s="2"/>
      <c r="H243" s="6"/>
      <c r="I243" s="2"/>
      <c r="J243" s="7">
        <f t="shared" si="134"/>
        <v>0</v>
      </c>
      <c r="K243" s="2"/>
      <c r="L243" s="6">
        <f t="shared" si="135"/>
        <v>390.73</v>
      </c>
      <c r="M243" s="2"/>
      <c r="N243" s="7">
        <f t="shared" si="136"/>
        <v>0</v>
      </c>
      <c r="O243" s="10"/>
      <c r="P243" s="6">
        <v>3880.28</v>
      </c>
      <c r="Q243" s="2"/>
      <c r="R243" s="7">
        <f t="shared" si="137"/>
        <v>7.4486096077181797E-4</v>
      </c>
      <c r="S243" s="2"/>
      <c r="T243" s="6">
        <v>5305.04</v>
      </c>
      <c r="U243" s="2"/>
      <c r="V243" s="7">
        <f t="shared" si="138"/>
        <v>5.8770179446139147E-4</v>
      </c>
      <c r="W243" s="2"/>
      <c r="X243" s="6">
        <f t="shared" si="139"/>
        <v>-1424.7599999999998</v>
      </c>
      <c r="Y243" s="2"/>
      <c r="Z243" s="7">
        <f t="shared" si="140"/>
        <v>-0.26856724925731001</v>
      </c>
    </row>
    <row r="244" spans="1:26" s="23" customFormat="1" hidden="1" outlineLevel="2" x14ac:dyDescent="0.25">
      <c r="A244" s="27"/>
      <c r="B244" s="10" t="str">
        <f>CONCATENATE("          ", "6241", " - ", "OFFICE EXPENSE")</f>
        <v xml:space="preserve">          6241 - OFFICE EXPENSE</v>
      </c>
      <c r="C244" s="10"/>
      <c r="D244" s="6">
        <v>137.71</v>
      </c>
      <c r="E244" s="2"/>
      <c r="F244" s="7">
        <f t="shared" si="133"/>
        <v>2.7174473935849287E-4</v>
      </c>
      <c r="G244" s="2"/>
      <c r="H244" s="6">
        <v>1299.8699999999999</v>
      </c>
      <c r="I244" s="2"/>
      <c r="J244" s="7">
        <f t="shared" si="134"/>
        <v>4.9306560935747029E-3</v>
      </c>
      <c r="K244" s="2"/>
      <c r="L244" s="6">
        <f t="shared" si="135"/>
        <v>-1162.1599999999999</v>
      </c>
      <c r="M244" s="2"/>
      <c r="N244" s="7">
        <f t="shared" si="136"/>
        <v>-0.89405863663289398</v>
      </c>
      <c r="O244" s="10"/>
      <c r="P244" s="6">
        <v>11005.42</v>
      </c>
      <c r="Q244" s="2"/>
      <c r="R244" s="7">
        <f t="shared" si="137"/>
        <v>2.1126072641400573E-3</v>
      </c>
      <c r="S244" s="2"/>
      <c r="T244" s="6">
        <v>24380.55</v>
      </c>
      <c r="U244" s="2"/>
      <c r="V244" s="7">
        <f t="shared" si="138"/>
        <v>2.7009208196273121E-3</v>
      </c>
      <c r="W244" s="2"/>
      <c r="X244" s="6">
        <f t="shared" si="139"/>
        <v>-13375.13</v>
      </c>
      <c r="Y244" s="2"/>
      <c r="Z244" s="7">
        <f t="shared" si="140"/>
        <v>-0.54859837042232429</v>
      </c>
    </row>
    <row r="245" spans="1:26" s="23" customFormat="1" hidden="1" outlineLevel="2" x14ac:dyDescent="0.25">
      <c r="A245" s="27"/>
      <c r="B245" s="10" t="str">
        <f>CONCATENATE("          ", "6243", " - ", "PAPER SUPPLIES")</f>
        <v xml:space="preserve">          6243 - PAPER SUPPLIES</v>
      </c>
      <c r="C245" s="10"/>
      <c r="D245" s="6"/>
      <c r="E245" s="2"/>
      <c r="F245" s="7">
        <f t="shared" si="133"/>
        <v>0</v>
      </c>
      <c r="G245" s="2"/>
      <c r="H245" s="6">
        <v>50.85</v>
      </c>
      <c r="I245" s="2"/>
      <c r="J245" s="7">
        <f t="shared" si="134"/>
        <v>1.9288379788615298E-4</v>
      </c>
      <c r="K245" s="2"/>
      <c r="L245" s="6">
        <f t="shared" si="135"/>
        <v>-50.85</v>
      </c>
      <c r="M245" s="2"/>
      <c r="N245" s="7">
        <f t="shared" si="136"/>
        <v>-1</v>
      </c>
      <c r="O245" s="10"/>
      <c r="P245" s="6">
        <v>6682.58</v>
      </c>
      <c r="Q245" s="2"/>
      <c r="R245" s="7">
        <f t="shared" si="137"/>
        <v>1.2827922106741099E-3</v>
      </c>
      <c r="S245" s="2"/>
      <c r="T245" s="6">
        <v>17939.21</v>
      </c>
      <c r="U245" s="2"/>
      <c r="V245" s="7">
        <f t="shared" si="138"/>
        <v>1.9873376842059129E-3</v>
      </c>
      <c r="W245" s="2"/>
      <c r="X245" s="6">
        <f t="shared" si="139"/>
        <v>-11256.63</v>
      </c>
      <c r="Y245" s="2"/>
      <c r="Z245" s="7">
        <f t="shared" si="140"/>
        <v>-0.6274874980559344</v>
      </c>
    </row>
    <row r="246" spans="1:26" s="23" customFormat="1" hidden="1" outlineLevel="2" x14ac:dyDescent="0.25">
      <c r="A246" s="27"/>
      <c r="B246" s="10" t="str">
        <f>CONCATENATE("          ", "6245", " - ", "PRINTING")</f>
        <v xml:space="preserve">          6245 - PRINTING</v>
      </c>
      <c r="C246" s="10"/>
      <c r="D246" s="6">
        <v>5963.79</v>
      </c>
      <c r="E246" s="2"/>
      <c r="F246" s="7">
        <f t="shared" si="133"/>
        <v>1.1768415940300531E-2</v>
      </c>
      <c r="G246" s="2"/>
      <c r="H246" s="6">
        <v>66.150000000000006</v>
      </c>
      <c r="I246" s="2"/>
      <c r="J246" s="7">
        <f t="shared" si="134"/>
        <v>2.5091963087844682E-4</v>
      </c>
      <c r="K246" s="2"/>
      <c r="L246" s="6">
        <f t="shared" si="135"/>
        <v>5897.64</v>
      </c>
      <c r="M246" s="2"/>
      <c r="N246" s="7">
        <f t="shared" si="136"/>
        <v>89.155555555555551</v>
      </c>
      <c r="O246" s="10"/>
      <c r="P246" s="6">
        <v>9084.3799999999992</v>
      </c>
      <c r="Q246" s="2"/>
      <c r="R246" s="7">
        <f t="shared" si="137"/>
        <v>1.7438432316266577E-3</v>
      </c>
      <c r="S246" s="2"/>
      <c r="T246" s="6">
        <v>10627.6</v>
      </c>
      <c r="U246" s="2"/>
      <c r="V246" s="7">
        <f t="shared" si="138"/>
        <v>1.1773444857753916E-3</v>
      </c>
      <c r="W246" s="2"/>
      <c r="X246" s="6">
        <f t="shared" si="139"/>
        <v>-1543.2200000000012</v>
      </c>
      <c r="Y246" s="2"/>
      <c r="Z246" s="7">
        <f t="shared" si="140"/>
        <v>-0.14520870187060117</v>
      </c>
    </row>
    <row r="247" spans="1:26" s="23" customFormat="1" hidden="1" outlineLevel="2" x14ac:dyDescent="0.25">
      <c r="A247" s="27"/>
      <c r="B247" s="10" t="str">
        <f>CONCATENATE("          ", "6247", " - ", "STORE SUPPLIES")</f>
        <v xml:space="preserve">          6247 - STORE SUPPLIES</v>
      </c>
      <c r="C247" s="10"/>
      <c r="D247" s="6">
        <v>781.56</v>
      </c>
      <c r="E247" s="2"/>
      <c r="F247" s="7">
        <f t="shared" si="133"/>
        <v>1.5422614079807107E-3</v>
      </c>
      <c r="G247" s="2"/>
      <c r="H247" s="6">
        <v>1029.98</v>
      </c>
      <c r="I247" s="2"/>
      <c r="J247" s="7">
        <f t="shared" si="134"/>
        <v>3.9069115859740383E-3</v>
      </c>
      <c r="K247" s="2"/>
      <c r="L247" s="6">
        <f t="shared" si="135"/>
        <v>-248.42000000000007</v>
      </c>
      <c r="M247" s="2"/>
      <c r="N247" s="7">
        <f t="shared" si="136"/>
        <v>-0.24118914930387003</v>
      </c>
      <c r="O247" s="10"/>
      <c r="P247" s="6">
        <v>47247.87</v>
      </c>
      <c r="Q247" s="2"/>
      <c r="R247" s="7">
        <f t="shared" si="137"/>
        <v>9.0697304943514277E-3</v>
      </c>
      <c r="S247" s="2"/>
      <c r="T247" s="6">
        <v>29113.69</v>
      </c>
      <c r="U247" s="2"/>
      <c r="V247" s="7">
        <f t="shared" si="138"/>
        <v>3.2252665119193572E-3</v>
      </c>
      <c r="W247" s="2"/>
      <c r="X247" s="6">
        <f t="shared" si="139"/>
        <v>18134.180000000004</v>
      </c>
      <c r="Y247" s="2"/>
      <c r="Z247" s="7">
        <f t="shared" si="140"/>
        <v>0.62287466824026794</v>
      </c>
    </row>
    <row r="248" spans="1:26" s="23" customFormat="1" hidden="1" outlineLevel="2" x14ac:dyDescent="0.25">
      <c r="A248" s="27"/>
      <c r="B248" s="10" t="str">
        <f>CONCATENATE("          ", "6248", " - ", "UNIFORMS")</f>
        <v xml:space="preserve">          6248 - UNIFORMS</v>
      </c>
      <c r="C248" s="10"/>
      <c r="D248" s="6"/>
      <c r="E248" s="2"/>
      <c r="F248" s="7">
        <f t="shared" si="133"/>
        <v>0</v>
      </c>
      <c r="G248" s="2"/>
      <c r="H248" s="6"/>
      <c r="I248" s="2"/>
      <c r="J248" s="7">
        <f t="shared" si="134"/>
        <v>0</v>
      </c>
      <c r="K248" s="2"/>
      <c r="L248" s="6">
        <f t="shared" si="135"/>
        <v>0</v>
      </c>
      <c r="M248" s="2"/>
      <c r="N248" s="7">
        <f t="shared" si="136"/>
        <v>0</v>
      </c>
      <c r="O248" s="10"/>
      <c r="P248" s="6"/>
      <c r="Q248" s="2"/>
      <c r="R248" s="7">
        <f t="shared" si="137"/>
        <v>0</v>
      </c>
      <c r="S248" s="2"/>
      <c r="T248" s="6">
        <v>43.91</v>
      </c>
      <c r="U248" s="2"/>
      <c r="V248" s="7">
        <f t="shared" si="138"/>
        <v>4.8644281277426171E-6</v>
      </c>
      <c r="W248" s="2"/>
      <c r="X248" s="6">
        <f t="shared" si="139"/>
        <v>-43.91</v>
      </c>
      <c r="Y248" s="2"/>
      <c r="Z248" s="7">
        <f t="shared" si="140"/>
        <v>-1</v>
      </c>
    </row>
    <row r="249" spans="1:26" s="26" customFormat="1" outlineLevel="1" collapsed="1" x14ac:dyDescent="0.25">
      <c r="A249" s="25"/>
      <c r="B249" s="12" t="str">
        <f>CONCATENATE("     ","Telephone/Data Lines                              ")</f>
        <v xml:space="preserve">     Telephone/Data Lines                              </v>
      </c>
      <c r="C249" s="12"/>
      <c r="D249" s="1">
        <f>SUM(OSRRefD22_21x_0)</f>
        <v>1851.35</v>
      </c>
      <c r="E249" s="1"/>
      <c r="F249" s="5">
        <f t="shared" ref="F249:F251" si="141">IF(D$12=0,0,D249/D$12)</f>
        <v>3.6532904161741759E-3</v>
      </c>
      <c r="G249" s="1"/>
      <c r="H249" s="1">
        <f>SUM(OSRRefH22_21x_0)</f>
        <v>2738.58</v>
      </c>
      <c r="I249" s="1"/>
      <c r="J249" s="5">
        <f t="shared" ref="J249:J251" si="142">IF(H$12=0,0,H249/H$12)</f>
        <v>1.0387958922616732E-2</v>
      </c>
      <c r="K249" s="1"/>
      <c r="L249" s="1">
        <f t="shared" ref="L249:L251" si="143">+D249-H249</f>
        <v>-887.23</v>
      </c>
      <c r="M249" s="1"/>
      <c r="N249" s="5">
        <f t="shared" ref="N249:N251" si="144">IF(H249=0,0,L249/H249)</f>
        <v>-0.32397446852018202</v>
      </c>
      <c r="O249" s="12"/>
      <c r="P249" s="1">
        <f>SUM(OSRRefP22_21x_0)</f>
        <v>23682.78</v>
      </c>
      <c r="Q249" s="1"/>
      <c r="R249" s="5">
        <f t="shared" ref="R249:R251" si="145">IF(P$12=0,0,P249/P$12)</f>
        <v>4.5461611699536102E-3</v>
      </c>
      <c r="S249" s="1"/>
      <c r="T249" s="1">
        <f>SUM(OSRRefT22_21x_0)</f>
        <v>27856.47</v>
      </c>
      <c r="U249" s="1"/>
      <c r="V249" s="5">
        <f t="shared" ref="V249:V251" si="146">IF(T$12=0,0,T249/T$12)</f>
        <v>3.0859894376592668E-3</v>
      </c>
      <c r="W249" s="1"/>
      <c r="X249" s="1">
        <f t="shared" ref="X249:X251" si="147">+P249-T249</f>
        <v>-4173.6900000000023</v>
      </c>
      <c r="Y249" s="1"/>
      <c r="Z249" s="5">
        <f t="shared" ref="Z249:Z251" si="148">IF(T249=0,0,X249/T249)</f>
        <v>-0.14982838816260646</v>
      </c>
    </row>
    <row r="250" spans="1:26" s="23" customFormat="1" hidden="1" outlineLevel="2" x14ac:dyDescent="0.25">
      <c r="A250" s="27"/>
      <c r="B250" s="10" t="str">
        <f>CONCATENATE("          ", "6303", " - ", "DATA PHONE LINES")</f>
        <v xml:space="preserve">          6303 - DATA PHONE LINES</v>
      </c>
      <c r="C250" s="10"/>
      <c r="D250" s="6"/>
      <c r="E250" s="2"/>
      <c r="F250" s="7">
        <f t="shared" si="141"/>
        <v>0</v>
      </c>
      <c r="G250" s="2"/>
      <c r="H250" s="6">
        <v>590</v>
      </c>
      <c r="I250" s="2"/>
      <c r="J250" s="7">
        <f t="shared" si="142"/>
        <v>2.2379831023172127E-3</v>
      </c>
      <c r="K250" s="2"/>
      <c r="L250" s="6">
        <f t="shared" si="143"/>
        <v>-590</v>
      </c>
      <c r="M250" s="2"/>
      <c r="N250" s="7">
        <f t="shared" si="144"/>
        <v>-1</v>
      </c>
      <c r="O250" s="10"/>
      <c r="P250" s="6">
        <v>3540</v>
      </c>
      <c r="Q250" s="2"/>
      <c r="R250" s="7">
        <f t="shared" si="145"/>
        <v>6.7954060045466707E-4</v>
      </c>
      <c r="S250" s="2"/>
      <c r="T250" s="6">
        <v>2950</v>
      </c>
      <c r="U250" s="2"/>
      <c r="V250" s="7">
        <f t="shared" si="146"/>
        <v>3.2680626228286775E-4</v>
      </c>
      <c r="W250" s="2"/>
      <c r="X250" s="6">
        <f t="shared" si="147"/>
        <v>590</v>
      </c>
      <c r="Y250" s="2"/>
      <c r="Z250" s="7">
        <f t="shared" si="148"/>
        <v>0.2</v>
      </c>
    </row>
    <row r="251" spans="1:26" s="23" customFormat="1" hidden="1" outlineLevel="2" x14ac:dyDescent="0.25">
      <c r="A251" s="27"/>
      <c r="B251" s="10" t="str">
        <f>CONCATENATE("          ", "6309", " - ", "TELEPHONE")</f>
        <v xml:space="preserve">          6309 - TELEPHONE</v>
      </c>
      <c r="C251" s="10"/>
      <c r="D251" s="6">
        <v>1851.35</v>
      </c>
      <c r="E251" s="2"/>
      <c r="F251" s="7">
        <f t="shared" si="141"/>
        <v>3.6532904161741759E-3</v>
      </c>
      <c r="G251" s="2"/>
      <c r="H251" s="6">
        <v>2148.58</v>
      </c>
      <c r="I251" s="2"/>
      <c r="J251" s="7">
        <f t="shared" si="142"/>
        <v>8.1499758202995196E-3</v>
      </c>
      <c r="K251" s="2"/>
      <c r="L251" s="6">
        <f t="shared" si="143"/>
        <v>-297.23</v>
      </c>
      <c r="M251" s="2"/>
      <c r="N251" s="7">
        <f t="shared" si="144"/>
        <v>-0.13833787897122751</v>
      </c>
      <c r="O251" s="10"/>
      <c r="P251" s="6">
        <v>20142.78</v>
      </c>
      <c r="Q251" s="2"/>
      <c r="R251" s="7">
        <f t="shared" si="145"/>
        <v>3.8666205694989431E-3</v>
      </c>
      <c r="S251" s="2"/>
      <c r="T251" s="6">
        <v>24906.47</v>
      </c>
      <c r="U251" s="2"/>
      <c r="V251" s="7">
        <f t="shared" si="146"/>
        <v>2.7591831753763993E-3</v>
      </c>
      <c r="W251" s="2"/>
      <c r="X251" s="6">
        <f t="shared" si="147"/>
        <v>-4763.6900000000023</v>
      </c>
      <c r="Y251" s="2"/>
      <c r="Z251" s="7">
        <f t="shared" si="148"/>
        <v>-0.19126315371066241</v>
      </c>
    </row>
    <row r="252" spans="1:26" s="26" customFormat="1" outlineLevel="1" collapsed="1" x14ac:dyDescent="0.25">
      <c r="A252" s="25"/>
      <c r="B252" s="12" t="str">
        <f>CONCATENATE("     ","Training                                          ")</f>
        <v xml:space="preserve">     Training                                          </v>
      </c>
      <c r="C252" s="12"/>
      <c r="D252" s="1">
        <f>SUM(OSRRefD22_22x_0)</f>
        <v>0</v>
      </c>
      <c r="E252" s="1"/>
      <c r="F252" s="5">
        <f t="shared" ref="F252:F257" si="149">IF(D$12=0,0,D252/D$12)</f>
        <v>0</v>
      </c>
      <c r="G252" s="1"/>
      <c r="H252" s="1">
        <f>SUM(OSRRefH22_22x_0)</f>
        <v>2140.13</v>
      </c>
      <c r="I252" s="1"/>
      <c r="J252" s="5">
        <f t="shared" ref="J252:J257" si="150">IF(H$12=0,0,H252/H$12)</f>
        <v>8.1179233504442994E-3</v>
      </c>
      <c r="K252" s="1"/>
      <c r="L252" s="1">
        <f t="shared" ref="L252:L257" si="151">+D252-H252</f>
        <v>-2140.13</v>
      </c>
      <c r="M252" s="1"/>
      <c r="N252" s="5">
        <f t="shared" ref="N252:N257" si="152">IF(H252=0,0,L252/H252)</f>
        <v>-1</v>
      </c>
      <c r="O252" s="12"/>
      <c r="P252" s="1">
        <f>SUM(OSRRefP22_22x_0)</f>
        <v>895.63</v>
      </c>
      <c r="Q252" s="1"/>
      <c r="R252" s="5">
        <f t="shared" ref="R252:R257" si="153">IF(P$12=0,0,P252/P$12)</f>
        <v>1.7192569152124675E-4</v>
      </c>
      <c r="S252" s="1"/>
      <c r="T252" s="1">
        <f>SUM(OSRRefT22_22x_0)</f>
        <v>23857.01</v>
      </c>
      <c r="U252" s="1"/>
      <c r="V252" s="5">
        <f t="shared" ref="V252:V257" si="154">IF(T$12=0,0,T252/T$12)</f>
        <v>2.6429221245237284E-3</v>
      </c>
      <c r="W252" s="1"/>
      <c r="X252" s="1">
        <f t="shared" ref="X252:X257" si="155">+P252-T252</f>
        <v>-22961.379999999997</v>
      </c>
      <c r="Y252" s="1"/>
      <c r="Z252" s="5">
        <f t="shared" ref="Z252:Z257" si="156">IF(T252=0,0,X252/T252)</f>
        <v>-0.96245841369056717</v>
      </c>
    </row>
    <row r="253" spans="1:26" s="23" customFormat="1" hidden="1" outlineLevel="2" x14ac:dyDescent="0.25">
      <c r="A253" s="27"/>
      <c r="B253" s="10" t="str">
        <f>CONCATENATE("          ", "6376", " - ", "TRAINING")</f>
        <v xml:space="preserve">          6376 - TRAINING</v>
      </c>
      <c r="C253" s="10"/>
      <c r="D253" s="6"/>
      <c r="E253" s="2"/>
      <c r="F253" s="7">
        <f t="shared" si="149"/>
        <v>0</v>
      </c>
      <c r="G253" s="2"/>
      <c r="H253" s="6">
        <v>2140.13</v>
      </c>
      <c r="I253" s="2"/>
      <c r="J253" s="7">
        <f t="shared" si="150"/>
        <v>8.1179233504442994E-3</v>
      </c>
      <c r="K253" s="2"/>
      <c r="L253" s="6">
        <f t="shared" si="151"/>
        <v>-2140.13</v>
      </c>
      <c r="M253" s="2"/>
      <c r="N253" s="7">
        <f t="shared" si="152"/>
        <v>-1</v>
      </c>
      <c r="O253" s="10"/>
      <c r="P253" s="6">
        <v>895.63</v>
      </c>
      <c r="Q253" s="2"/>
      <c r="R253" s="7">
        <f t="shared" si="153"/>
        <v>1.7192569152124675E-4</v>
      </c>
      <c r="S253" s="2"/>
      <c r="T253" s="6">
        <v>23857.01</v>
      </c>
      <c r="U253" s="2"/>
      <c r="V253" s="7">
        <f t="shared" si="154"/>
        <v>2.6429221245237284E-3</v>
      </c>
      <c r="W253" s="2"/>
      <c r="X253" s="6">
        <f t="shared" si="155"/>
        <v>-22961.379999999997</v>
      </c>
      <c r="Y253" s="2"/>
      <c r="Z253" s="7">
        <f t="shared" si="156"/>
        <v>-0.96245841369056717</v>
      </c>
    </row>
    <row r="254" spans="1:26" s="26" customFormat="1" outlineLevel="1" collapsed="1" x14ac:dyDescent="0.25">
      <c r="A254" s="25"/>
      <c r="B254" s="12" t="str">
        <f>CONCATENATE("     ","Travel                                            ")</f>
        <v xml:space="preserve">     Travel                                            </v>
      </c>
      <c r="C254" s="12"/>
      <c r="D254" s="1">
        <f>SUM(OSRRefD22_23x_0)</f>
        <v>0</v>
      </c>
      <c r="E254" s="1"/>
      <c r="F254" s="5">
        <f t="shared" si="149"/>
        <v>0</v>
      </c>
      <c r="G254" s="1"/>
      <c r="H254" s="1">
        <f>SUM(OSRRefH22_23x_0)</f>
        <v>0</v>
      </c>
      <c r="I254" s="1"/>
      <c r="J254" s="5">
        <f t="shared" si="150"/>
        <v>0</v>
      </c>
      <c r="K254" s="1"/>
      <c r="L254" s="1">
        <f t="shared" si="151"/>
        <v>0</v>
      </c>
      <c r="M254" s="1"/>
      <c r="N254" s="5">
        <f t="shared" si="152"/>
        <v>0</v>
      </c>
      <c r="O254" s="12"/>
      <c r="P254" s="1">
        <f>SUM(OSRRefP22_23x_0)</f>
        <v>972.4</v>
      </c>
      <c r="Q254" s="1"/>
      <c r="R254" s="5">
        <f t="shared" si="153"/>
        <v>1.8666250844127634E-4</v>
      </c>
      <c r="S254" s="1"/>
      <c r="T254" s="1">
        <f>SUM(OSRRefT22_23x_0)</f>
        <v>1317.79</v>
      </c>
      <c r="U254" s="1"/>
      <c r="V254" s="5">
        <f t="shared" si="154"/>
        <v>1.4598712690635262E-4</v>
      </c>
      <c r="W254" s="1"/>
      <c r="X254" s="1">
        <f t="shared" si="155"/>
        <v>-345.39</v>
      </c>
      <c r="Y254" s="1"/>
      <c r="Z254" s="5">
        <f t="shared" si="156"/>
        <v>-0.2620979063431958</v>
      </c>
    </row>
    <row r="255" spans="1:26" s="23" customFormat="1" hidden="1" outlineLevel="2" x14ac:dyDescent="0.25">
      <c r="A255" s="27"/>
      <c r="B255" s="10" t="str">
        <f>CONCATENATE("          ", "6292", " - ", "TRAVEL/CONFERENCE")</f>
        <v xml:space="preserve">          6292 - TRAVEL/CONFERENCE</v>
      </c>
      <c r="C255" s="10"/>
      <c r="D255" s="6"/>
      <c r="E255" s="2"/>
      <c r="F255" s="7">
        <f t="shared" si="149"/>
        <v>0</v>
      </c>
      <c r="G255" s="2"/>
      <c r="H255" s="6"/>
      <c r="I255" s="2"/>
      <c r="J255" s="7">
        <f t="shared" si="150"/>
        <v>0</v>
      </c>
      <c r="K255" s="2"/>
      <c r="L255" s="6">
        <f t="shared" si="151"/>
        <v>0</v>
      </c>
      <c r="M255" s="2"/>
      <c r="N255" s="7">
        <f t="shared" si="152"/>
        <v>0</v>
      </c>
      <c r="O255" s="10"/>
      <c r="P255" s="6">
        <v>299.16000000000003</v>
      </c>
      <c r="Q255" s="2"/>
      <c r="R255" s="7">
        <f t="shared" si="153"/>
        <v>5.7426939557067295E-5</v>
      </c>
      <c r="S255" s="2"/>
      <c r="T255" s="6">
        <v>504.66</v>
      </c>
      <c r="U255" s="2"/>
      <c r="V255" s="7">
        <f t="shared" si="154"/>
        <v>5.5907135024973575E-5</v>
      </c>
      <c r="W255" s="2"/>
      <c r="X255" s="6">
        <f t="shared" si="155"/>
        <v>-205.5</v>
      </c>
      <c r="Y255" s="2"/>
      <c r="Z255" s="7">
        <f t="shared" si="156"/>
        <v>-0.40720485079063129</v>
      </c>
    </row>
    <row r="256" spans="1:26" s="23" customFormat="1" hidden="1" outlineLevel="2" x14ac:dyDescent="0.25">
      <c r="A256" s="27"/>
      <c r="B256" s="10" t="str">
        <f>CONCATENATE("          ", "6294", " - ", "TRAVEL OPERATIONAL")</f>
        <v xml:space="preserve">          6294 - TRAVEL OPERATIONAL</v>
      </c>
      <c r="C256" s="10"/>
      <c r="D256" s="6"/>
      <c r="E256" s="2"/>
      <c r="F256" s="7">
        <f t="shared" si="149"/>
        <v>0</v>
      </c>
      <c r="G256" s="2"/>
      <c r="H256" s="6"/>
      <c r="I256" s="2"/>
      <c r="J256" s="7">
        <f t="shared" si="150"/>
        <v>0</v>
      </c>
      <c r="K256" s="2"/>
      <c r="L256" s="6">
        <f t="shared" si="151"/>
        <v>0</v>
      </c>
      <c r="M256" s="2"/>
      <c r="N256" s="7">
        <f t="shared" si="152"/>
        <v>0</v>
      </c>
      <c r="O256" s="10"/>
      <c r="P256" s="6">
        <v>613.35</v>
      </c>
      <c r="Q256" s="2"/>
      <c r="R256" s="7">
        <f t="shared" si="153"/>
        <v>1.1773904725674296E-4</v>
      </c>
      <c r="S256" s="2"/>
      <c r="T256" s="6">
        <v>361.61</v>
      </c>
      <c r="U256" s="2"/>
      <c r="V256" s="7">
        <f t="shared" si="154"/>
        <v>4.0059800848850103E-5</v>
      </c>
      <c r="W256" s="2"/>
      <c r="X256" s="6">
        <f t="shared" si="155"/>
        <v>251.74</v>
      </c>
      <c r="Y256" s="2"/>
      <c r="Z256" s="7">
        <f t="shared" si="156"/>
        <v>0.69616437598517744</v>
      </c>
    </row>
    <row r="257" spans="1:26" s="23" customFormat="1" hidden="1" outlineLevel="2" x14ac:dyDescent="0.25">
      <c r="A257" s="27"/>
      <c r="B257" s="10" t="str">
        <f>CONCATENATE("          ", "6298", " - ", "VEHICLE MILEAGE")</f>
        <v xml:space="preserve">          6298 - VEHICLE MILEAGE</v>
      </c>
      <c r="C257" s="10"/>
      <c r="D257" s="6"/>
      <c r="E257" s="2"/>
      <c r="F257" s="7">
        <f t="shared" si="149"/>
        <v>0</v>
      </c>
      <c r="G257" s="2"/>
      <c r="H257" s="6"/>
      <c r="I257" s="2"/>
      <c r="J257" s="7">
        <f t="shared" si="150"/>
        <v>0</v>
      </c>
      <c r="K257" s="2"/>
      <c r="L257" s="6">
        <f t="shared" si="151"/>
        <v>0</v>
      </c>
      <c r="M257" s="2"/>
      <c r="N257" s="7">
        <f t="shared" si="152"/>
        <v>0</v>
      </c>
      <c r="O257" s="10"/>
      <c r="P257" s="6">
        <v>59.89</v>
      </c>
      <c r="Q257" s="2"/>
      <c r="R257" s="7">
        <f t="shared" si="153"/>
        <v>1.1496521627466105E-5</v>
      </c>
      <c r="S257" s="2"/>
      <c r="T257" s="6">
        <v>451.52</v>
      </c>
      <c r="U257" s="2"/>
      <c r="V257" s="7">
        <f t="shared" si="154"/>
        <v>5.002019103252896E-5</v>
      </c>
      <c r="W257" s="2"/>
      <c r="X257" s="6">
        <f t="shared" si="155"/>
        <v>-391.63</v>
      </c>
      <c r="Y257" s="2"/>
      <c r="Z257" s="7">
        <f t="shared" si="156"/>
        <v>-0.86735914245216161</v>
      </c>
    </row>
    <row r="258" spans="1:26" s="26" customFormat="1" outlineLevel="1" collapsed="1" x14ac:dyDescent="0.25">
      <c r="A258" s="25"/>
      <c r="B258" s="12" t="str">
        <f>CONCATENATE("     ","Utilities                                         ")</f>
        <v xml:space="preserve">     Utilities                                         </v>
      </c>
      <c r="C258" s="12"/>
      <c r="D258" s="1">
        <f>SUM(OSRRefD22_24x_0)</f>
        <v>6162.9</v>
      </c>
      <c r="E258" s="1"/>
      <c r="F258" s="5">
        <f t="shared" ref="F258:F259" si="157">IF(D$12=0,0,D258/D$12)</f>
        <v>1.2161322011418601E-2</v>
      </c>
      <c r="G258" s="1"/>
      <c r="H258" s="1">
        <f>SUM(OSRRefH22_24x_0)</f>
        <v>6159.43</v>
      </c>
      <c r="I258" s="1"/>
      <c r="J258" s="5">
        <f t="shared" ref="J258:J259" si="158">IF(H$12=0,0,H258/H$12)</f>
        <v>2.3363898745602896E-2</v>
      </c>
      <c r="K258" s="1"/>
      <c r="L258" s="1">
        <f t="shared" ref="L258:L259" si="159">+D258-H258</f>
        <v>3.4699999999993452</v>
      </c>
      <c r="M258" s="1"/>
      <c r="N258" s="5">
        <f t="shared" ref="N258:N259" si="160">IF(H258=0,0,L258/H258)</f>
        <v>5.6336381775575742E-4</v>
      </c>
      <c r="O258" s="12"/>
      <c r="P258" s="1">
        <f>SUM(OSRRefP22_24x_0)</f>
        <v>64842.45</v>
      </c>
      <c r="Q258" s="1"/>
      <c r="R258" s="5">
        <f t="shared" ref="R258:R259" si="161">IF(P$12=0,0,P258/P$12)</f>
        <v>1.2447197007895967E-2</v>
      </c>
      <c r="S258" s="1"/>
      <c r="T258" s="1">
        <f>SUM(OSRRefT22_24x_0)</f>
        <v>65364.78</v>
      </c>
      <c r="U258" s="1"/>
      <c r="V258" s="5">
        <f t="shared" ref="V258:V259" si="162">IF(T$12=0,0,T258/T$12)</f>
        <v>7.2412269277091351E-3</v>
      </c>
      <c r="W258" s="1"/>
      <c r="X258" s="1">
        <f t="shared" ref="X258:X259" si="163">+P258-T258</f>
        <v>-522.33000000000175</v>
      </c>
      <c r="Y258" s="1"/>
      <c r="Z258" s="5">
        <f t="shared" ref="Z258:Z259" si="164">IF(T258=0,0,X258/T258)</f>
        <v>-7.9910006581526277E-3</v>
      </c>
    </row>
    <row r="259" spans="1:26" s="23" customFormat="1" hidden="1" outlineLevel="2" x14ac:dyDescent="0.25">
      <c r="A259" s="27"/>
      <c r="B259" s="10" t="str">
        <f>CONCATENATE("          ", "6274", " - ", "UTILITIES")</f>
        <v xml:space="preserve">          6274 - UTILITIES</v>
      </c>
      <c r="C259" s="10"/>
      <c r="D259" s="6">
        <v>6162.9</v>
      </c>
      <c r="E259" s="2"/>
      <c r="F259" s="7">
        <f t="shared" si="157"/>
        <v>1.2161322011418601E-2</v>
      </c>
      <c r="G259" s="2"/>
      <c r="H259" s="6">
        <v>6159.43</v>
      </c>
      <c r="I259" s="2"/>
      <c r="J259" s="7">
        <f t="shared" si="158"/>
        <v>2.3363898745602896E-2</v>
      </c>
      <c r="K259" s="2"/>
      <c r="L259" s="6">
        <f t="shared" si="159"/>
        <v>3.4699999999993452</v>
      </c>
      <c r="M259" s="2"/>
      <c r="N259" s="7">
        <f t="shared" si="160"/>
        <v>5.6336381775575742E-4</v>
      </c>
      <c r="O259" s="10"/>
      <c r="P259" s="6">
        <v>64842.45</v>
      </c>
      <c r="Q259" s="2"/>
      <c r="R259" s="7">
        <f t="shared" si="161"/>
        <v>1.2447197007895967E-2</v>
      </c>
      <c r="S259" s="2"/>
      <c r="T259" s="6">
        <v>65364.78</v>
      </c>
      <c r="U259" s="2"/>
      <c r="V259" s="7">
        <f t="shared" si="162"/>
        <v>7.2412269277091351E-3</v>
      </c>
      <c r="W259" s="2"/>
      <c r="X259" s="6">
        <f t="shared" si="163"/>
        <v>-522.33000000000175</v>
      </c>
      <c r="Y259" s="2"/>
      <c r="Z259" s="7">
        <f t="shared" si="164"/>
        <v>-7.9910006581526277E-3</v>
      </c>
    </row>
    <row r="260" spans="1:26" s="57" customFormat="1" x14ac:dyDescent="0.25">
      <c r="A260" s="37"/>
      <c r="B260" s="37"/>
      <c r="C260" s="37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7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4" customFormat="1" collapsed="1" x14ac:dyDescent="0.25">
      <c r="A261" s="11"/>
      <c r="B261" s="29" t="s">
        <v>292</v>
      </c>
      <c r="C261" s="11"/>
      <c r="D261" s="4">
        <f>SUM(OSRRefD25x_0)</f>
        <v>60098.659999999996</v>
      </c>
      <c r="E261" s="4"/>
      <c r="F261" s="13">
        <f t="shared" ref="F261:F270" si="165">IF(D$12=0,0,D261/D$12)</f>
        <v>0.11859338245221611</v>
      </c>
      <c r="G261" s="4"/>
      <c r="H261" s="4">
        <f>SUM(OSRRefH25x_0)</f>
        <v>108077.11</v>
      </c>
      <c r="I261" s="4"/>
      <c r="J261" s="13">
        <f t="shared" ref="J261:J270" si="166">IF(H$12=0,0,H261/H$12)</f>
        <v>0.40995719648691298</v>
      </c>
      <c r="K261" s="4"/>
      <c r="L261" s="4">
        <f t="shared" ref="L261:L270" si="167">+D261-H261</f>
        <v>-47978.450000000004</v>
      </c>
      <c r="M261" s="4"/>
      <c r="N261" s="13">
        <f t="shared" ref="N261:N270" si="168">IF(H261=0,0,L261/H261)</f>
        <v>-0.44392795107123056</v>
      </c>
      <c r="O261" s="11"/>
      <c r="P261" s="4">
        <f>SUM(OSRRefP25x_0)</f>
        <v>1053091.8299999998</v>
      </c>
      <c r="Q261" s="4"/>
      <c r="R261" s="13">
        <f t="shared" ref="R261:R270" si="169">IF(P$12=0,0,P261/P$12)</f>
        <v>0.2021521622859051</v>
      </c>
      <c r="S261" s="4"/>
      <c r="T261" s="4">
        <f>SUM(OSRRefT25x_0)</f>
        <v>1169105.1499999999</v>
      </c>
      <c r="U261" s="4"/>
      <c r="V261" s="13">
        <f t="shared" ref="V261:V270" si="170">IF(T$12=0,0,T261/T$12)</f>
        <v>0.12951555399564454</v>
      </c>
      <c r="W261" s="4"/>
      <c r="X261" s="4">
        <f t="shared" ref="X261:X270" si="171">+P261-T261</f>
        <v>-116013.32000000007</v>
      </c>
      <c r="Y261" s="4"/>
      <c r="Z261" s="13">
        <f t="shared" ref="Z261:Z270" si="172">IF(T261=0,0,X261/T261)</f>
        <v>-9.9232579721336506E-2</v>
      </c>
    </row>
    <row r="262" spans="1:26" s="23" customFormat="1" hidden="1" outlineLevel="1" x14ac:dyDescent="0.25">
      <c r="A262" s="44"/>
      <c r="B262" s="10" t="str">
        <f>CONCATENATE("          ", "4098", " - ", "TAXABLE SALES-GRAD RENTALS")</f>
        <v xml:space="preserve">          4098 - TAXABLE SALES-GRAD RENTALS</v>
      </c>
      <c r="C262" s="10"/>
      <c r="D262" s="2">
        <f t="shared" ref="D262:D264" si="173">0</f>
        <v>0</v>
      </c>
      <c r="E262" s="2"/>
      <c r="F262" s="19">
        <f t="shared" si="165"/>
        <v>0</v>
      </c>
      <c r="G262" s="2"/>
      <c r="H262" s="2">
        <f>-152</f>
        <v>-152</v>
      </c>
      <c r="I262" s="2"/>
      <c r="J262" s="19">
        <f t="shared" si="166"/>
        <v>-5.7656513822409549E-4</v>
      </c>
      <c r="K262" s="2"/>
      <c r="L262" s="2">
        <f t="shared" si="167"/>
        <v>152</v>
      </c>
      <c r="M262" s="2"/>
      <c r="N262" s="19">
        <f t="shared" si="168"/>
        <v>-1</v>
      </c>
      <c r="O262" s="10"/>
      <c r="P262" s="2">
        <f>--49.95</f>
        <v>49.95</v>
      </c>
      <c r="Q262" s="2"/>
      <c r="R262" s="19">
        <f t="shared" si="169"/>
        <v>9.5884330487883115E-6</v>
      </c>
      <c r="S262" s="2"/>
      <c r="T262" s="2">
        <f>--1946.85</f>
        <v>1946.85</v>
      </c>
      <c r="U262" s="2"/>
      <c r="V262" s="19">
        <f t="shared" si="170"/>
        <v>2.15675515839119E-4</v>
      </c>
      <c r="W262" s="2"/>
      <c r="X262" s="2">
        <f t="shared" si="171"/>
        <v>-1896.8999999999999</v>
      </c>
      <c r="Y262" s="2"/>
      <c r="Z262" s="19">
        <f t="shared" si="172"/>
        <v>-0.97434316973572688</v>
      </c>
    </row>
    <row r="263" spans="1:26" s="23" customFormat="1" hidden="1" outlineLevel="1" x14ac:dyDescent="0.25">
      <c r="A263" s="44"/>
      <c r="B263" s="10" t="str">
        <f>CONCATENATE("          ", "4197", " - ", "NON-TAXABLE SALES-RETURNED CHE")</f>
        <v xml:space="preserve">          4197 - NON-TAXABLE SALES-RETURNED CHE</v>
      </c>
      <c r="C263" s="10"/>
      <c r="D263" s="2">
        <f t="shared" si="173"/>
        <v>0</v>
      </c>
      <c r="E263" s="2"/>
      <c r="F263" s="19">
        <f t="shared" si="165"/>
        <v>0</v>
      </c>
      <c r="G263" s="2"/>
      <c r="H263" s="2">
        <f>0</f>
        <v>0</v>
      </c>
      <c r="I263" s="2"/>
      <c r="J263" s="19">
        <f t="shared" si="166"/>
        <v>0</v>
      </c>
      <c r="K263" s="2"/>
      <c r="L263" s="2">
        <f t="shared" si="167"/>
        <v>0</v>
      </c>
      <c r="M263" s="2"/>
      <c r="N263" s="19">
        <f t="shared" si="168"/>
        <v>0</v>
      </c>
      <c r="O263" s="10"/>
      <c r="P263" s="2">
        <f t="shared" ref="P263:P264" si="174">0</f>
        <v>0</v>
      </c>
      <c r="Q263" s="2"/>
      <c r="R263" s="19">
        <f t="shared" si="169"/>
        <v>0</v>
      </c>
      <c r="S263" s="2"/>
      <c r="T263" s="2">
        <f>--30</f>
        <v>30</v>
      </c>
      <c r="U263" s="2"/>
      <c r="V263" s="19">
        <f t="shared" si="170"/>
        <v>3.3234535147410278E-6</v>
      </c>
      <c r="W263" s="2"/>
      <c r="X263" s="2">
        <f t="shared" si="171"/>
        <v>-30</v>
      </c>
      <c r="Y263" s="2"/>
      <c r="Z263" s="19">
        <f t="shared" si="172"/>
        <v>-1</v>
      </c>
    </row>
    <row r="264" spans="1:26" s="23" customFormat="1" hidden="1" outlineLevel="1" x14ac:dyDescent="0.25">
      <c r="A264" s="44"/>
      <c r="B264" s="10" t="str">
        <f>CONCATENATE("          ", "4198", " - ", "NON-TAXABLE SALES-GRAD RENTALS")</f>
        <v xml:space="preserve">          4198 - NON-TAXABLE SALES-GRAD RENTALS</v>
      </c>
      <c r="C264" s="10"/>
      <c r="D264" s="2">
        <f t="shared" si="173"/>
        <v>0</v>
      </c>
      <c r="E264" s="2"/>
      <c r="F264" s="19">
        <f t="shared" si="165"/>
        <v>0</v>
      </c>
      <c r="G264" s="2"/>
      <c r="H264" s="2">
        <f>-3469.7</f>
        <v>-3469.7</v>
      </c>
      <c r="I264" s="2"/>
      <c r="J264" s="19">
        <f t="shared" si="166"/>
        <v>-1.3161237237474631E-2</v>
      </c>
      <c r="K264" s="2"/>
      <c r="L264" s="2">
        <f t="shared" si="167"/>
        <v>3469.7</v>
      </c>
      <c r="M264" s="2"/>
      <c r="N264" s="19">
        <f t="shared" si="168"/>
        <v>-1</v>
      </c>
      <c r="O264" s="10"/>
      <c r="P264" s="2">
        <f t="shared" si="174"/>
        <v>0</v>
      </c>
      <c r="Q264" s="2"/>
      <c r="R264" s="19">
        <f t="shared" si="169"/>
        <v>0</v>
      </c>
      <c r="S264" s="2"/>
      <c r="T264" s="2">
        <f>--163.76</f>
        <v>163.76</v>
      </c>
      <c r="U264" s="2"/>
      <c r="V264" s="19">
        <f t="shared" si="170"/>
        <v>1.8141624919133024E-5</v>
      </c>
      <c r="W264" s="2"/>
      <c r="X264" s="2">
        <f t="shared" si="171"/>
        <v>-163.76</v>
      </c>
      <c r="Y264" s="2"/>
      <c r="Z264" s="19">
        <f t="shared" si="172"/>
        <v>-1</v>
      </c>
    </row>
    <row r="265" spans="1:26" s="23" customFormat="1" hidden="1" outlineLevel="1" x14ac:dyDescent="0.25">
      <c r="A265" s="44"/>
      <c r="B265" s="10" t="str">
        <f>CONCATENATE("          ", "9150", " - ", "MISC. INCOME")</f>
        <v xml:space="preserve">          9150 - MISC. INCOME</v>
      </c>
      <c r="C265" s="10"/>
      <c r="D265" s="2">
        <f>--56800.59</f>
        <v>56800.59</v>
      </c>
      <c r="E265" s="2"/>
      <c r="F265" s="19">
        <f t="shared" si="165"/>
        <v>0.11208526268940974</v>
      </c>
      <c r="G265" s="2"/>
      <c r="H265" s="2">
        <f>--48272.63</f>
        <v>48272.63</v>
      </c>
      <c r="I265" s="2"/>
      <c r="J265" s="19">
        <f t="shared" si="166"/>
        <v>0.1831073393973067</v>
      </c>
      <c r="K265" s="2"/>
      <c r="L265" s="2">
        <f t="shared" si="167"/>
        <v>8527.9599999999991</v>
      </c>
      <c r="M265" s="2"/>
      <c r="N265" s="19">
        <f t="shared" si="168"/>
        <v>0.17666242754952444</v>
      </c>
      <c r="O265" s="10"/>
      <c r="P265" s="2">
        <f>--403420.29</f>
        <v>403420.29</v>
      </c>
      <c r="Q265" s="2"/>
      <c r="R265" s="19">
        <f t="shared" si="169"/>
        <v>7.7440809633388674E-2</v>
      </c>
      <c r="S265" s="2"/>
      <c r="T265" s="2">
        <f>--476038.11</f>
        <v>476038.11</v>
      </c>
      <c r="U265" s="2"/>
      <c r="V265" s="19">
        <f t="shared" si="170"/>
        <v>5.2736350994339203E-2</v>
      </c>
      <c r="W265" s="2"/>
      <c r="X265" s="2">
        <f t="shared" si="171"/>
        <v>-72617.820000000007</v>
      </c>
      <c r="Y265" s="2"/>
      <c r="Z265" s="19">
        <f t="shared" si="172"/>
        <v>-0.15254623206532772</v>
      </c>
    </row>
    <row r="266" spans="1:26" s="23" customFormat="1" hidden="1" outlineLevel="1" x14ac:dyDescent="0.25">
      <c r="A266" s="44"/>
      <c r="B266" s="10" t="str">
        <f>CONCATENATE("          ", "9151", " - ", "MISC. INCOME")</f>
        <v xml:space="preserve">          9151 - MISC. INCOME</v>
      </c>
      <c r="C266" s="10"/>
      <c r="D266" s="2">
        <f>0</f>
        <v>0</v>
      </c>
      <c r="E266" s="2"/>
      <c r="F266" s="19">
        <f t="shared" si="165"/>
        <v>0</v>
      </c>
      <c r="G266" s="2"/>
      <c r="H266" s="2">
        <f>0</f>
        <v>0</v>
      </c>
      <c r="I266" s="2"/>
      <c r="J266" s="19">
        <f t="shared" si="166"/>
        <v>0</v>
      </c>
      <c r="K266" s="2"/>
      <c r="L266" s="2">
        <f t="shared" si="167"/>
        <v>0</v>
      </c>
      <c r="M266" s="2"/>
      <c r="N266" s="19">
        <f t="shared" si="168"/>
        <v>0</v>
      </c>
      <c r="O266" s="10"/>
      <c r="P266" s="2">
        <f>--295628.46</f>
        <v>295628.46000000002</v>
      </c>
      <c r="Q266" s="2"/>
      <c r="R266" s="19">
        <f t="shared" si="169"/>
        <v>5.6749022943471339E-2</v>
      </c>
      <c r="S266" s="2"/>
      <c r="T266" s="2">
        <f>--169392.7</f>
        <v>169392.7</v>
      </c>
      <c r="U266" s="2"/>
      <c r="V266" s="19">
        <f t="shared" si="170"/>
        <v>1.8765625472882418E-2</v>
      </c>
      <c r="W266" s="2"/>
      <c r="X266" s="2">
        <f t="shared" si="171"/>
        <v>126235.76000000001</v>
      </c>
      <c r="Y266" s="2"/>
      <c r="Z266" s="19">
        <f t="shared" si="172"/>
        <v>0.7452255026338207</v>
      </c>
    </row>
    <row r="267" spans="1:26" s="23" customFormat="1" hidden="1" outlineLevel="1" x14ac:dyDescent="0.25">
      <c r="A267" s="44"/>
      <c r="B267" s="10" t="str">
        <f>CONCATENATE("          ", "9152", " - ", "MISC. INCOME")</f>
        <v xml:space="preserve">          9152 - MISC. INCOME</v>
      </c>
      <c r="C267" s="10"/>
      <c r="D267" s="2">
        <f>--1436.07</f>
        <v>1436.07</v>
      </c>
      <c r="E267" s="2"/>
      <c r="F267" s="19">
        <f t="shared" si="165"/>
        <v>2.8338135781755197E-3</v>
      </c>
      <c r="G267" s="2"/>
      <c r="H267" s="2">
        <f>--5092.84</f>
        <v>5092.84</v>
      </c>
      <c r="I267" s="2"/>
      <c r="J267" s="19">
        <f t="shared" si="166"/>
        <v>1.9318118411534226E-2</v>
      </c>
      <c r="K267" s="2"/>
      <c r="L267" s="2">
        <f t="shared" si="167"/>
        <v>-3656.7700000000004</v>
      </c>
      <c r="M267" s="2"/>
      <c r="N267" s="19">
        <f t="shared" si="168"/>
        <v>-0.71802177174228921</v>
      </c>
      <c r="O267" s="10"/>
      <c r="P267" s="2">
        <f>--5652.57</f>
        <v>5652.57</v>
      </c>
      <c r="Q267" s="2"/>
      <c r="R267" s="19">
        <f t="shared" si="169"/>
        <v>1.0850708508226095E-3</v>
      </c>
      <c r="S267" s="2"/>
      <c r="T267" s="2">
        <f>--9874.89</f>
        <v>9874.89</v>
      </c>
      <c r="U267" s="2"/>
      <c r="V267" s="19">
        <f t="shared" si="170"/>
        <v>1.0939579292727009E-3</v>
      </c>
      <c r="W267" s="2"/>
      <c r="X267" s="2">
        <f t="shared" si="171"/>
        <v>-4222.32</v>
      </c>
      <c r="Y267" s="2"/>
      <c r="Z267" s="19">
        <f t="shared" si="172"/>
        <v>-0.42758147179360984</v>
      </c>
    </row>
    <row r="268" spans="1:26" s="23" customFormat="1" hidden="1" outlineLevel="1" x14ac:dyDescent="0.25">
      <c r="A268" s="44"/>
      <c r="B268" s="10" t="str">
        <f>CONCATENATE("          ", "9153", " - ", "MISC. INCOME")</f>
        <v xml:space="preserve">          9153 - MISC. INCOME</v>
      </c>
      <c r="C268" s="10"/>
      <c r="D268" s="2">
        <f t="shared" ref="D268:D269" si="175">0</f>
        <v>0</v>
      </c>
      <c r="E268" s="2"/>
      <c r="F268" s="19">
        <f t="shared" si="165"/>
        <v>0</v>
      </c>
      <c r="G268" s="2"/>
      <c r="H268" s="2">
        <f t="shared" ref="H268:H269" si="176">0</f>
        <v>0</v>
      </c>
      <c r="I268" s="2"/>
      <c r="J268" s="19">
        <f t="shared" si="166"/>
        <v>0</v>
      </c>
      <c r="K268" s="2"/>
      <c r="L268" s="2">
        <f t="shared" si="167"/>
        <v>0</v>
      </c>
      <c r="M268" s="2"/>
      <c r="N268" s="19">
        <f t="shared" si="168"/>
        <v>0</v>
      </c>
      <c r="O268" s="10"/>
      <c r="P268" s="2">
        <f t="shared" ref="P268:P269" si="177">0</f>
        <v>0</v>
      </c>
      <c r="Q268" s="2"/>
      <c r="R268" s="19">
        <f t="shared" si="169"/>
        <v>0</v>
      </c>
      <c r="S268" s="2"/>
      <c r="T268" s="2">
        <f>--450</f>
        <v>450</v>
      </c>
      <c r="U268" s="2"/>
      <c r="V268" s="19">
        <f t="shared" si="170"/>
        <v>4.9851802721115416E-5</v>
      </c>
      <c r="W268" s="2"/>
      <c r="X268" s="2">
        <f t="shared" si="171"/>
        <v>-450</v>
      </c>
      <c r="Y268" s="2"/>
      <c r="Z268" s="19">
        <f t="shared" si="172"/>
        <v>-1</v>
      </c>
    </row>
    <row r="269" spans="1:26" s="23" customFormat="1" hidden="1" outlineLevel="1" x14ac:dyDescent="0.25">
      <c r="A269" s="44"/>
      <c r="B269" s="10" t="str">
        <f>CONCATENATE("          ", "9160", " - ", "MISC. INCOME")</f>
        <v xml:space="preserve">          9160 - MISC. INCOME</v>
      </c>
      <c r="C269" s="10"/>
      <c r="D269" s="2">
        <f t="shared" si="175"/>
        <v>0</v>
      </c>
      <c r="E269" s="2"/>
      <c r="F269" s="19">
        <f t="shared" si="165"/>
        <v>0</v>
      </c>
      <c r="G269" s="2"/>
      <c r="H269" s="2">
        <f t="shared" si="176"/>
        <v>0</v>
      </c>
      <c r="I269" s="2"/>
      <c r="J269" s="19">
        <f t="shared" si="166"/>
        <v>0</v>
      </c>
      <c r="K269" s="2"/>
      <c r="L269" s="2">
        <f t="shared" si="167"/>
        <v>0</v>
      </c>
      <c r="M269" s="2"/>
      <c r="N269" s="19">
        <f t="shared" si="168"/>
        <v>0</v>
      </c>
      <c r="O269" s="10"/>
      <c r="P269" s="2">
        <f t="shared" si="177"/>
        <v>0</v>
      </c>
      <c r="Q269" s="2"/>
      <c r="R269" s="19">
        <f t="shared" si="169"/>
        <v>0</v>
      </c>
      <c r="S269" s="2"/>
      <c r="T269" s="2">
        <f>--22475</f>
        <v>22475</v>
      </c>
      <c r="U269" s="2"/>
      <c r="V269" s="19">
        <f t="shared" si="170"/>
        <v>2.4898205914601532E-3</v>
      </c>
      <c r="W269" s="2"/>
      <c r="X269" s="2">
        <f t="shared" si="171"/>
        <v>-22475</v>
      </c>
      <c r="Y269" s="2"/>
      <c r="Z269" s="19">
        <f t="shared" si="172"/>
        <v>-1</v>
      </c>
    </row>
    <row r="270" spans="1:26" s="23" customFormat="1" hidden="1" outlineLevel="1" x14ac:dyDescent="0.25">
      <c r="A270" s="44"/>
      <c r="B270" s="10" t="str">
        <f>CONCATENATE("          ", "9163", " - ", "MISC. INCOME")</f>
        <v xml:space="preserve">          9163 - MISC. INCOME</v>
      </c>
      <c r="C270" s="10"/>
      <c r="D270" s="2">
        <f>--1862</f>
        <v>1862</v>
      </c>
      <c r="E270" s="2"/>
      <c r="F270" s="19">
        <f t="shared" si="165"/>
        <v>3.6743061846308453E-3</v>
      </c>
      <c r="G270" s="2"/>
      <c r="H270" s="2">
        <f>--58333.34</f>
        <v>58333.34</v>
      </c>
      <c r="I270" s="2"/>
      <c r="J270" s="19">
        <f t="shared" si="166"/>
        <v>0.22126954105377075</v>
      </c>
      <c r="K270" s="2"/>
      <c r="L270" s="2">
        <f t="shared" si="167"/>
        <v>-56471.34</v>
      </c>
      <c r="M270" s="2"/>
      <c r="N270" s="19">
        <f t="shared" si="168"/>
        <v>-0.96808000364799962</v>
      </c>
      <c r="O270" s="10"/>
      <c r="P270" s="2">
        <f>--348340.56</f>
        <v>348340.56</v>
      </c>
      <c r="Q270" s="2"/>
      <c r="R270" s="19">
        <f t="shared" si="169"/>
        <v>6.686767042517372E-2</v>
      </c>
      <c r="S270" s="2"/>
      <c r="T270" s="2">
        <f>--488733.84</f>
        <v>488733.84</v>
      </c>
      <c r="U270" s="2"/>
      <c r="V270" s="19">
        <f t="shared" si="170"/>
        <v>5.4142806610695975E-2</v>
      </c>
      <c r="W270" s="2"/>
      <c r="X270" s="2">
        <f t="shared" si="171"/>
        <v>-140393.28000000003</v>
      </c>
      <c r="Y270" s="2"/>
      <c r="Z270" s="19">
        <f t="shared" si="172"/>
        <v>-0.28725917566911269</v>
      </c>
    </row>
    <row r="271" spans="1:26" x14ac:dyDescent="0.25">
      <c r="A271" s="9"/>
      <c r="B271" s="11"/>
      <c r="C271" s="11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1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4" customFormat="1" x14ac:dyDescent="0.25">
      <c r="A272" s="11"/>
      <c r="B272" s="28" t="s">
        <v>276</v>
      </c>
      <c r="C272" s="28"/>
      <c r="D272" s="20">
        <f>+D166-D168+D261</f>
        <v>87503.740000000253</v>
      </c>
      <c r="E272" s="14"/>
      <c r="F272" s="21">
        <f>IF(D$12=0,0,D272/D$12)</f>
        <v>0.17267214450071453</v>
      </c>
      <c r="G272" s="14"/>
      <c r="H272" s="20">
        <f>+H166-H168+H261</f>
        <v>-30867.370000000155</v>
      </c>
      <c r="I272" s="14"/>
      <c r="J272" s="21">
        <f>IF(H$12=0,0,H272/H$12)</f>
        <v>-0.11708585164910781</v>
      </c>
      <c r="K272" s="15"/>
      <c r="L272" s="20">
        <f>+D272-H272</f>
        <v>118371.11000000041</v>
      </c>
      <c r="M272" s="15"/>
      <c r="N272" s="21">
        <f>IF(H272=0,0,L272/H272)</f>
        <v>-3.8348297895155894</v>
      </c>
      <c r="O272" s="29"/>
      <c r="P272" s="20">
        <f>+P166-P168+P261</f>
        <v>200646.92999999854</v>
      </c>
      <c r="Q272" s="14"/>
      <c r="R272" s="21">
        <f>IF(P$12=0,0,P272/P$12)</f>
        <v>3.851630940440242E-2</v>
      </c>
      <c r="S272" s="14"/>
      <c r="T272" s="20">
        <f>+T166-T168+T261</f>
        <v>1052251.1800000048</v>
      </c>
      <c r="U272" s="14"/>
      <c r="V272" s="21">
        <f>IF(T$12=0,0,T272/T$12)</f>
        <v>0.116570262752047</v>
      </c>
      <c r="W272" s="15"/>
      <c r="X272" s="20">
        <f>+P272-T272</f>
        <v>-851604.25000000629</v>
      </c>
      <c r="Y272" s="15"/>
      <c r="Z272" s="21">
        <f>IF(T272=0,0,X272/T272)</f>
        <v>-0.8093165074901626</v>
      </c>
    </row>
    <row r="273" spans="1:26" x14ac:dyDescent="0.25">
      <c r="A273" s="9"/>
      <c r="B273" s="11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4" customFormat="1" x14ac:dyDescent="0.25">
      <c r="A274" s="51"/>
      <c r="B274" s="11" t="s">
        <v>127</v>
      </c>
      <c r="C274" s="11"/>
      <c r="D274" s="4">
        <v>129388.52</v>
      </c>
      <c r="E274" s="4"/>
      <c r="F274" s="13">
        <f>IF(D$12=0,0,D274/D$12)</f>
        <v>0.25532386641043603</v>
      </c>
      <c r="G274" s="4"/>
      <c r="H274" s="4">
        <v>73963.41</v>
      </c>
      <c r="I274" s="4"/>
      <c r="J274" s="13">
        <f>IF(H$12=0,0,H274/H$12)</f>
        <v>0.28055739283010162</v>
      </c>
      <c r="K274" s="4"/>
      <c r="L274" s="4">
        <f>+D274-H274</f>
        <v>55425.11</v>
      </c>
      <c r="M274" s="4"/>
      <c r="N274" s="13">
        <f>IF(H274=0,0,L274/H274)</f>
        <v>0.74935850037200824</v>
      </c>
      <c r="O274" s="11"/>
      <c r="P274" s="4">
        <v>1113199.77</v>
      </c>
      <c r="Q274" s="4"/>
      <c r="R274" s="13">
        <f>IF(P$12=0,0,P274/P$12)</f>
        <v>0.21369051981124218</v>
      </c>
      <c r="S274" s="4"/>
      <c r="T274" s="4">
        <v>1068953.49</v>
      </c>
      <c r="U274" s="4"/>
      <c r="V274" s="13">
        <f>IF(T$12=0,0,T274/T$12)</f>
        <v>0.11842057444783961</v>
      </c>
      <c r="W274" s="4"/>
      <c r="X274" s="4">
        <f>+P274-T274</f>
        <v>44246.280000000028</v>
      </c>
      <c r="Y274" s="4"/>
      <c r="Z274" s="13">
        <f>IF(T274=0,0,X274/T274)</f>
        <v>4.1392147005385641E-2</v>
      </c>
    </row>
    <row r="275" spans="1:26" x14ac:dyDescent="0.25">
      <c r="A275" s="9"/>
      <c r="B275" s="11"/>
      <c r="C275" s="11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1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4" customFormat="1" ht="15.75" thickBot="1" x14ac:dyDescent="0.3">
      <c r="A276" s="11"/>
      <c r="B276" s="28" t="s">
        <v>125</v>
      </c>
      <c r="C276" s="28"/>
      <c r="D276" s="35">
        <f>+D272-D274</f>
        <v>-41884.779999999751</v>
      </c>
      <c r="E276" s="14"/>
      <c r="F276" s="36">
        <f>IF(D$12=0,0,D276/D$12)</f>
        <v>-8.2651721909721504E-2</v>
      </c>
      <c r="G276" s="14"/>
      <c r="H276" s="35">
        <f>+H272-H274</f>
        <v>-104830.78000000016</v>
      </c>
      <c r="I276" s="14"/>
      <c r="J276" s="36">
        <f>IF(H$12=0,0,H276/H$12)</f>
        <v>-0.39764324447920946</v>
      </c>
      <c r="K276" s="15"/>
      <c r="L276" s="35">
        <f>D276-H276</f>
        <v>62946.000000000407</v>
      </c>
      <c r="M276" s="15"/>
      <c r="N276" s="36">
        <f>IF(H276=0,0,L276/H276)</f>
        <v>-0.60045341644887418</v>
      </c>
      <c r="O276" s="29"/>
      <c r="P276" s="35">
        <f>+P272-P274</f>
        <v>-912552.84000000148</v>
      </c>
      <c r="Q276" s="14"/>
      <c r="R276" s="36">
        <f>IF(P$12=0,0,P276/P$12)</f>
        <v>-0.17517421040683975</v>
      </c>
      <c r="S276" s="14"/>
      <c r="T276" s="35">
        <f>+T272-T274</f>
        <v>-16702.309999995166</v>
      </c>
      <c r="U276" s="14"/>
      <c r="V276" s="36">
        <f>IF(T$12=0,0,T276/T$12)</f>
        <v>-1.8503116957926051E-3</v>
      </c>
      <c r="W276" s="15"/>
      <c r="X276" s="35">
        <f>P276-T276</f>
        <v>-895850.53000000631</v>
      </c>
      <c r="Y276" s="15"/>
      <c r="Z276" s="36">
        <f>IF(T276=0,0,X276/T276)</f>
        <v>53.636325155039366</v>
      </c>
    </row>
    <row r="277" spans="1:26" ht="15.75" thickTop="1" x14ac:dyDescent="0.25">
      <c r="A277" s="9"/>
      <c r="B277" s="9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4" customFormat="1" ht="15.75" thickBot="1" x14ac:dyDescent="0.3">
      <c r="A279" s="11"/>
      <c r="B279" s="28" t="s">
        <v>293</v>
      </c>
      <c r="C279" s="28"/>
      <c r="D279" s="30">
        <f>SUM(D276:D278)</f>
        <v>-41884.779999999751</v>
      </c>
      <c r="E279" s="14"/>
      <c r="F279" s="31">
        <f>IF(D$12=0,0,D279/D$12)</f>
        <v>-8.2651721909721504E-2</v>
      </c>
      <c r="G279" s="14"/>
      <c r="H279" s="30">
        <f>SUM(H276:H278)</f>
        <v>-104830.78000000016</v>
      </c>
      <c r="I279" s="14"/>
      <c r="J279" s="31">
        <f>IF(H$12=0,0,H279/H$12)</f>
        <v>-0.39764324447920946</v>
      </c>
      <c r="K279" s="15"/>
      <c r="L279" s="30">
        <f>+D279-H279</f>
        <v>62946.000000000407</v>
      </c>
      <c r="M279" s="15"/>
      <c r="N279" s="31">
        <f>IF(H279=0,0,L279/H279)</f>
        <v>-0.60045341644887418</v>
      </c>
      <c r="O279" s="29"/>
      <c r="P279" s="30">
        <f>SUM(P276:P278)</f>
        <v>-912552.84000000148</v>
      </c>
      <c r="Q279" s="14"/>
      <c r="R279" s="31">
        <f>IF(P$12=0,0,P279/P$12)</f>
        <v>-0.17517421040683975</v>
      </c>
      <c r="S279" s="14"/>
      <c r="T279" s="30">
        <f>SUM(T276:T278)</f>
        <v>-16702.309999995166</v>
      </c>
      <c r="U279" s="14"/>
      <c r="V279" s="31">
        <f>IF(T$12=0,0,T279/T$12)</f>
        <v>-1.8503116957926051E-3</v>
      </c>
      <c r="W279" s="15"/>
      <c r="X279" s="30">
        <f>+P279-T279</f>
        <v>-895850.53000000631</v>
      </c>
      <c r="Y279" s="15"/>
      <c r="Z279" s="31">
        <f>IF(T279=0,0,X279/T279)</f>
        <v>53.636325155039366</v>
      </c>
    </row>
    <row r="280" spans="1:26" ht="15.75" thickTop="1" x14ac:dyDescent="0.25">
      <c r="A280" s="9"/>
      <c r="C280" s="9"/>
      <c r="D280" s="18"/>
      <c r="E280" s="18"/>
      <c r="G280" s="18"/>
      <c r="H280" s="18"/>
      <c r="I280" s="18"/>
      <c r="J280" s="42"/>
      <c r="K280" s="18"/>
      <c r="L280" s="18"/>
      <c r="M280" s="18"/>
      <c r="P280" s="18"/>
      <c r="Q280" s="18"/>
      <c r="R280" s="42"/>
      <c r="S280" s="18"/>
      <c r="T280" s="18"/>
      <c r="U280" s="18"/>
      <c r="V280" s="42"/>
      <c r="W280" s="18"/>
      <c r="X280" s="18"/>
    </row>
    <row r="281" spans="1:26" x14ac:dyDescent="0.25">
      <c r="A281" s="9"/>
      <c r="B281" s="59">
        <v>44356.893283796293</v>
      </c>
      <c r="D281" s="18"/>
      <c r="E281" s="18"/>
      <c r="G281" s="18"/>
      <c r="H281" s="18"/>
      <c r="I281" s="18"/>
      <c r="J281" s="42"/>
      <c r="K281" s="18"/>
      <c r="L281" s="18"/>
      <c r="M281" s="18"/>
      <c r="P281" s="18"/>
      <c r="Q281" s="18"/>
      <c r="R281" s="42"/>
      <c r="S281" s="18"/>
      <c r="T281" s="18"/>
      <c r="U281" s="18"/>
      <c r="V281" s="42"/>
      <c r="W281" s="18"/>
      <c r="X281" s="18"/>
    </row>
    <row r="282" spans="1:26" x14ac:dyDescent="0.25">
      <c r="A282" s="9"/>
      <c r="B282" s="52" t="s">
        <v>56</v>
      </c>
      <c r="D282" s="18"/>
      <c r="E282" s="18"/>
      <c r="G282" s="18"/>
      <c r="H282" s="18"/>
      <c r="I282" s="18"/>
      <c r="J282" s="42"/>
      <c r="K282" s="18"/>
      <c r="L282" s="18"/>
      <c r="M282" s="18"/>
      <c r="P282" s="18"/>
      <c r="Q282" s="18"/>
      <c r="R282" s="42"/>
      <c r="S282" s="18"/>
      <c r="T282" s="18"/>
      <c r="U282" s="18"/>
      <c r="V282" s="42"/>
      <c r="W282" s="18"/>
      <c r="X282" s="18"/>
    </row>
    <row r="283" spans="1:26" x14ac:dyDescent="0.25">
      <c r="A283" s="9"/>
      <c r="B283" s="54"/>
      <c r="D283" s="18"/>
      <c r="E283" s="18"/>
      <c r="G283" s="18"/>
      <c r="H283" s="18"/>
      <c r="I283" s="18"/>
      <c r="J283" s="42"/>
      <c r="K283" s="18"/>
      <c r="L283" s="18"/>
      <c r="M283" s="18"/>
      <c r="P283" s="18"/>
      <c r="Q283" s="18"/>
      <c r="R283" s="42"/>
      <c r="S283" s="18"/>
      <c r="T283" s="18"/>
      <c r="U283" s="18"/>
      <c r="V283" s="42"/>
      <c r="W283" s="18"/>
      <c r="X283" s="18"/>
    </row>
    <row r="284" spans="1:26" x14ac:dyDescent="0.25">
      <c r="D284" s="18"/>
      <c r="E284" s="18"/>
      <c r="G284" s="18"/>
      <c r="H284" s="18"/>
      <c r="I284" s="18"/>
      <c r="J284" s="42"/>
      <c r="K284" s="18"/>
      <c r="L284" s="18"/>
      <c r="M284" s="18"/>
      <c r="P284" s="18"/>
      <c r="Q284" s="18"/>
      <c r="R284" s="42"/>
      <c r="S284" s="18"/>
      <c r="T284" s="18"/>
      <c r="U284" s="18"/>
      <c r="V284" s="42"/>
      <c r="W284" s="18"/>
      <c r="X284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313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656542.93999999971</v>
      </c>
      <c r="E12" s="4"/>
      <c r="F12" s="13"/>
      <c r="G12" s="4"/>
      <c r="H12" s="4">
        <f>SUM(OSRRefH13x_0)</f>
        <v>359185.91999999987</v>
      </c>
      <c r="I12" s="4"/>
      <c r="J12" s="13"/>
      <c r="K12" s="4"/>
      <c r="L12" s="4">
        <f t="shared" ref="L12:L129" si="0">+D12-H12</f>
        <v>297357.01999999984</v>
      </c>
      <c r="M12" s="4"/>
      <c r="N12" s="13">
        <f t="shared" ref="N12:N129" si="1">IF(H12=0,0,L12/H12)</f>
        <v>0.82786379822460732</v>
      </c>
      <c r="O12" s="11"/>
      <c r="P12" s="4">
        <f>SUM(OSRRefP13x_0)</f>
        <v>7781966.2599999988</v>
      </c>
      <c r="Q12" s="4"/>
      <c r="R12" s="13"/>
      <c r="S12" s="4"/>
      <c r="T12" s="4">
        <f>SUM(OSRRefT13x_0)</f>
        <v>11464234.230000006</v>
      </c>
      <c r="U12" s="4"/>
      <c r="V12" s="13"/>
      <c r="W12" s="4"/>
      <c r="X12" s="4">
        <f t="shared" ref="X12:X129" si="2">+P12-T12</f>
        <v>-3682267.9700000072</v>
      </c>
      <c r="Y12" s="4"/>
      <c r="Z12" s="13">
        <f t="shared" ref="Z12:Z129" si="3">IF(T12=0,0,X12/T12)</f>
        <v>-0.32119615633498838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-11409.64</f>
        <v>-11409.64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-11409.64</v>
      </c>
      <c r="M13" s="2"/>
      <c r="N13" s="19">
        <f t="shared" si="1"/>
        <v>0</v>
      </c>
      <c r="O13" s="10"/>
      <c r="P13" s="2">
        <f>-147412.94</f>
        <v>-147412.94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-147412.94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--35278.2</f>
        <v>35278.199999999997</v>
      </c>
      <c r="E14" s="2"/>
      <c r="F14" s="19"/>
      <c r="G14" s="2"/>
      <c r="H14" s="2">
        <f>--37281.91</f>
        <v>37281.910000000003</v>
      </c>
      <c r="I14" s="2"/>
      <c r="J14" s="19"/>
      <c r="K14" s="2"/>
      <c r="L14" s="2">
        <f t="shared" si="0"/>
        <v>-2003.7100000000064</v>
      </c>
      <c r="M14" s="2"/>
      <c r="N14" s="19">
        <f t="shared" si="1"/>
        <v>-5.3744832279247659E-2</v>
      </c>
      <c r="O14" s="10"/>
      <c r="P14" s="2">
        <f>--1299088.56</f>
        <v>1299088.56</v>
      </c>
      <c r="Q14" s="2"/>
      <c r="R14" s="19"/>
      <c r="S14" s="2"/>
      <c r="T14" s="2">
        <f>--2435259.64</f>
        <v>2435259.64</v>
      </c>
      <c r="U14" s="2"/>
      <c r="V14" s="19"/>
      <c r="W14" s="2"/>
      <c r="X14" s="2">
        <f t="shared" si="2"/>
        <v>-1136171.08</v>
      </c>
      <c r="Y14" s="2"/>
      <c r="Z14" s="19">
        <f t="shared" si="3"/>
        <v>-0.4665502853732672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--11501.84</f>
        <v>11501.84</v>
      </c>
      <c r="E15" s="2"/>
      <c r="F15" s="19"/>
      <c r="G15" s="2"/>
      <c r="H15" s="2">
        <f>--11509.55</f>
        <v>11509.55</v>
      </c>
      <c r="I15" s="2"/>
      <c r="J15" s="19"/>
      <c r="K15" s="2"/>
      <c r="L15" s="2">
        <f t="shared" si="0"/>
        <v>-7.7099999999991269</v>
      </c>
      <c r="M15" s="2"/>
      <c r="N15" s="19">
        <f t="shared" si="1"/>
        <v>-6.6987849220856834E-4</v>
      </c>
      <c r="O15" s="10"/>
      <c r="P15" s="2">
        <f>--590270.47</f>
        <v>590270.47</v>
      </c>
      <c r="Q15" s="2"/>
      <c r="R15" s="19"/>
      <c r="S15" s="2"/>
      <c r="T15" s="2">
        <f>--1256426.74</f>
        <v>1256426.74</v>
      </c>
      <c r="U15" s="2"/>
      <c r="V15" s="19"/>
      <c r="W15" s="2"/>
      <c r="X15" s="2">
        <f t="shared" si="2"/>
        <v>-666156.27</v>
      </c>
      <c r="Y15" s="2"/>
      <c r="Z15" s="19">
        <f t="shared" si="3"/>
        <v>-0.53019905482113505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--35.38</f>
        <v>35.380000000000003</v>
      </c>
      <c r="E22" s="2"/>
      <c r="F22" s="19"/>
      <c r="G22" s="2"/>
      <c r="H22" s="2">
        <f>--24.99</f>
        <v>24.99</v>
      </c>
      <c r="I22" s="2"/>
      <c r="J22" s="19"/>
      <c r="K22" s="2"/>
      <c r="L22" s="2">
        <f t="shared" si="0"/>
        <v>10.390000000000004</v>
      </c>
      <c r="M22" s="2"/>
      <c r="N22" s="19">
        <f t="shared" si="1"/>
        <v>0.41576630652260921</v>
      </c>
      <c r="O22" s="10"/>
      <c r="P22" s="2">
        <f>--508.48</f>
        <v>508.48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-3670.82</v>
      </c>
      <c r="Y22" s="2"/>
      <c r="Z22" s="19">
        <f t="shared" si="3"/>
        <v>-0.87833369224511282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6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7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6"/>
        <v>0</v>
      </c>
      <c r="E24" s="2"/>
      <c r="F24" s="19"/>
      <c r="G24" s="2"/>
      <c r="H24" s="2">
        <f>--17.25</f>
        <v>17.25</v>
      </c>
      <c r="I24" s="2"/>
      <c r="J24" s="19"/>
      <c r="K24" s="2"/>
      <c r="L24" s="2">
        <f t="shared" si="0"/>
        <v>-17.25</v>
      </c>
      <c r="M24" s="2"/>
      <c r="N24" s="19">
        <f t="shared" si="1"/>
        <v>-1</v>
      </c>
      <c r="O24" s="10"/>
      <c r="P24" s="2">
        <f t="shared" si="7"/>
        <v>0</v>
      </c>
      <c r="Q24" s="2"/>
      <c r="R24" s="19"/>
      <c r="S24" s="2"/>
      <c r="T24" s="2">
        <f>--54720.11</f>
        <v>54720.11</v>
      </c>
      <c r="U24" s="2"/>
      <c r="V24" s="19"/>
      <c r="W24" s="2"/>
      <c r="X24" s="2">
        <f t="shared" si="2"/>
        <v>-54720.11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--36.37</f>
        <v>36.369999999999997</v>
      </c>
      <c r="E25" s="2"/>
      <c r="F25" s="19"/>
      <c r="G25" s="2"/>
      <c r="H25" s="2">
        <f>--859.78</f>
        <v>859.78</v>
      </c>
      <c r="I25" s="2"/>
      <c r="J25" s="19"/>
      <c r="K25" s="2"/>
      <c r="L25" s="2">
        <f t="shared" si="0"/>
        <v>-823.41</v>
      </c>
      <c r="M25" s="2"/>
      <c r="N25" s="19">
        <f t="shared" si="1"/>
        <v>-0.95769848100676913</v>
      </c>
      <c r="O25" s="10"/>
      <c r="P25" s="2">
        <f>--522.54</f>
        <v>522.54</v>
      </c>
      <c r="Q25" s="2"/>
      <c r="R25" s="19"/>
      <c r="S25" s="2"/>
      <c r="T25" s="2">
        <f>--80809.49</f>
        <v>80809.490000000005</v>
      </c>
      <c r="U25" s="2"/>
      <c r="V25" s="19"/>
      <c r="W25" s="2"/>
      <c r="X25" s="2">
        <f t="shared" si="2"/>
        <v>-80286.950000000012</v>
      </c>
      <c r="Y25" s="2"/>
      <c r="Z25" s="19">
        <f t="shared" si="3"/>
        <v>-0.99353368026453337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--6033.32</f>
        <v>6033.32</v>
      </c>
      <c r="E26" s="2"/>
      <c r="F26" s="19"/>
      <c r="G26" s="2"/>
      <c r="H26" s="2">
        <f>--5530.51</f>
        <v>5530.51</v>
      </c>
      <c r="I26" s="2"/>
      <c r="J26" s="19"/>
      <c r="K26" s="2"/>
      <c r="L26" s="2">
        <f t="shared" si="0"/>
        <v>502.80999999999949</v>
      </c>
      <c r="M26" s="2"/>
      <c r="N26" s="19">
        <f t="shared" si="1"/>
        <v>9.091566600548584E-2</v>
      </c>
      <c r="O26" s="10"/>
      <c r="P26" s="2">
        <f>--70104.29</f>
        <v>70104.289999999994</v>
      </c>
      <c r="Q26" s="2"/>
      <c r="R26" s="19"/>
      <c r="S26" s="2"/>
      <c r="T26" s="2">
        <f>--276777.07</f>
        <v>276777.07</v>
      </c>
      <c r="U26" s="2"/>
      <c r="V26" s="19"/>
      <c r="W26" s="2"/>
      <c r="X26" s="2">
        <f t="shared" si="2"/>
        <v>-206672.78000000003</v>
      </c>
      <c r="Y26" s="2"/>
      <c r="Z26" s="19">
        <f t="shared" si="3"/>
        <v>-0.74671207408908558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--1495.15</f>
        <v>1495.15</v>
      </c>
      <c r="E27" s="2"/>
      <c r="F27" s="19"/>
      <c r="G27" s="2"/>
      <c r="H27" s="2">
        <f>--425.18</f>
        <v>425.18</v>
      </c>
      <c r="I27" s="2"/>
      <c r="J27" s="19"/>
      <c r="K27" s="2"/>
      <c r="L27" s="2">
        <f t="shared" si="0"/>
        <v>1069.97</v>
      </c>
      <c r="M27" s="2"/>
      <c r="N27" s="19">
        <f t="shared" si="1"/>
        <v>2.5165106543111153</v>
      </c>
      <c r="O27" s="10"/>
      <c r="P27" s="2">
        <f>--48395.32</f>
        <v>48395.32</v>
      </c>
      <c r="Q27" s="2"/>
      <c r="R27" s="19"/>
      <c r="S27" s="2"/>
      <c r="T27" s="2">
        <f>--293191.05</f>
        <v>293191.05</v>
      </c>
      <c r="U27" s="2"/>
      <c r="V27" s="19"/>
      <c r="W27" s="2"/>
      <c r="X27" s="2">
        <f t="shared" si="2"/>
        <v>-244795.72999999998</v>
      </c>
      <c r="Y27" s="2"/>
      <c r="Z27" s="19">
        <f t="shared" si="3"/>
        <v>-0.83493588907301231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--490.12</f>
        <v>490.12</v>
      </c>
      <c r="E28" s="2"/>
      <c r="F28" s="19"/>
      <c r="G28" s="2"/>
      <c r="H28" s="2">
        <f t="shared" ref="H28:H33" si="8">0</f>
        <v>0</v>
      </c>
      <c r="I28" s="2"/>
      <c r="J28" s="19"/>
      <c r="K28" s="2"/>
      <c r="L28" s="2">
        <f t="shared" si="0"/>
        <v>490.12</v>
      </c>
      <c r="M28" s="2"/>
      <c r="N28" s="19">
        <f t="shared" si="1"/>
        <v>0</v>
      </c>
      <c r="O28" s="10"/>
      <c r="P28" s="2">
        <f>--4700.71</f>
        <v>4700.71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4214.37</v>
      </c>
      <c r="Y28" s="2"/>
      <c r="Z28" s="19">
        <f t="shared" si="3"/>
        <v>8.6654809392606005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0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0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--187399.42</f>
        <v>187399.42</v>
      </c>
      <c r="E34" s="2"/>
      <c r="F34" s="19"/>
      <c r="G34" s="2"/>
      <c r="H34" s="2">
        <f>--50806.72</f>
        <v>50806.720000000001</v>
      </c>
      <c r="I34" s="2"/>
      <c r="J34" s="19"/>
      <c r="K34" s="2"/>
      <c r="L34" s="2">
        <f t="shared" si="0"/>
        <v>136592.70000000001</v>
      </c>
      <c r="M34" s="2"/>
      <c r="N34" s="19">
        <f t="shared" si="1"/>
        <v>2.6884770361086092</v>
      </c>
      <c r="O34" s="10"/>
      <c r="P34" s="2">
        <f>--1100580.15</f>
        <v>1100580.1499999999</v>
      </c>
      <c r="Q34" s="2"/>
      <c r="R34" s="19"/>
      <c r="S34" s="2"/>
      <c r="T34" s="2">
        <f>--1894910.12</f>
        <v>1894910.12</v>
      </c>
      <c r="U34" s="2"/>
      <c r="V34" s="19"/>
      <c r="W34" s="2"/>
      <c r="X34" s="2">
        <f t="shared" si="2"/>
        <v>-794329.9700000002</v>
      </c>
      <c r="Y34" s="2"/>
      <c r="Z34" s="19">
        <f t="shared" si="3"/>
        <v>-0.41919137040652893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--191315.61</f>
        <v>191315.61</v>
      </c>
      <c r="E35" s="2"/>
      <c r="F35" s="19"/>
      <c r="G35" s="2"/>
      <c r="H35" s="2">
        <f>--45499.27</f>
        <v>45499.27</v>
      </c>
      <c r="I35" s="2"/>
      <c r="J35" s="19"/>
      <c r="K35" s="2"/>
      <c r="L35" s="2">
        <f t="shared" si="0"/>
        <v>145816.34</v>
      </c>
      <c r="M35" s="2"/>
      <c r="N35" s="19">
        <f t="shared" si="1"/>
        <v>3.2048061430436139</v>
      </c>
      <c r="O35" s="10"/>
      <c r="P35" s="2">
        <f>--631772.59</f>
        <v>631772.59</v>
      </c>
      <c r="Q35" s="2"/>
      <c r="R35" s="19"/>
      <c r="S35" s="2"/>
      <c r="T35" s="2">
        <f>--526632.56</f>
        <v>526632.56000000006</v>
      </c>
      <c r="U35" s="2"/>
      <c r="V35" s="19"/>
      <c r="W35" s="2"/>
      <c r="X35" s="2">
        <f t="shared" si="2"/>
        <v>105140.02999999991</v>
      </c>
      <c r="Y35" s="2"/>
      <c r="Z35" s="19">
        <f t="shared" si="3"/>
        <v>0.19964589732165422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--8228.03</f>
        <v>8228.0300000000007</v>
      </c>
      <c r="E36" s="2"/>
      <c r="F36" s="19"/>
      <c r="G36" s="2"/>
      <c r="H36" s="2">
        <f>--3419.02</f>
        <v>3419.02</v>
      </c>
      <c r="I36" s="2"/>
      <c r="J36" s="19"/>
      <c r="K36" s="2"/>
      <c r="L36" s="2">
        <f t="shared" si="0"/>
        <v>4809.01</v>
      </c>
      <c r="M36" s="2"/>
      <c r="N36" s="19">
        <f t="shared" si="1"/>
        <v>1.4065463202906097</v>
      </c>
      <c r="O36" s="10"/>
      <c r="P36" s="2">
        <f>--108906.55</f>
        <v>108906.55</v>
      </c>
      <c r="Q36" s="2"/>
      <c r="R36" s="19"/>
      <c r="S36" s="2"/>
      <c r="T36" s="2">
        <f>--282721.2</f>
        <v>282721.2</v>
      </c>
      <c r="U36" s="2"/>
      <c r="V36" s="19"/>
      <c r="W36" s="2"/>
      <c r="X36" s="2">
        <f t="shared" si="2"/>
        <v>-173814.65000000002</v>
      </c>
      <c r="Y36" s="2"/>
      <c r="Z36" s="19">
        <f t="shared" si="3"/>
        <v>-0.61479170999557164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--7218.29</f>
        <v>7218.29</v>
      </c>
      <c r="E37" s="2"/>
      <c r="F37" s="19"/>
      <c r="G37" s="2"/>
      <c r="H37" s="2">
        <f>--49.95</f>
        <v>49.95</v>
      </c>
      <c r="I37" s="2"/>
      <c r="J37" s="19"/>
      <c r="K37" s="2"/>
      <c r="L37" s="2">
        <f t="shared" si="0"/>
        <v>7168.34</v>
      </c>
      <c r="M37" s="2"/>
      <c r="N37" s="19">
        <f t="shared" si="1"/>
        <v>143.5103103103103</v>
      </c>
      <c r="O37" s="10"/>
      <c r="P37" s="2">
        <f>--144077.67</f>
        <v>144077.67000000001</v>
      </c>
      <c r="Q37" s="2"/>
      <c r="R37" s="19"/>
      <c r="S37" s="2"/>
      <c r="T37" s="2">
        <f>--77269.18</f>
        <v>77269.179999999993</v>
      </c>
      <c r="U37" s="2"/>
      <c r="V37" s="19"/>
      <c r="W37" s="2"/>
      <c r="X37" s="2">
        <f t="shared" si="2"/>
        <v>66808.49000000002</v>
      </c>
      <c r="Y37" s="2"/>
      <c r="Z37" s="19">
        <f t="shared" si="3"/>
        <v>0.8646201499744145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--5024.1</f>
        <v>5024.1000000000004</v>
      </c>
      <c r="E38" s="2"/>
      <c r="F38" s="19"/>
      <c r="G38" s="2"/>
      <c r="H38" s="2">
        <f>--3915.24</f>
        <v>3915.24</v>
      </c>
      <c r="I38" s="2"/>
      <c r="J38" s="19"/>
      <c r="K38" s="2"/>
      <c r="L38" s="2">
        <f t="shared" si="0"/>
        <v>1108.8600000000006</v>
      </c>
      <c r="M38" s="2"/>
      <c r="N38" s="19">
        <f t="shared" si="1"/>
        <v>0.28321635455297778</v>
      </c>
      <c r="O38" s="10"/>
      <c r="P38" s="2">
        <f>--41116.33</f>
        <v>41116.33</v>
      </c>
      <c r="Q38" s="2"/>
      <c r="R38" s="19"/>
      <c r="S38" s="2"/>
      <c r="T38" s="2">
        <f>--71255.76</f>
        <v>71255.759999999995</v>
      </c>
      <c r="U38" s="2"/>
      <c r="V38" s="19"/>
      <c r="W38" s="2"/>
      <c r="X38" s="2">
        <f t="shared" si="2"/>
        <v>-30139.429999999993</v>
      </c>
      <c r="Y38" s="2"/>
      <c r="Z38" s="19">
        <f t="shared" si="3"/>
        <v>-0.42297534964190958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--26335.59</f>
        <v>26335.59</v>
      </c>
      <c r="E39" s="2"/>
      <c r="F39" s="19"/>
      <c r="G39" s="2"/>
      <c r="H39" s="2">
        <f>--13525.59</f>
        <v>13525.59</v>
      </c>
      <c r="I39" s="2"/>
      <c r="J39" s="19"/>
      <c r="K39" s="2"/>
      <c r="L39" s="2">
        <f t="shared" si="0"/>
        <v>12810</v>
      </c>
      <c r="M39" s="2"/>
      <c r="N39" s="19">
        <f t="shared" si="1"/>
        <v>0.947093620315269</v>
      </c>
      <c r="O39" s="10"/>
      <c r="P39" s="2">
        <f>--233577.93</f>
        <v>233577.93</v>
      </c>
      <c r="Q39" s="2"/>
      <c r="R39" s="19"/>
      <c r="S39" s="2"/>
      <c r="T39" s="2">
        <f>--96839.56</f>
        <v>96839.56</v>
      </c>
      <c r="U39" s="2"/>
      <c r="V39" s="19"/>
      <c r="W39" s="2"/>
      <c r="X39" s="2">
        <f t="shared" si="2"/>
        <v>136738.37</v>
      </c>
      <c r="Y39" s="2"/>
      <c r="Z39" s="19">
        <f t="shared" si="3"/>
        <v>1.4120094102038465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>--1857.91</f>
        <v>1857.91</v>
      </c>
      <c r="E41" s="2"/>
      <c r="F41" s="19"/>
      <c r="G41" s="2"/>
      <c r="H41" s="2">
        <f>--1256.94</f>
        <v>1256.94</v>
      </c>
      <c r="I41" s="2"/>
      <c r="J41" s="19"/>
      <c r="K41" s="2"/>
      <c r="L41" s="2">
        <f t="shared" si="0"/>
        <v>600.97</v>
      </c>
      <c r="M41" s="2"/>
      <c r="N41" s="19">
        <f t="shared" si="1"/>
        <v>0.47812146960077651</v>
      </c>
      <c r="O41" s="10"/>
      <c r="P41" s="2">
        <f>--64025.93</f>
        <v>64025.93</v>
      </c>
      <c r="Q41" s="2"/>
      <c r="R41" s="19"/>
      <c r="S41" s="2"/>
      <c r="T41" s="2">
        <f>--316334.96</f>
        <v>316334.96000000002</v>
      </c>
      <c r="U41" s="2"/>
      <c r="V41" s="19"/>
      <c r="W41" s="2"/>
      <c r="X41" s="2">
        <f t="shared" si="2"/>
        <v>-252309.03000000003</v>
      </c>
      <c r="Y41" s="2"/>
      <c r="Z41" s="19">
        <f t="shared" si="3"/>
        <v>-0.79760084057734248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>--117610.99</f>
        <v>117610.99</v>
      </c>
      <c r="E42" s="2"/>
      <c r="F42" s="19"/>
      <c r="G42" s="2"/>
      <c r="H42" s="2">
        <f>--55929.1</f>
        <v>55929.1</v>
      </c>
      <c r="I42" s="2"/>
      <c r="J42" s="19"/>
      <c r="K42" s="2"/>
      <c r="L42" s="2">
        <f t="shared" si="0"/>
        <v>61681.890000000007</v>
      </c>
      <c r="M42" s="2"/>
      <c r="N42" s="19">
        <f t="shared" si="1"/>
        <v>1.1028586192161149</v>
      </c>
      <c r="O42" s="10"/>
      <c r="P42" s="2">
        <f>--2129658.62</f>
        <v>2129658.62</v>
      </c>
      <c r="Q42" s="2"/>
      <c r="R42" s="19"/>
      <c r="S42" s="2"/>
      <c r="T42" s="2">
        <f>--1982602.72</f>
        <v>1982602.72</v>
      </c>
      <c r="U42" s="2"/>
      <c r="V42" s="19"/>
      <c r="W42" s="2"/>
      <c r="X42" s="2">
        <f t="shared" si="2"/>
        <v>147055.90000000014</v>
      </c>
      <c r="Y42" s="2"/>
      <c r="Z42" s="19">
        <f t="shared" si="3"/>
        <v>7.4173155578037414E-2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>--10204.05</f>
        <v>10204.049999999999</v>
      </c>
      <c r="E43" s="2"/>
      <c r="F43" s="19"/>
      <c r="G43" s="2"/>
      <c r="H43" s="2">
        <f>--2640</f>
        <v>2640</v>
      </c>
      <c r="I43" s="2"/>
      <c r="J43" s="19"/>
      <c r="K43" s="2"/>
      <c r="L43" s="2">
        <f t="shared" si="0"/>
        <v>7564.0499999999993</v>
      </c>
      <c r="M43" s="2"/>
      <c r="N43" s="19">
        <f t="shared" si="1"/>
        <v>2.8651704545454542</v>
      </c>
      <c r="O43" s="10"/>
      <c r="P43" s="2">
        <f>--137146.98</f>
        <v>137146.98000000001</v>
      </c>
      <c r="Q43" s="2"/>
      <c r="R43" s="19"/>
      <c r="S43" s="2"/>
      <c r="T43" s="2">
        <f>--106418.4</f>
        <v>106418.4</v>
      </c>
      <c r="U43" s="2"/>
      <c r="V43" s="19"/>
      <c r="W43" s="2"/>
      <c r="X43" s="2">
        <f t="shared" si="2"/>
        <v>30728.580000000016</v>
      </c>
      <c r="Y43" s="2"/>
      <c r="Z43" s="19">
        <f t="shared" si="3"/>
        <v>0.2887525089646153</v>
      </c>
    </row>
    <row r="44" spans="1:26" s="23" customFormat="1" hidden="1" outlineLevel="1" x14ac:dyDescent="0.25">
      <c r="A44" s="44"/>
      <c r="B44" s="10" t="str">
        <f>CONCATENATE("          ", "4084", " - ", "TAXABLE SALES-SOFTWARE LICENSE")</f>
        <v xml:space="preserve">          4084 - TAXABLE SALES-SOFTWARE LICENSE</v>
      </c>
      <c r="C44" s="10"/>
      <c r="D44" s="2">
        <f t="shared" ref="D44:D45" si="12"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"4085", " - ", "TAXABLE SALES-SOFTWARE")</f>
        <v xml:space="preserve">          4085 - TAXABLE SALES-SOFTWARE</v>
      </c>
      <c r="C45" s="10"/>
      <c r="D45" s="2">
        <f t="shared" si="12"/>
        <v>0</v>
      </c>
      <c r="E45" s="2"/>
      <c r="F45" s="19"/>
      <c r="G45" s="2"/>
      <c r="H45" s="2">
        <f>--20</f>
        <v>20</v>
      </c>
      <c r="I45" s="2"/>
      <c r="J45" s="19"/>
      <c r="K45" s="2"/>
      <c r="L45" s="2">
        <f t="shared" si="0"/>
        <v>-20</v>
      </c>
      <c r="M45" s="2"/>
      <c r="N45" s="19">
        <f t="shared" si="1"/>
        <v>-1</v>
      </c>
      <c r="O45" s="10"/>
      <c r="P45" s="2">
        <f>--4870.79</f>
        <v>4870.79</v>
      </c>
      <c r="Q45" s="2"/>
      <c r="R45" s="19"/>
      <c r="S45" s="2"/>
      <c r="T45" s="2">
        <f>--4587.93</f>
        <v>4587.93</v>
      </c>
      <c r="U45" s="2"/>
      <c r="V45" s="19"/>
      <c r="W45" s="2"/>
      <c r="X45" s="2">
        <f t="shared" si="2"/>
        <v>282.85999999999967</v>
      </c>
      <c r="Y45" s="2"/>
      <c r="Z45" s="19">
        <f t="shared" si="3"/>
        <v>6.165307665984434E-2</v>
      </c>
    </row>
    <row r="46" spans="1:26" s="23" customFormat="1" hidden="1" outlineLevel="1" x14ac:dyDescent="0.25">
      <c r="A46" s="44"/>
      <c r="B46" s="10" t="str">
        <f>CONCATENATE("          ", "4086", " - ", "TAXABLE SALES-COMPUTER SUPPLIE")</f>
        <v xml:space="preserve">          4086 - TAXABLE SALES-COMPUTER SUPPLIE</v>
      </c>
      <c r="C46" s="10"/>
      <c r="D46" s="2">
        <f>--1662.79</f>
        <v>1662.79</v>
      </c>
      <c r="E46" s="2"/>
      <c r="F46" s="19"/>
      <c r="G46" s="2"/>
      <c r="H46" s="2">
        <f>--357.44</f>
        <v>357.44</v>
      </c>
      <c r="I46" s="2"/>
      <c r="J46" s="19"/>
      <c r="K46" s="2"/>
      <c r="L46" s="2">
        <f t="shared" si="0"/>
        <v>1305.3499999999999</v>
      </c>
      <c r="M46" s="2"/>
      <c r="N46" s="19">
        <f t="shared" si="1"/>
        <v>3.6519415846016114</v>
      </c>
      <c r="O46" s="10"/>
      <c r="P46" s="2">
        <f>--66932.42</f>
        <v>66932.42</v>
      </c>
      <c r="Q46" s="2"/>
      <c r="R46" s="19"/>
      <c r="S46" s="2"/>
      <c r="T46" s="2">
        <f>--49529.46</f>
        <v>49529.46</v>
      </c>
      <c r="U46" s="2"/>
      <c r="V46" s="19"/>
      <c r="W46" s="2"/>
      <c r="X46" s="2">
        <f t="shared" si="2"/>
        <v>17402.96</v>
      </c>
      <c r="Y46" s="2"/>
      <c r="Z46" s="19">
        <f t="shared" si="3"/>
        <v>0.35136583358671786</v>
      </c>
    </row>
    <row r="47" spans="1:26" s="23" customFormat="1" hidden="1" outlineLevel="1" x14ac:dyDescent="0.25">
      <c r="A47" s="44"/>
      <c r="B47" s="10" t="str">
        <f>CONCATENATE("          ", "4088", " - ", "TAXABLE SALES-MUSIC")</f>
        <v xml:space="preserve">          4088 - TAXABLE SALES-MUSIC</v>
      </c>
      <c r="C47" s="10"/>
      <c r="D47" s="2">
        <f t="shared" ref="D47:D48" si="13">0</f>
        <v>0</v>
      </c>
      <c r="E47" s="2"/>
      <c r="F47" s="19"/>
      <c r="G47" s="2"/>
      <c r="H47" s="2">
        <f>--1120.94</f>
        <v>1120.94</v>
      </c>
      <c r="I47" s="2"/>
      <c r="J47" s="19"/>
      <c r="K47" s="2"/>
      <c r="L47" s="2">
        <f t="shared" si="0"/>
        <v>-1120.94</v>
      </c>
      <c r="M47" s="2"/>
      <c r="N47" s="19">
        <f t="shared" si="1"/>
        <v>-1</v>
      </c>
      <c r="O47" s="10"/>
      <c r="P47" s="2">
        <f t="shared" ref="P47:P48" si="14">0</f>
        <v>0</v>
      </c>
      <c r="Q47" s="2"/>
      <c r="R47" s="19"/>
      <c r="S47" s="2"/>
      <c r="T47" s="2">
        <f>--2795.75</f>
        <v>2795.75</v>
      </c>
      <c r="U47" s="2"/>
      <c r="V47" s="19"/>
      <c r="W47" s="2"/>
      <c r="X47" s="2">
        <f t="shared" si="2"/>
        <v>-2795.75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"4092", " - ", "TAXABLE SALES-GRAD MERCH")</f>
        <v xml:space="preserve">          4092 - TAXABLE SALES-GRAD MERCH</v>
      </c>
      <c r="C48" s="10"/>
      <c r="D48" s="2">
        <f t="shared" si="13"/>
        <v>0</v>
      </c>
      <c r="E48" s="2"/>
      <c r="F48" s="19"/>
      <c r="G48" s="2"/>
      <c r="H48" s="2">
        <f>--13527.29</f>
        <v>13527.29</v>
      </c>
      <c r="I48" s="2"/>
      <c r="J48" s="19"/>
      <c r="K48" s="2"/>
      <c r="L48" s="2">
        <f t="shared" si="0"/>
        <v>-13527.29</v>
      </c>
      <c r="M48" s="2"/>
      <c r="N48" s="19">
        <f t="shared" si="1"/>
        <v>-1</v>
      </c>
      <c r="O48" s="10"/>
      <c r="P48" s="2">
        <f t="shared" si="14"/>
        <v>0</v>
      </c>
      <c r="Q48" s="2"/>
      <c r="R48" s="19"/>
      <c r="S48" s="2"/>
      <c r="T48" s="2">
        <f>--35353.71</f>
        <v>35353.71</v>
      </c>
      <c r="U48" s="2"/>
      <c r="V48" s="19"/>
      <c r="W48" s="2"/>
      <c r="X48" s="2">
        <f t="shared" si="2"/>
        <v>-35353.71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"4095", " - ", "TAXABLE SALES-CUSTOMER SERVICE")</f>
        <v xml:space="preserve">          4095 - TAXABLE SALES-CUSTOMER SERVICE</v>
      </c>
      <c r="C49" s="10"/>
      <c r="D49" s="2">
        <f>--10891.24</f>
        <v>10891.24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10891.24</v>
      </c>
      <c r="M49" s="2"/>
      <c r="N49" s="19">
        <f t="shared" si="1"/>
        <v>0</v>
      </c>
      <c r="O49" s="10"/>
      <c r="P49" s="2">
        <f>--13925.83</f>
        <v>13925.83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13616.57</v>
      </c>
      <c r="Y49" s="2"/>
      <c r="Z49" s="19">
        <f t="shared" si="3"/>
        <v>44.029522084977039</v>
      </c>
    </row>
    <row r="50" spans="1:26" s="23" customFormat="1" hidden="1" outlineLevel="1" x14ac:dyDescent="0.25">
      <c r="A50" s="44"/>
      <c r="B50" s="10" t="str">
        <f>CONCATENATE("          ", "4100", " - ", "NON-TAXABLE SALES")</f>
        <v xml:space="preserve">          4100 - NON-TAXABLE SALES</v>
      </c>
      <c r="C50" s="10"/>
      <c r="D50" s="2">
        <f>--3546.21</f>
        <v>3546.21</v>
      </c>
      <c r="E50" s="2"/>
      <c r="F50" s="19"/>
      <c r="G50" s="2"/>
      <c r="H50" s="2">
        <f>--5210.55</f>
        <v>5210.55</v>
      </c>
      <c r="I50" s="2"/>
      <c r="J50" s="19"/>
      <c r="K50" s="2"/>
      <c r="L50" s="2">
        <f t="shared" si="0"/>
        <v>-1664.3400000000001</v>
      </c>
      <c r="M50" s="2"/>
      <c r="N50" s="19">
        <f t="shared" si="1"/>
        <v>-0.31941733598180616</v>
      </c>
      <c r="O50" s="10"/>
      <c r="P50" s="2">
        <f>--277384.98</f>
        <v>277384.98</v>
      </c>
      <c r="Q50" s="2"/>
      <c r="R50" s="19"/>
      <c r="S50" s="2"/>
      <c r="T50" s="2">
        <f>--607447.02</f>
        <v>607447.02</v>
      </c>
      <c r="U50" s="2"/>
      <c r="V50" s="19"/>
      <c r="W50" s="2"/>
      <c r="X50" s="2">
        <f t="shared" si="2"/>
        <v>-330062.04000000004</v>
      </c>
      <c r="Y50" s="2"/>
      <c r="Z50" s="19">
        <f t="shared" si="3"/>
        <v>-0.54335938630499825</v>
      </c>
    </row>
    <row r="51" spans="1:26" s="23" customFormat="1" hidden="1" outlineLevel="1" x14ac:dyDescent="0.25">
      <c r="A51" s="44"/>
      <c r="B51" s="10" t="str">
        <f>CONCATENATE("          ", "4101", " - ", "NON-TAXABLE SALES-NEW TEXT")</f>
        <v xml:space="preserve">          4101 - NON-TAXABLE SALES-NEW TEXT</v>
      </c>
      <c r="C51" s="10"/>
      <c r="D51" s="2">
        <f>--6450.33</f>
        <v>6450.33</v>
      </c>
      <c r="E51" s="2"/>
      <c r="F51" s="19"/>
      <c r="G51" s="2"/>
      <c r="H51" s="2">
        <f>--7118.9</f>
        <v>7118.9</v>
      </c>
      <c r="I51" s="2"/>
      <c r="J51" s="19"/>
      <c r="K51" s="2"/>
      <c r="L51" s="2">
        <f t="shared" si="0"/>
        <v>-668.56999999999971</v>
      </c>
      <c r="M51" s="2"/>
      <c r="N51" s="19">
        <f t="shared" si="1"/>
        <v>-9.3914790206352072E-2</v>
      </c>
      <c r="O51" s="10"/>
      <c r="P51" s="2">
        <f>--119247.07</f>
        <v>119247.07</v>
      </c>
      <c r="Q51" s="2"/>
      <c r="R51" s="19"/>
      <c r="S51" s="2"/>
      <c r="T51" s="2">
        <f>--151282.34</f>
        <v>151282.34</v>
      </c>
      <c r="U51" s="2"/>
      <c r="V51" s="19"/>
      <c r="W51" s="2"/>
      <c r="X51" s="2">
        <f t="shared" si="2"/>
        <v>-32035.26999999999</v>
      </c>
      <c r="Y51" s="2"/>
      <c r="Z51" s="19">
        <f t="shared" si="3"/>
        <v>-0.2117581602717144</v>
      </c>
    </row>
    <row r="52" spans="1:26" s="23" customFormat="1" hidden="1" outlineLevel="1" x14ac:dyDescent="0.25">
      <c r="A52" s="44"/>
      <c r="B52" s="10" t="str">
        <f>CONCATENATE("          ", "4102", " - ", "NON-TAXABLE SALES-USED TEXT")</f>
        <v xml:space="preserve">          4102 - NON-TAXABLE SALES-USED TEXT</v>
      </c>
      <c r="C52" s="10"/>
      <c r="D52" s="2">
        <f>--2343.31</f>
        <v>2343.31</v>
      </c>
      <c r="E52" s="2"/>
      <c r="F52" s="19"/>
      <c r="G52" s="2"/>
      <c r="H52" s="2">
        <f>--565.56</f>
        <v>565.55999999999995</v>
      </c>
      <c r="I52" s="2"/>
      <c r="J52" s="19"/>
      <c r="K52" s="2"/>
      <c r="L52" s="2">
        <f t="shared" si="0"/>
        <v>1777.75</v>
      </c>
      <c r="M52" s="2"/>
      <c r="N52" s="19">
        <f t="shared" si="1"/>
        <v>3.1433446495508881</v>
      </c>
      <c r="O52" s="10"/>
      <c r="P52" s="2">
        <f>--51046.73</f>
        <v>51046.73</v>
      </c>
      <c r="Q52" s="2"/>
      <c r="R52" s="19"/>
      <c r="S52" s="2"/>
      <c r="T52" s="2">
        <f>--70225.46</f>
        <v>70225.460000000006</v>
      </c>
      <c r="U52" s="2"/>
      <c r="V52" s="19"/>
      <c r="W52" s="2"/>
      <c r="X52" s="2">
        <f t="shared" si="2"/>
        <v>-19178.730000000003</v>
      </c>
      <c r="Y52" s="2"/>
      <c r="Z52" s="19">
        <f t="shared" si="3"/>
        <v>-0.2731022338621919</v>
      </c>
    </row>
    <row r="53" spans="1:26" s="23" customFormat="1" hidden="1" outlineLevel="1" x14ac:dyDescent="0.25">
      <c r="A53" s="44"/>
      <c r="B53" s="10" t="str">
        <f>CONCATENATE("          ", "4103", " - ", "NON-TAXABLE SALES-RENTAL TEXT")</f>
        <v xml:space="preserve">          4103 - NON-TAXABLE SALES-RENTAL TEXT</v>
      </c>
      <c r="C53" s="10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3" customFormat="1" hidden="1" outlineLevel="1" x14ac:dyDescent="0.25">
      <c r="A54" s="44"/>
      <c r="B54" s="10" t="str">
        <f>CONCATENATE("          ", "4104", " - ", "NON-TAXABLE SALES-DIGITAL TEXT")</f>
        <v xml:space="preserve">          4104 - NON-TAXABLE SALES-DIGITAL TEXT</v>
      </c>
      <c r="C54" s="10"/>
      <c r="D54" s="2">
        <f>--10484.56</f>
        <v>10484.56</v>
      </c>
      <c r="E54" s="2"/>
      <c r="F54" s="19"/>
      <c r="G54" s="2"/>
      <c r="H54" s="2">
        <f>--4949.29</f>
        <v>4949.29</v>
      </c>
      <c r="I54" s="2"/>
      <c r="J54" s="19"/>
      <c r="K54" s="2"/>
      <c r="L54" s="2">
        <f t="shared" si="0"/>
        <v>5535.2699999999995</v>
      </c>
      <c r="M54" s="2"/>
      <c r="N54" s="19">
        <f t="shared" si="1"/>
        <v>1.1183967801442227</v>
      </c>
      <c r="O54" s="10"/>
      <c r="P54" s="2">
        <f>--490887.73</f>
        <v>490887.73</v>
      </c>
      <c r="Q54" s="2"/>
      <c r="R54" s="19"/>
      <c r="S54" s="2"/>
      <c r="T54" s="2">
        <f>--531803.38</f>
        <v>531803.38</v>
      </c>
      <c r="U54" s="2"/>
      <c r="V54" s="19"/>
      <c r="W54" s="2"/>
      <c r="X54" s="2">
        <f t="shared" si="2"/>
        <v>-40915.650000000023</v>
      </c>
      <c r="Y54" s="2"/>
      <c r="Z54" s="19">
        <f t="shared" si="3"/>
        <v>-7.6937551619171776E-2</v>
      </c>
    </row>
    <row r="55" spans="1:26" s="23" customFormat="1" hidden="1" outlineLevel="1" x14ac:dyDescent="0.25">
      <c r="A55" s="44"/>
      <c r="B55" s="10" t="str">
        <f>CONCATENATE("          ", "4111", " - ", "NON-TAXABLE SALES-NO VALUE TEX")</f>
        <v xml:space="preserve">          4111 - NON-TAXABLE SALES-NO VALUE TEX</v>
      </c>
      <c r="C55" s="10"/>
      <c r="D55" s="2">
        <f t="shared" ref="D55:D60" si="15">0</f>
        <v>0</v>
      </c>
      <c r="E55" s="2"/>
      <c r="F55" s="19"/>
      <c r="G55" s="2"/>
      <c r="H55" s="2">
        <f>--340.46</f>
        <v>340.46</v>
      </c>
      <c r="I55" s="2"/>
      <c r="J55" s="19"/>
      <c r="K55" s="2"/>
      <c r="L55" s="2">
        <f t="shared" si="0"/>
        <v>-340.46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--15663.46</f>
        <v>15663.46</v>
      </c>
      <c r="U55" s="2"/>
      <c r="V55" s="19"/>
      <c r="W55" s="2"/>
      <c r="X55" s="2">
        <f t="shared" si="2"/>
        <v>-15663.46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"4113", " - ", "NON-TAXABLE SALES-TRADE BOOKS")</f>
        <v xml:space="preserve">          4113 - NON-TAXABLE SALES-TRADE BOOKS</v>
      </c>
      <c r="C56" s="10"/>
      <c r="D56" s="2">
        <f t="shared" si="15"/>
        <v>0</v>
      </c>
      <c r="E56" s="2"/>
      <c r="F56" s="19"/>
      <c r="G56" s="2"/>
      <c r="H56" s="2">
        <f>--24.24</f>
        <v>24.24</v>
      </c>
      <c r="I56" s="2"/>
      <c r="J56" s="19"/>
      <c r="K56" s="2"/>
      <c r="L56" s="2">
        <f t="shared" si="0"/>
        <v>-24.24</v>
      </c>
      <c r="M56" s="2"/>
      <c r="N56" s="19">
        <f t="shared" si="1"/>
        <v>-1</v>
      </c>
      <c r="O56" s="10"/>
      <c r="P56" s="2">
        <f>--12127.25</f>
        <v>12127.25</v>
      </c>
      <c r="Q56" s="2"/>
      <c r="R56" s="19"/>
      <c r="S56" s="2"/>
      <c r="T56" s="2">
        <f>--8266.16</f>
        <v>8266.16</v>
      </c>
      <c r="U56" s="2"/>
      <c r="V56" s="19"/>
      <c r="W56" s="2"/>
      <c r="X56" s="2">
        <f t="shared" si="2"/>
        <v>3861.09</v>
      </c>
      <c r="Y56" s="2"/>
      <c r="Z56" s="19">
        <f t="shared" si="3"/>
        <v>0.46709596717218155</v>
      </c>
    </row>
    <row r="57" spans="1:26" s="23" customFormat="1" hidden="1" outlineLevel="1" x14ac:dyDescent="0.25">
      <c r="A57" s="44"/>
      <c r="B57" s="10" t="str">
        <f>CONCATENATE("          ", "4114", " - ", "NON-TAXABLE SALES-REMAINDERS")</f>
        <v xml:space="preserve">          4114 - NON-TAXABLE SALES-REMAINDERS</v>
      </c>
      <c r="C57" s="10"/>
      <c r="D57" s="2">
        <f t="shared" si="15"/>
        <v>0</v>
      </c>
      <c r="E57" s="2"/>
      <c r="F57" s="19"/>
      <c r="G57" s="2"/>
      <c r="H57" s="2">
        <f>--3.19</f>
        <v>3.19</v>
      </c>
      <c r="I57" s="2"/>
      <c r="J57" s="19"/>
      <c r="K57" s="2"/>
      <c r="L57" s="2">
        <f t="shared" si="0"/>
        <v>-3.19</v>
      </c>
      <c r="M57" s="2"/>
      <c r="N57" s="19">
        <f t="shared" si="1"/>
        <v>-1</v>
      </c>
      <c r="O57" s="10"/>
      <c r="P57" s="2">
        <f>0</f>
        <v>0</v>
      </c>
      <c r="Q57" s="2"/>
      <c r="R57" s="19"/>
      <c r="S57" s="2"/>
      <c r="T57" s="2">
        <f>--3.19</f>
        <v>3.19</v>
      </c>
      <c r="U57" s="2"/>
      <c r="V57" s="19"/>
      <c r="W57" s="2"/>
      <c r="X57" s="2">
        <f t="shared" si="2"/>
        <v>-3.19</v>
      </c>
      <c r="Y57" s="2"/>
      <c r="Z57" s="19">
        <f t="shared" si="3"/>
        <v>-1</v>
      </c>
    </row>
    <row r="58" spans="1:26" s="23" customFormat="1" hidden="1" outlineLevel="1" x14ac:dyDescent="0.25">
      <c r="A58" s="44"/>
      <c r="B58" s="10" t="str">
        <f>CONCATENATE("          ", "4118", " - ", "NON-TAXABLE SALES-STUDY GUIDES")</f>
        <v xml:space="preserve">          4118 - NON-TAXABLE SALES-STUDY GUIDES</v>
      </c>
      <c r="C58" s="10"/>
      <c r="D58" s="2">
        <f t="shared" si="15"/>
        <v>0</v>
      </c>
      <c r="E58" s="2"/>
      <c r="F58" s="19"/>
      <c r="G58" s="2"/>
      <c r="H58" s="2">
        <f>--40</f>
        <v>40</v>
      </c>
      <c r="I58" s="2"/>
      <c r="J58" s="19"/>
      <c r="K58" s="2"/>
      <c r="L58" s="2">
        <f t="shared" si="0"/>
        <v>-40</v>
      </c>
      <c r="M58" s="2"/>
      <c r="N58" s="19">
        <f t="shared" si="1"/>
        <v>-1</v>
      </c>
      <c r="O58" s="10"/>
      <c r="P58" s="2">
        <f>--771.73</f>
        <v>771.73</v>
      </c>
      <c r="Q58" s="2"/>
      <c r="R58" s="19"/>
      <c r="S58" s="2"/>
      <c r="T58" s="2">
        <f>--115.94</f>
        <v>115.94</v>
      </c>
      <c r="U58" s="2"/>
      <c r="V58" s="19"/>
      <c r="W58" s="2"/>
      <c r="X58" s="2">
        <f t="shared" si="2"/>
        <v>655.79</v>
      </c>
      <c r="Y58" s="2"/>
      <c r="Z58" s="19">
        <f t="shared" si="3"/>
        <v>5.6562877350353631</v>
      </c>
    </row>
    <row r="59" spans="1:26" s="23" customFormat="1" hidden="1" outlineLevel="1" x14ac:dyDescent="0.25">
      <c r="A59" s="44"/>
      <c r="B59" s="10" t="str">
        <f>CONCATENATE("          ", "4125", " - ", "NON-TAXABLE SALES-TEST FORMS")</f>
        <v xml:space="preserve">          4125 - NON-TAXABLE SALES-TEST FORMS</v>
      </c>
      <c r="C59" s="10"/>
      <c r="D59" s="2">
        <f t="shared" si="15"/>
        <v>0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0"/>
      <c r="P59" s="2">
        <f>0</f>
        <v>0</v>
      </c>
      <c r="Q59" s="2"/>
      <c r="R59" s="19"/>
      <c r="S59" s="2"/>
      <c r="T59" s="2">
        <f>--267.61</f>
        <v>267.61</v>
      </c>
      <c r="U59" s="2"/>
      <c r="V59" s="19"/>
      <c r="W59" s="2"/>
      <c r="X59" s="2">
        <f t="shared" si="2"/>
        <v>-267.61</v>
      </c>
      <c r="Y59" s="2"/>
      <c r="Z59" s="19">
        <f t="shared" si="3"/>
        <v>-1</v>
      </c>
    </row>
    <row r="60" spans="1:26" s="23" customFormat="1" hidden="1" outlineLevel="1" x14ac:dyDescent="0.25">
      <c r="A60" s="44"/>
      <c r="B60" s="10" t="str">
        <f>CONCATENATE("          ", "4126", " - ", "NON-TAXABLE SALES-WRITING INST")</f>
        <v xml:space="preserve">          4126 - NON-TAXABLE SALES-WRITING INST</v>
      </c>
      <c r="C60" s="10"/>
      <c r="D60" s="2">
        <f t="shared" si="15"/>
        <v>0</v>
      </c>
      <c r="E60" s="2"/>
      <c r="F60" s="19"/>
      <c r="G60" s="2"/>
      <c r="H60" s="2">
        <f>--110.56</f>
        <v>110.56</v>
      </c>
      <c r="I60" s="2"/>
      <c r="J60" s="19"/>
      <c r="K60" s="2"/>
      <c r="L60" s="2">
        <f t="shared" si="0"/>
        <v>-110.56</v>
      </c>
      <c r="M60" s="2"/>
      <c r="N60" s="19">
        <f t="shared" si="1"/>
        <v>-1</v>
      </c>
      <c r="O60" s="10"/>
      <c r="P60" s="2">
        <f>--52.68</f>
        <v>52.68</v>
      </c>
      <c r="Q60" s="2"/>
      <c r="R60" s="19"/>
      <c r="S60" s="2"/>
      <c r="T60" s="2">
        <f>--3133.42</f>
        <v>3133.42</v>
      </c>
      <c r="U60" s="2"/>
      <c r="V60" s="19"/>
      <c r="W60" s="2"/>
      <c r="X60" s="2">
        <f t="shared" si="2"/>
        <v>-3080.7400000000002</v>
      </c>
      <c r="Y60" s="2"/>
      <c r="Z60" s="19">
        <f t="shared" si="3"/>
        <v>-0.98318769906364301</v>
      </c>
    </row>
    <row r="61" spans="1:26" s="23" customFormat="1" hidden="1" outlineLevel="1" x14ac:dyDescent="0.25">
      <c r="A61" s="44"/>
      <c r="B61" s="10" t="str">
        <f>CONCATENATE("          ", "4127", " - ", "NON-TAXABLE SALES-SCHOOL SUPPL")</f>
        <v xml:space="preserve">          4127 - NON-TAXABLE SALES-SCHOOL SUPPL</v>
      </c>
      <c r="C61" s="10"/>
      <c r="D61" s="2">
        <f>--548.05</f>
        <v>548.04999999999995</v>
      </c>
      <c r="E61" s="2"/>
      <c r="F61" s="19"/>
      <c r="G61" s="2"/>
      <c r="H61" s="2">
        <f>--226.84</f>
        <v>226.84</v>
      </c>
      <c r="I61" s="2"/>
      <c r="J61" s="19"/>
      <c r="K61" s="2"/>
      <c r="L61" s="2">
        <f t="shared" si="0"/>
        <v>321.20999999999992</v>
      </c>
      <c r="M61" s="2"/>
      <c r="N61" s="19">
        <f t="shared" si="1"/>
        <v>1.4160201022747307</v>
      </c>
      <c r="O61" s="10"/>
      <c r="P61" s="2">
        <f>--7648.73</f>
        <v>7648.73</v>
      </c>
      <c r="Q61" s="2"/>
      <c r="R61" s="19"/>
      <c r="S61" s="2"/>
      <c r="T61" s="2">
        <f>--6373.71</f>
        <v>6373.71</v>
      </c>
      <c r="U61" s="2"/>
      <c r="V61" s="19"/>
      <c r="W61" s="2"/>
      <c r="X61" s="2">
        <f t="shared" si="2"/>
        <v>1275.0199999999995</v>
      </c>
      <c r="Y61" s="2"/>
      <c r="Z61" s="19">
        <f t="shared" si="3"/>
        <v>0.20004361666909845</v>
      </c>
    </row>
    <row r="62" spans="1:26" s="23" customFormat="1" hidden="1" outlineLevel="1" x14ac:dyDescent="0.25">
      <c r="A62" s="44"/>
      <c r="B62" s="10" t="str">
        <f>CONCATENATE("          ", "4128", " - ", "NON-TAXABLE SALES-ART/TECH")</f>
        <v xml:space="preserve">          4128 - NON-TAXABLE SALES-ART/TECH</v>
      </c>
      <c r="C62" s="10"/>
      <c r="D62" s="2">
        <f>--45.96</f>
        <v>45.96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45.96</v>
      </c>
      <c r="M62" s="2"/>
      <c r="N62" s="19">
        <f t="shared" si="1"/>
        <v>0</v>
      </c>
      <c r="O62" s="10"/>
      <c r="P62" s="2">
        <f>--115.91</f>
        <v>115.91</v>
      </c>
      <c r="Q62" s="2"/>
      <c r="R62" s="19"/>
      <c r="S62" s="2"/>
      <c r="T62" s="2">
        <f>--730.62</f>
        <v>730.62</v>
      </c>
      <c r="U62" s="2"/>
      <c r="V62" s="19"/>
      <c r="W62" s="2"/>
      <c r="X62" s="2">
        <f t="shared" si="2"/>
        <v>-614.71</v>
      </c>
      <c r="Y62" s="2"/>
      <c r="Z62" s="19">
        <f t="shared" si="3"/>
        <v>-0.841353918589691</v>
      </c>
    </row>
    <row r="63" spans="1:26" s="23" customFormat="1" hidden="1" outlineLevel="1" x14ac:dyDescent="0.25">
      <c r="A63" s="44"/>
      <c r="B63" s="10" t="str">
        <f>CONCATENATE("          ", "4131", " - ", "NON-TAXABLE SALES-FOOD")</f>
        <v xml:space="preserve">          4131 - NON-TAXABLE SALES-FOOD</v>
      </c>
      <c r="C63" s="10"/>
      <c r="D63" s="2">
        <f>--775.78</f>
        <v>775.78</v>
      </c>
      <c r="E63" s="2"/>
      <c r="F63" s="19"/>
      <c r="G63" s="2"/>
      <c r="H63" s="2">
        <f>--6.16</f>
        <v>6.16</v>
      </c>
      <c r="I63" s="2"/>
      <c r="J63" s="19"/>
      <c r="K63" s="2"/>
      <c r="L63" s="2">
        <f t="shared" si="0"/>
        <v>769.62</v>
      </c>
      <c r="M63" s="2"/>
      <c r="N63" s="19">
        <f t="shared" si="1"/>
        <v>124.93831168831169</v>
      </c>
      <c r="O63" s="10"/>
      <c r="P63" s="2">
        <f>--12156.14</f>
        <v>12156.14</v>
      </c>
      <c r="Q63" s="2"/>
      <c r="R63" s="19"/>
      <c r="S63" s="2"/>
      <c r="T63" s="2">
        <f>--57893.7</f>
        <v>57893.7</v>
      </c>
      <c r="U63" s="2"/>
      <c r="V63" s="19"/>
      <c r="W63" s="2"/>
      <c r="X63" s="2">
        <f t="shared" si="2"/>
        <v>-45737.56</v>
      </c>
      <c r="Y63" s="2"/>
      <c r="Z63" s="19">
        <f t="shared" si="3"/>
        <v>-0.7900265486572805</v>
      </c>
    </row>
    <row r="64" spans="1:26" s="23" customFormat="1" hidden="1" outlineLevel="1" x14ac:dyDescent="0.25">
      <c r="A64" s="44"/>
      <c r="B64" s="10" t="str">
        <f>CONCATENATE("          ", "4132", " - ", "NON-TAXABLE SALES-JUICE")</f>
        <v xml:space="preserve">          4132 - NON-TAXABLE SALES-JUICE</v>
      </c>
      <c r="C64" s="10"/>
      <c r="D64" s="2">
        <f t="shared" ref="D64:D68" si="16"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--22.49</f>
        <v>22.49</v>
      </c>
      <c r="Q64" s="2"/>
      <c r="R64" s="19"/>
      <c r="S64" s="2"/>
      <c r="T64" s="2">
        <f>--16199.63</f>
        <v>16199.63</v>
      </c>
      <c r="U64" s="2"/>
      <c r="V64" s="19"/>
      <c r="W64" s="2"/>
      <c r="X64" s="2">
        <f t="shared" si="2"/>
        <v>-16177.14</v>
      </c>
      <c r="Y64" s="2"/>
      <c r="Z64" s="19">
        <f t="shared" si="3"/>
        <v>-0.99861169668689964</v>
      </c>
    </row>
    <row r="65" spans="1:26" s="23" customFormat="1" hidden="1" outlineLevel="1" x14ac:dyDescent="0.25">
      <c r="A65" s="44"/>
      <c r="B65" s="10" t="str">
        <f>CONCATENATE("          ", "4133", " - ", "NON-TAXABLE SALES-CANDY")</f>
        <v xml:space="preserve">          4133 - NON-TAXABLE SALES-CANDY</v>
      </c>
      <c r="C65" s="10"/>
      <c r="D65" s="2">
        <f t="shared" si="16"/>
        <v>0</v>
      </c>
      <c r="E65" s="2"/>
      <c r="F65" s="19"/>
      <c r="G65" s="2"/>
      <c r="H65" s="2">
        <f>--48.27</f>
        <v>48.27</v>
      </c>
      <c r="I65" s="2"/>
      <c r="J65" s="19"/>
      <c r="K65" s="2"/>
      <c r="L65" s="2">
        <f t="shared" si="0"/>
        <v>-48.27</v>
      </c>
      <c r="M65" s="2"/>
      <c r="N65" s="19">
        <f t="shared" si="1"/>
        <v>-1</v>
      </c>
      <c r="O65" s="10"/>
      <c r="P65" s="2">
        <f>--80.71</f>
        <v>80.709999999999994</v>
      </c>
      <c r="Q65" s="2"/>
      <c r="R65" s="19"/>
      <c r="S65" s="2"/>
      <c r="T65" s="2">
        <f>--18136.73</f>
        <v>18136.73</v>
      </c>
      <c r="U65" s="2"/>
      <c r="V65" s="19"/>
      <c r="W65" s="2"/>
      <c r="X65" s="2">
        <f t="shared" si="2"/>
        <v>-18056.02</v>
      </c>
      <c r="Y65" s="2"/>
      <c r="Z65" s="19">
        <f t="shared" si="3"/>
        <v>-0.99554991445536223</v>
      </c>
    </row>
    <row r="66" spans="1:26" s="23" customFormat="1" hidden="1" outlineLevel="1" x14ac:dyDescent="0.25">
      <c r="A66" s="44"/>
      <c r="B66" s="10" t="str">
        <f>CONCATENATE("          ", "4134", " - ", "NON-TAXABLE SALES-SODA")</f>
        <v xml:space="preserve">          4134 - NON-TAXABLE SALES-SODA</v>
      </c>
      <c r="C66" s="10"/>
      <c r="D66" s="2">
        <f t="shared" si="16"/>
        <v>0</v>
      </c>
      <c r="E66" s="2"/>
      <c r="F66" s="19"/>
      <c r="G66" s="2"/>
      <c r="H66" s="2">
        <f t="shared" ref="H66:H68" si="17">0</f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0"/>
      <c r="P66" s="2">
        <f>--45.53</f>
        <v>45.53</v>
      </c>
      <c r="Q66" s="2"/>
      <c r="R66" s="19"/>
      <c r="S66" s="2"/>
      <c r="T66" s="2">
        <f>--1.89</f>
        <v>1.89</v>
      </c>
      <c r="U66" s="2"/>
      <c r="V66" s="19"/>
      <c r="W66" s="2"/>
      <c r="X66" s="2">
        <f t="shared" si="2"/>
        <v>43.64</v>
      </c>
      <c r="Y66" s="2"/>
      <c r="Z66" s="19">
        <f t="shared" si="3"/>
        <v>23.089947089947092</v>
      </c>
    </row>
    <row r="67" spans="1:26" s="23" customFormat="1" hidden="1" outlineLevel="1" x14ac:dyDescent="0.25">
      <c r="A67" s="44"/>
      <c r="B67" s="10" t="str">
        <f>CONCATENATE("          ", "4135", " - ", "NON-TAXABLE SALES")</f>
        <v xml:space="preserve">          4135 - NON-TAXABLE SALES</v>
      </c>
      <c r="C67" s="10"/>
      <c r="D67" s="2">
        <f t="shared" si="16"/>
        <v>0</v>
      </c>
      <c r="E67" s="2"/>
      <c r="F67" s="19"/>
      <c r="G67" s="2"/>
      <c r="H67" s="2">
        <f t="shared" si="17"/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0"/>
      <c r="P67" s="2">
        <f>0</f>
        <v>0</v>
      </c>
      <c r="Q67" s="2"/>
      <c r="R67" s="19"/>
      <c r="S67" s="2"/>
      <c r="T67" s="2">
        <f>--161.4</f>
        <v>161.4</v>
      </c>
      <c r="U67" s="2"/>
      <c r="V67" s="19"/>
      <c r="W67" s="2"/>
      <c r="X67" s="2">
        <f t="shared" si="2"/>
        <v>-161.4</v>
      </c>
      <c r="Y67" s="2"/>
      <c r="Z67" s="19">
        <f t="shared" si="3"/>
        <v>-1</v>
      </c>
    </row>
    <row r="68" spans="1:26" s="23" customFormat="1" hidden="1" outlineLevel="1" x14ac:dyDescent="0.25">
      <c r="A68" s="44"/>
      <c r="B68" s="10" t="str">
        <f>CONCATENATE("          ", "4137", " - ", "NON-TAXABLE SALES-WATER")</f>
        <v xml:space="preserve">          4137 - NON-TAXABLE SALES-WATER</v>
      </c>
      <c r="C68" s="10"/>
      <c r="D68" s="2">
        <f t="shared" si="16"/>
        <v>0</v>
      </c>
      <c r="E68" s="2"/>
      <c r="F68" s="19"/>
      <c r="G68" s="2"/>
      <c r="H68" s="2">
        <f t="shared" si="17"/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0"/>
      <c r="P68" s="2">
        <f>--68.25</f>
        <v>68.25</v>
      </c>
      <c r="Q68" s="2"/>
      <c r="R68" s="19"/>
      <c r="S68" s="2"/>
      <c r="T68" s="2">
        <f>--8519.06</f>
        <v>8519.06</v>
      </c>
      <c r="U68" s="2"/>
      <c r="V68" s="19"/>
      <c r="W68" s="2"/>
      <c r="X68" s="2">
        <f t="shared" si="2"/>
        <v>-8450.81</v>
      </c>
      <c r="Y68" s="2"/>
      <c r="Z68" s="19">
        <f t="shared" si="3"/>
        <v>-0.99198855272764841</v>
      </c>
    </row>
    <row r="69" spans="1:26" s="23" customFormat="1" hidden="1" outlineLevel="1" x14ac:dyDescent="0.25">
      <c r="A69" s="44"/>
      <c r="B69" s="10" t="str">
        <f>CONCATENATE("          ", "4140", " - ", "NON-TAXABLE SALES-LOGO CLOTHIN")</f>
        <v xml:space="preserve">          4140 - NON-TAXABLE SALES-LOGO CLOTHIN</v>
      </c>
      <c r="C69" s="10"/>
      <c r="D69" s="2">
        <f>--16733.37</f>
        <v>16733.37</v>
      </c>
      <c r="E69" s="2"/>
      <c r="F69" s="19"/>
      <c r="G69" s="2"/>
      <c r="H69" s="2">
        <f>--56556.05</f>
        <v>56556.05</v>
      </c>
      <c r="I69" s="2"/>
      <c r="J69" s="19"/>
      <c r="K69" s="2"/>
      <c r="L69" s="2">
        <f t="shared" si="0"/>
        <v>-39822.680000000008</v>
      </c>
      <c r="M69" s="2"/>
      <c r="N69" s="19">
        <f t="shared" si="1"/>
        <v>-0.70412767511168139</v>
      </c>
      <c r="O69" s="10"/>
      <c r="P69" s="2">
        <f>--171525.76</f>
        <v>171525.76000000001</v>
      </c>
      <c r="Q69" s="2"/>
      <c r="R69" s="19"/>
      <c r="S69" s="2"/>
      <c r="T69" s="2">
        <f>--135480.76</f>
        <v>135480.76</v>
      </c>
      <c r="U69" s="2"/>
      <c r="V69" s="19"/>
      <c r="W69" s="2"/>
      <c r="X69" s="2">
        <f t="shared" si="2"/>
        <v>36045</v>
      </c>
      <c r="Y69" s="2"/>
      <c r="Z69" s="19">
        <f t="shared" si="3"/>
        <v>0.26605253764445963</v>
      </c>
    </row>
    <row r="70" spans="1:26" s="23" customFormat="1" hidden="1" outlineLevel="1" x14ac:dyDescent="0.25">
      <c r="A70" s="44"/>
      <c r="B70" s="10" t="str">
        <f>CONCATENATE("          ", "4141", " - ", "NON-TAXABLE SALES-LOGO GIFTS")</f>
        <v xml:space="preserve">          4141 - NON-TAXABLE SALES-LOGO GIFTS</v>
      </c>
      <c r="C70" s="10"/>
      <c r="D70" s="2">
        <f>--2359.22</f>
        <v>2359.2199999999998</v>
      </c>
      <c r="E70" s="2"/>
      <c r="F70" s="19"/>
      <c r="G70" s="2"/>
      <c r="H70" s="2">
        <f>--4184.98</f>
        <v>4184.9799999999996</v>
      </c>
      <c r="I70" s="2"/>
      <c r="J70" s="19"/>
      <c r="K70" s="2"/>
      <c r="L70" s="2">
        <f t="shared" si="0"/>
        <v>-1825.7599999999998</v>
      </c>
      <c r="M70" s="2"/>
      <c r="N70" s="19">
        <f t="shared" si="1"/>
        <v>-0.43626492838675451</v>
      </c>
      <c r="O70" s="10"/>
      <c r="P70" s="2">
        <f>--39156.03</f>
        <v>39156.03</v>
      </c>
      <c r="Q70" s="2"/>
      <c r="R70" s="19"/>
      <c r="S70" s="2"/>
      <c r="T70" s="2">
        <f>--16960.31</f>
        <v>16960.310000000001</v>
      </c>
      <c r="U70" s="2"/>
      <c r="V70" s="19"/>
      <c r="W70" s="2"/>
      <c r="X70" s="2">
        <f t="shared" si="2"/>
        <v>22195.719999999998</v>
      </c>
      <c r="Y70" s="2"/>
      <c r="Z70" s="19">
        <f t="shared" si="3"/>
        <v>1.3086859851028665</v>
      </c>
    </row>
    <row r="71" spans="1:26" s="23" customFormat="1" hidden="1" outlineLevel="1" x14ac:dyDescent="0.25">
      <c r="A71" s="44"/>
      <c r="B71" s="10" t="str">
        <f>CONCATENATE("          ", "4142", " - ", "NON-TAXABLE SALES-EVERYDAY GIF")</f>
        <v xml:space="preserve">          4142 - NON-TAXABLE SALES-EVERYDAY GIF</v>
      </c>
      <c r="C71" s="10"/>
      <c r="D71" s="2">
        <f>--16.35</f>
        <v>16.350000000000001</v>
      </c>
      <c r="E71" s="2"/>
      <c r="F71" s="19"/>
      <c r="G71" s="2"/>
      <c r="H71" s="2">
        <f>--1204.14</f>
        <v>1204.1400000000001</v>
      </c>
      <c r="I71" s="2"/>
      <c r="J71" s="19"/>
      <c r="K71" s="2"/>
      <c r="L71" s="2">
        <f t="shared" si="0"/>
        <v>-1187.7900000000002</v>
      </c>
      <c r="M71" s="2"/>
      <c r="N71" s="19">
        <f t="shared" si="1"/>
        <v>-0.98642184463600591</v>
      </c>
      <c r="O71" s="10"/>
      <c r="P71" s="2">
        <f>--2604.45</f>
        <v>2604.4499999999998</v>
      </c>
      <c r="Q71" s="2"/>
      <c r="R71" s="19"/>
      <c r="S71" s="2"/>
      <c r="T71" s="2">
        <f>--15332.22</f>
        <v>15332.22</v>
      </c>
      <c r="U71" s="2"/>
      <c r="V71" s="19"/>
      <c r="W71" s="2"/>
      <c r="X71" s="2">
        <f t="shared" si="2"/>
        <v>-12727.77</v>
      </c>
      <c r="Y71" s="2"/>
      <c r="Z71" s="19">
        <f t="shared" si="3"/>
        <v>-0.83013223134027569</v>
      </c>
    </row>
    <row r="72" spans="1:26" s="23" customFormat="1" hidden="1" outlineLevel="1" x14ac:dyDescent="0.25">
      <c r="A72" s="44"/>
      <c r="B72" s="10" t="str">
        <f>CONCATENATE("          ", "4143", " - ", "NON-TAXABLE SALES-CARDS")</f>
        <v xml:space="preserve">          4143 - NON-TAXABLE SALES-CARDS</v>
      </c>
      <c r="C72" s="10"/>
      <c r="D72" s="2">
        <f>--120.71</f>
        <v>120.71</v>
      </c>
      <c r="E72" s="2"/>
      <c r="F72" s="19"/>
      <c r="G72" s="2"/>
      <c r="H72" s="2">
        <f>--19.98</f>
        <v>19.98</v>
      </c>
      <c r="I72" s="2"/>
      <c r="J72" s="19"/>
      <c r="K72" s="2"/>
      <c r="L72" s="2">
        <f t="shared" si="0"/>
        <v>100.72999999999999</v>
      </c>
      <c r="M72" s="2"/>
      <c r="N72" s="19">
        <f t="shared" si="1"/>
        <v>5.041541541541541</v>
      </c>
      <c r="O72" s="10"/>
      <c r="P72" s="2">
        <f>--2552.16</f>
        <v>2552.16</v>
      </c>
      <c r="Q72" s="2"/>
      <c r="R72" s="19"/>
      <c r="S72" s="2"/>
      <c r="T72" s="2">
        <f>--19.98</f>
        <v>19.98</v>
      </c>
      <c r="U72" s="2"/>
      <c r="V72" s="19"/>
      <c r="W72" s="2"/>
      <c r="X72" s="2">
        <f t="shared" si="2"/>
        <v>2532.1799999999998</v>
      </c>
      <c r="Y72" s="2"/>
      <c r="Z72" s="19">
        <f t="shared" si="3"/>
        <v>126.73573573573573</v>
      </c>
    </row>
    <row r="73" spans="1:26" s="23" customFormat="1" hidden="1" outlineLevel="1" x14ac:dyDescent="0.25">
      <c r="A73" s="44"/>
      <c r="B73" s="10" t="str">
        <f>CONCATENATE("          ", "4144", " - ", "NON-TAXABLE SALES-ACCESSORIES")</f>
        <v xml:space="preserve">          4144 - NON-TAXABLE SALES-ACCESSORIES</v>
      </c>
      <c r="C73" s="10"/>
      <c r="D73" s="2">
        <f>--164.7</f>
        <v>164.7</v>
      </c>
      <c r="E73" s="2"/>
      <c r="F73" s="19"/>
      <c r="G73" s="2"/>
      <c r="H73" s="2">
        <f>--984.35</f>
        <v>984.35</v>
      </c>
      <c r="I73" s="2"/>
      <c r="J73" s="19"/>
      <c r="K73" s="2"/>
      <c r="L73" s="2">
        <f t="shared" si="0"/>
        <v>-819.65000000000009</v>
      </c>
      <c r="M73" s="2"/>
      <c r="N73" s="19">
        <f t="shared" si="1"/>
        <v>-0.83268146492609341</v>
      </c>
      <c r="O73" s="10"/>
      <c r="P73" s="2">
        <f>--873.8</f>
        <v>873.8</v>
      </c>
      <c r="Q73" s="2"/>
      <c r="R73" s="19"/>
      <c r="S73" s="2"/>
      <c r="T73" s="2">
        <f>--3324.02</f>
        <v>3324.02</v>
      </c>
      <c r="U73" s="2"/>
      <c r="V73" s="19"/>
      <c r="W73" s="2"/>
      <c r="X73" s="2">
        <f t="shared" si="2"/>
        <v>-2450.2200000000003</v>
      </c>
      <c r="Y73" s="2"/>
      <c r="Z73" s="19">
        <f t="shared" si="3"/>
        <v>-0.737125528727264</v>
      </c>
    </row>
    <row r="74" spans="1:26" s="23" customFormat="1" hidden="1" outlineLevel="1" x14ac:dyDescent="0.25">
      <c r="A74" s="44"/>
      <c r="B74" s="10" t="str">
        <f>CONCATENATE("          ", "4145", " - ", "NON-TAXABLE SALES-SPECIAL ORDE")</f>
        <v xml:space="preserve">          4145 - NON-TAXABLE SALES-SPECIAL ORDE</v>
      </c>
      <c r="C74" s="10"/>
      <c r="D74" s="2">
        <f>0</f>
        <v>0</v>
      </c>
      <c r="E74" s="2"/>
      <c r="F74" s="19"/>
      <c r="G74" s="2"/>
      <c r="H74" s="2">
        <f>--7688.68</f>
        <v>7688.68</v>
      </c>
      <c r="I74" s="2"/>
      <c r="J74" s="19"/>
      <c r="K74" s="2"/>
      <c r="L74" s="2">
        <f t="shared" si="0"/>
        <v>-7688.68</v>
      </c>
      <c r="M74" s="2"/>
      <c r="N74" s="19">
        <f t="shared" si="1"/>
        <v>-1</v>
      </c>
      <c r="O74" s="10"/>
      <c r="P74" s="2">
        <f>--74066.89</f>
        <v>74066.89</v>
      </c>
      <c r="Q74" s="2"/>
      <c r="R74" s="19"/>
      <c r="S74" s="2"/>
      <c r="T74" s="2">
        <f>--7828.68</f>
        <v>7828.68</v>
      </c>
      <c r="U74" s="2"/>
      <c r="V74" s="19"/>
      <c r="W74" s="2"/>
      <c r="X74" s="2">
        <f t="shared" si="2"/>
        <v>66238.209999999992</v>
      </c>
      <c r="Y74" s="2"/>
      <c r="Z74" s="19">
        <f t="shared" si="3"/>
        <v>8.4609678770878354</v>
      </c>
    </row>
    <row r="75" spans="1:26" s="23" customFormat="1" hidden="1" outlineLevel="1" x14ac:dyDescent="0.25">
      <c r="A75" s="44"/>
      <c r="B75" s="10" t="str">
        <f>CONCATENATE("          ", "4146", " - ", "NON-TAXABLE SALES-COIN OP MACH")</f>
        <v xml:space="preserve">          4146 - NON-TAXABLE SALES-COIN OP MACH</v>
      </c>
      <c r="C75" s="10"/>
      <c r="D75" s="2">
        <f>--56.6</f>
        <v>56.6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56.6</v>
      </c>
      <c r="M75" s="2"/>
      <c r="N75" s="19">
        <f t="shared" si="1"/>
        <v>0</v>
      </c>
      <c r="O75" s="10"/>
      <c r="P75" s="2">
        <f>--385.9</f>
        <v>385.9</v>
      </c>
      <c r="Q75" s="2"/>
      <c r="R75" s="19"/>
      <c r="S75" s="2"/>
      <c r="T75" s="2">
        <f>--205908.65</f>
        <v>205908.65</v>
      </c>
      <c r="U75" s="2"/>
      <c r="V75" s="19"/>
      <c r="W75" s="2"/>
      <c r="X75" s="2">
        <f t="shared" si="2"/>
        <v>-205522.75</v>
      </c>
      <c r="Y75" s="2"/>
      <c r="Z75" s="19">
        <f t="shared" si="3"/>
        <v>-0.99812586795163782</v>
      </c>
    </row>
    <row r="76" spans="1:26" s="23" customFormat="1" hidden="1" outlineLevel="1" x14ac:dyDescent="0.25">
      <c r="A76" s="44"/>
      <c r="B76" s="10" t="str">
        <f>CONCATENATE("          ", "4147", " - ", "NON-TAXABLE SALES-MISC")</f>
        <v xml:space="preserve">          4147 - NON-TAXABLE SALES-MISC</v>
      </c>
      <c r="C76" s="10"/>
      <c r="D76" s="2">
        <f>--13.5</f>
        <v>13.5</v>
      </c>
      <c r="E76" s="2"/>
      <c r="F76" s="19"/>
      <c r="G76" s="2"/>
      <c r="H76" s="2">
        <f>--10</f>
        <v>10</v>
      </c>
      <c r="I76" s="2"/>
      <c r="J76" s="19"/>
      <c r="K76" s="2"/>
      <c r="L76" s="2">
        <f t="shared" si="0"/>
        <v>3.5</v>
      </c>
      <c r="M76" s="2"/>
      <c r="N76" s="19">
        <f t="shared" si="1"/>
        <v>0.35</v>
      </c>
      <c r="O76" s="10"/>
      <c r="P76" s="2">
        <f>--168</f>
        <v>168</v>
      </c>
      <c r="Q76" s="2"/>
      <c r="R76" s="19"/>
      <c r="S76" s="2"/>
      <c r="T76" s="2">
        <f>--3446.37</f>
        <v>3446.37</v>
      </c>
      <c r="U76" s="2"/>
      <c r="V76" s="19"/>
      <c r="W76" s="2"/>
      <c r="X76" s="2">
        <f t="shared" si="2"/>
        <v>-3278.37</v>
      </c>
      <c r="Y76" s="2"/>
      <c r="Z76" s="19">
        <f t="shared" si="3"/>
        <v>-0.95125305756491618</v>
      </c>
    </row>
    <row r="77" spans="1:26" s="23" customFormat="1" hidden="1" outlineLevel="1" x14ac:dyDescent="0.25">
      <c r="A77" s="44"/>
      <c r="B77" s="10" t="str">
        <f>CONCATENATE("          ", "4181", " - ", "NON-TAXABLE SALES-ELECTRONICS")</f>
        <v xml:space="preserve">          4181 - NON-TAXABLE SALES-ELECTRONICS</v>
      </c>
      <c r="C77" s="10"/>
      <c r="D77" s="2">
        <f>--1779.96</f>
        <v>1779.96</v>
      </c>
      <c r="E77" s="2"/>
      <c r="F77" s="19"/>
      <c r="G77" s="2"/>
      <c r="H77" s="2">
        <f>--424.46</f>
        <v>424.46</v>
      </c>
      <c r="I77" s="2"/>
      <c r="J77" s="19"/>
      <c r="K77" s="2"/>
      <c r="L77" s="2">
        <f t="shared" si="0"/>
        <v>1355.5</v>
      </c>
      <c r="M77" s="2"/>
      <c r="N77" s="19">
        <f t="shared" si="1"/>
        <v>3.1934693492908637</v>
      </c>
      <c r="O77" s="10"/>
      <c r="P77" s="2">
        <f>--14288.58</f>
        <v>14288.58</v>
      </c>
      <c r="Q77" s="2"/>
      <c r="R77" s="19"/>
      <c r="S77" s="2"/>
      <c r="T77" s="2">
        <f>--2657.79</f>
        <v>2657.79</v>
      </c>
      <c r="U77" s="2"/>
      <c r="V77" s="19"/>
      <c r="W77" s="2"/>
      <c r="X77" s="2">
        <f t="shared" si="2"/>
        <v>11630.79</v>
      </c>
      <c r="Y77" s="2"/>
      <c r="Z77" s="19">
        <f t="shared" si="3"/>
        <v>4.3761132369374556</v>
      </c>
    </row>
    <row r="78" spans="1:26" s="23" customFormat="1" hidden="1" outlineLevel="1" x14ac:dyDescent="0.25">
      <c r="A78" s="44"/>
      <c r="B78" s="10" t="str">
        <f>CONCATENATE("          ", "4182", " - ", "NON-TAXABLE SALES-COMPUTER HAR")</f>
        <v xml:space="preserve">          4182 - NON-TAXABLE SALES-COMPUTER HAR</v>
      </c>
      <c r="C78" s="10"/>
      <c r="D78" s="2">
        <f>--33038.75</f>
        <v>33038.75</v>
      </c>
      <c r="E78" s="2"/>
      <c r="F78" s="19"/>
      <c r="G78" s="2"/>
      <c r="H78" s="2">
        <f>--28134.6</f>
        <v>28134.6</v>
      </c>
      <c r="I78" s="2"/>
      <c r="J78" s="19"/>
      <c r="K78" s="2"/>
      <c r="L78" s="2">
        <f t="shared" si="0"/>
        <v>4904.1500000000015</v>
      </c>
      <c r="M78" s="2"/>
      <c r="N78" s="19">
        <f t="shared" si="1"/>
        <v>0.17431027986891592</v>
      </c>
      <c r="O78" s="10"/>
      <c r="P78" s="2">
        <f>--347529.22</f>
        <v>347529.22</v>
      </c>
      <c r="Q78" s="2"/>
      <c r="R78" s="19"/>
      <c r="S78" s="2"/>
      <c r="T78" s="2">
        <f>--176201.54</f>
        <v>176201.54</v>
      </c>
      <c r="U78" s="2"/>
      <c r="V78" s="19"/>
      <c r="W78" s="2"/>
      <c r="X78" s="2">
        <f t="shared" si="2"/>
        <v>171327.67999999996</v>
      </c>
      <c r="Y78" s="2"/>
      <c r="Z78" s="19">
        <f t="shared" si="3"/>
        <v>0.97233928829452887</v>
      </c>
    </row>
    <row r="79" spans="1:26" s="23" customFormat="1" hidden="1" outlineLevel="1" x14ac:dyDescent="0.25">
      <c r="A79" s="44"/>
      <c r="B79" s="10" t="str">
        <f>CONCATENATE("          ", "4183", " - ", "NON-TAXABLE SALES-COMPUTER EQU")</f>
        <v xml:space="preserve">          4183 - NON-TAXABLE SALES-COMPUTER EQU</v>
      </c>
      <c r="C79" s="10"/>
      <c r="D79" s="2">
        <f>--2959.73</f>
        <v>2959.73</v>
      </c>
      <c r="E79" s="2"/>
      <c r="F79" s="19"/>
      <c r="G79" s="2"/>
      <c r="H79" s="2">
        <f>--1895.54</f>
        <v>1895.54</v>
      </c>
      <c r="I79" s="2"/>
      <c r="J79" s="19"/>
      <c r="K79" s="2"/>
      <c r="L79" s="2">
        <f t="shared" si="0"/>
        <v>1064.19</v>
      </c>
      <c r="M79" s="2"/>
      <c r="N79" s="19">
        <f t="shared" si="1"/>
        <v>0.56141785454276882</v>
      </c>
      <c r="O79" s="10"/>
      <c r="P79" s="2">
        <f>--22445.75</f>
        <v>22445.75</v>
      </c>
      <c r="Q79" s="2"/>
      <c r="R79" s="19"/>
      <c r="S79" s="2"/>
      <c r="T79" s="2">
        <f>--11427.56</f>
        <v>11427.56</v>
      </c>
      <c r="U79" s="2"/>
      <c r="V79" s="19"/>
      <c r="W79" s="2"/>
      <c r="X79" s="2">
        <f t="shared" si="2"/>
        <v>11018.19</v>
      </c>
      <c r="Y79" s="2"/>
      <c r="Z79" s="19">
        <f t="shared" si="3"/>
        <v>0.96417695466048758</v>
      </c>
    </row>
    <row r="80" spans="1:26" s="23" customFormat="1" hidden="1" outlineLevel="1" x14ac:dyDescent="0.25">
      <c r="A80" s="44"/>
      <c r="B80" s="10" t="str">
        <f>CONCATENATE("          ", "4184", " - ", "NON-TAXABLE SALES-SOFTWARE LIC")</f>
        <v xml:space="preserve">          4184 - NON-TAXABLE SALES-SOFTWARE LIC</v>
      </c>
      <c r="C80" s="10"/>
      <c r="D80" s="2">
        <f>0</f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>0</f>
        <v>0</v>
      </c>
      <c r="Q80" s="2"/>
      <c r="R80" s="19"/>
      <c r="S80" s="2"/>
      <c r="T80" s="2">
        <f>--2728</f>
        <v>2728</v>
      </c>
      <c r="U80" s="2"/>
      <c r="V80" s="19"/>
      <c r="W80" s="2"/>
      <c r="X80" s="2">
        <f t="shared" si="2"/>
        <v>-2728</v>
      </c>
      <c r="Y80" s="2"/>
      <c r="Z80" s="19">
        <f t="shared" si="3"/>
        <v>-1</v>
      </c>
    </row>
    <row r="81" spans="1:26" s="23" customFormat="1" hidden="1" outlineLevel="1" x14ac:dyDescent="0.25">
      <c r="A81" s="44"/>
      <c r="B81" s="10" t="str">
        <f>CONCATENATE("          ", "4185", " - ", "NON-TAXABLE SALES-SOFTWARE")</f>
        <v xml:space="preserve">          4185 - NON-TAXABLE SALES-SOFTWARE</v>
      </c>
      <c r="C81" s="10"/>
      <c r="D81" s="2">
        <f>--5925.22</f>
        <v>5925.22</v>
      </c>
      <c r="E81" s="2"/>
      <c r="F81" s="19"/>
      <c r="G81" s="2"/>
      <c r="H81" s="2">
        <f>--4176.74</f>
        <v>4176.74</v>
      </c>
      <c r="I81" s="2"/>
      <c r="J81" s="19"/>
      <c r="K81" s="2"/>
      <c r="L81" s="2">
        <f t="shared" si="0"/>
        <v>1748.4800000000005</v>
      </c>
      <c r="M81" s="2"/>
      <c r="N81" s="19">
        <f t="shared" si="1"/>
        <v>0.41862313670470286</v>
      </c>
      <c r="O81" s="10"/>
      <c r="P81" s="2">
        <f>--55957.61</f>
        <v>55957.61</v>
      </c>
      <c r="Q81" s="2"/>
      <c r="R81" s="19"/>
      <c r="S81" s="2"/>
      <c r="T81" s="2">
        <f>--20524.35</f>
        <v>20524.349999999999</v>
      </c>
      <c r="U81" s="2"/>
      <c r="V81" s="19"/>
      <c r="W81" s="2"/>
      <c r="X81" s="2">
        <f t="shared" si="2"/>
        <v>35433.26</v>
      </c>
      <c r="Y81" s="2"/>
      <c r="Z81" s="19">
        <f t="shared" si="3"/>
        <v>1.7264010796931453</v>
      </c>
    </row>
    <row r="82" spans="1:26" s="23" customFormat="1" hidden="1" outlineLevel="1" x14ac:dyDescent="0.25">
      <c r="A82" s="44"/>
      <c r="B82" s="10" t="str">
        <f>CONCATENATE("          ", "4186", " - ", "NON-TAXABLE SALES-COMPUTER SUP")</f>
        <v xml:space="preserve">          4186 - NON-TAXABLE SALES-COMPUTER SUP</v>
      </c>
      <c r="C82" s="10"/>
      <c r="D82" s="2">
        <f>--133.97</f>
        <v>133.97</v>
      </c>
      <c r="E82" s="2"/>
      <c r="F82" s="19"/>
      <c r="G82" s="2"/>
      <c r="H82" s="2">
        <f>--85.95</f>
        <v>85.95</v>
      </c>
      <c r="I82" s="2"/>
      <c r="J82" s="19"/>
      <c r="K82" s="2"/>
      <c r="L82" s="2">
        <f t="shared" si="0"/>
        <v>48.019999999999996</v>
      </c>
      <c r="M82" s="2"/>
      <c r="N82" s="19">
        <f t="shared" si="1"/>
        <v>0.55869691681209999</v>
      </c>
      <c r="O82" s="10"/>
      <c r="P82" s="2">
        <f>--3479.14</f>
        <v>3479.14</v>
      </c>
      <c r="Q82" s="2"/>
      <c r="R82" s="19"/>
      <c r="S82" s="2"/>
      <c r="T82" s="2">
        <f>--2895.11</f>
        <v>2895.11</v>
      </c>
      <c r="U82" s="2"/>
      <c r="V82" s="19"/>
      <c r="W82" s="2"/>
      <c r="X82" s="2">
        <f t="shared" si="2"/>
        <v>584.02999999999975</v>
      </c>
      <c r="Y82" s="2"/>
      <c r="Z82" s="19">
        <f t="shared" si="3"/>
        <v>0.20172981337496665</v>
      </c>
    </row>
    <row r="83" spans="1:26" s="23" customFormat="1" hidden="1" outlineLevel="1" x14ac:dyDescent="0.25">
      <c r="A83" s="44"/>
      <c r="B83" s="10" t="str">
        <f>CONCATENATE("          ", "4188", " - ", "NON-TAXABLE SALES-MUSIC")</f>
        <v xml:space="preserve">          4188 - NON-TAXABLE SALES-MUSIC</v>
      </c>
      <c r="C83" s="10"/>
      <c r="D83" s="2">
        <f t="shared" ref="D83:D84" si="18">0</f>
        <v>0</v>
      </c>
      <c r="E83" s="2"/>
      <c r="F83" s="19"/>
      <c r="G83" s="2"/>
      <c r="H83" s="2">
        <f>--123.98</f>
        <v>123.98</v>
      </c>
      <c r="I83" s="2"/>
      <c r="J83" s="19"/>
      <c r="K83" s="2"/>
      <c r="L83" s="2">
        <f t="shared" si="0"/>
        <v>-123.98</v>
      </c>
      <c r="M83" s="2"/>
      <c r="N83" s="19">
        <f t="shared" si="1"/>
        <v>-1</v>
      </c>
      <c r="O83" s="10"/>
      <c r="P83" s="2">
        <f t="shared" ref="P83:P84" si="19">0</f>
        <v>0</v>
      </c>
      <c r="Q83" s="2"/>
      <c r="R83" s="19"/>
      <c r="S83" s="2"/>
      <c r="T83" s="2">
        <f>--343.94</f>
        <v>343.94</v>
      </c>
      <c r="U83" s="2"/>
      <c r="V83" s="19"/>
      <c r="W83" s="2"/>
      <c r="X83" s="2">
        <f t="shared" si="2"/>
        <v>-343.94</v>
      </c>
      <c r="Y83" s="2"/>
      <c r="Z83" s="19">
        <f t="shared" si="3"/>
        <v>-1</v>
      </c>
    </row>
    <row r="84" spans="1:26" s="23" customFormat="1" hidden="1" outlineLevel="1" x14ac:dyDescent="0.25">
      <c r="A84" s="44"/>
      <c r="B84" s="10" t="str">
        <f>CONCATENATE("          ", "4192", " - ", "NON-TAXABLE SALES-GRAD MERCH")</f>
        <v xml:space="preserve">          4192 - NON-TAXABLE SALES-GRAD MERCH</v>
      </c>
      <c r="C84" s="10"/>
      <c r="D84" s="2">
        <f t="shared" si="18"/>
        <v>0</v>
      </c>
      <c r="E84" s="2"/>
      <c r="F84" s="19"/>
      <c r="G84" s="2"/>
      <c r="H84" s="2">
        <f>--119.4</f>
        <v>119.4</v>
      </c>
      <c r="I84" s="2"/>
      <c r="J84" s="19"/>
      <c r="K84" s="2"/>
      <c r="L84" s="2">
        <f t="shared" si="0"/>
        <v>-119.4</v>
      </c>
      <c r="M84" s="2"/>
      <c r="N84" s="19">
        <f t="shared" si="1"/>
        <v>-1</v>
      </c>
      <c r="O84" s="10"/>
      <c r="P84" s="2">
        <f t="shared" si="19"/>
        <v>0</v>
      </c>
      <c r="Q84" s="2"/>
      <c r="R84" s="19"/>
      <c r="S84" s="2"/>
      <c r="T84" s="2">
        <f>--119.4</f>
        <v>119.4</v>
      </c>
      <c r="U84" s="2"/>
      <c r="V84" s="19"/>
      <c r="W84" s="2"/>
      <c r="X84" s="2">
        <f t="shared" si="2"/>
        <v>-119.4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"4201", " - ", "SALES RETURN TAXABLE-NEW TEXT")</f>
        <v xml:space="preserve">          4201 - SALES RETURN TAXABLE-NEW TEXT</v>
      </c>
      <c r="C85" s="10"/>
      <c r="D85" s="2">
        <f>-658.4</f>
        <v>-658.4</v>
      </c>
      <c r="E85" s="2"/>
      <c r="F85" s="19"/>
      <c r="G85" s="2"/>
      <c r="H85" s="2">
        <f>-228.6</f>
        <v>-228.6</v>
      </c>
      <c r="I85" s="2"/>
      <c r="J85" s="19"/>
      <c r="K85" s="2"/>
      <c r="L85" s="2">
        <f t="shared" si="0"/>
        <v>-429.79999999999995</v>
      </c>
      <c r="M85" s="2"/>
      <c r="N85" s="19">
        <f t="shared" si="1"/>
        <v>1.8801399825021872</v>
      </c>
      <c r="O85" s="10"/>
      <c r="P85" s="2">
        <f>-52296.42</f>
        <v>-52296.42</v>
      </c>
      <c r="Q85" s="2"/>
      <c r="R85" s="19"/>
      <c r="S85" s="2"/>
      <c r="T85" s="2">
        <f>-121451.61</f>
        <v>-121451.61</v>
      </c>
      <c r="U85" s="2"/>
      <c r="V85" s="19"/>
      <c r="W85" s="2"/>
      <c r="X85" s="2">
        <f t="shared" si="2"/>
        <v>69155.19</v>
      </c>
      <c r="Y85" s="2"/>
      <c r="Z85" s="19">
        <f t="shared" si="3"/>
        <v>-0.56940529647980787</v>
      </c>
    </row>
    <row r="86" spans="1:26" s="23" customFormat="1" hidden="1" outlineLevel="1" x14ac:dyDescent="0.25">
      <c r="A86" s="44"/>
      <c r="B86" s="10" t="str">
        <f>CONCATENATE("          ", "4202", " - ", "SALES RETURN TAXABLE-USED TEXT")</f>
        <v xml:space="preserve">          4202 - SALES RETURN TAXABLE-USED TEXT</v>
      </c>
      <c r="C86" s="10"/>
      <c r="D86" s="2">
        <f>-359.4</f>
        <v>-359.4</v>
      </c>
      <c r="E86" s="2"/>
      <c r="F86" s="19"/>
      <c r="G86" s="2"/>
      <c r="H86" s="2">
        <f>-60.4</f>
        <v>-60.4</v>
      </c>
      <c r="I86" s="2"/>
      <c r="J86" s="19"/>
      <c r="K86" s="2"/>
      <c r="L86" s="2">
        <f t="shared" si="0"/>
        <v>-299</v>
      </c>
      <c r="M86" s="2"/>
      <c r="N86" s="19">
        <f t="shared" si="1"/>
        <v>4.9503311258278151</v>
      </c>
      <c r="O86" s="10"/>
      <c r="P86" s="2">
        <f>-20455.66</f>
        <v>-20455.66</v>
      </c>
      <c r="Q86" s="2"/>
      <c r="R86" s="19"/>
      <c r="S86" s="2"/>
      <c r="T86" s="2">
        <f>-45613.11</f>
        <v>-45613.11</v>
      </c>
      <c r="U86" s="2"/>
      <c r="V86" s="19"/>
      <c r="W86" s="2"/>
      <c r="X86" s="2">
        <f t="shared" si="2"/>
        <v>25157.45</v>
      </c>
      <c r="Y86" s="2"/>
      <c r="Z86" s="19">
        <f t="shared" si="3"/>
        <v>-0.55153989719183805</v>
      </c>
    </row>
    <row r="87" spans="1:26" s="23" customFormat="1" hidden="1" outlineLevel="1" x14ac:dyDescent="0.25">
      <c r="A87" s="44"/>
      <c r="B87" s="10" t="str">
        <f>CONCATENATE("          ", "4203", " - ", "SALES RETURN TAXABLE-RENTAL TE")</f>
        <v xml:space="preserve">          4203 - SALES RETURN TAXABLE-RENTAL TE</v>
      </c>
      <c r="C87" s="10"/>
      <c r="D87" s="2">
        <f t="shared" ref="D87:D88" si="20">0</f>
        <v>0</v>
      </c>
      <c r="E87" s="2"/>
      <c r="F87" s="19"/>
      <c r="G87" s="2"/>
      <c r="H87" s="2">
        <f t="shared" ref="H87:H92" si="21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0"/>
      <c r="P87" s="2">
        <f>0</f>
        <v>0</v>
      </c>
      <c r="Q87" s="2"/>
      <c r="R87" s="19"/>
      <c r="S87" s="2"/>
      <c r="T87" s="2">
        <f>-144.99</f>
        <v>-144.99</v>
      </c>
      <c r="U87" s="2"/>
      <c r="V87" s="19"/>
      <c r="W87" s="2"/>
      <c r="X87" s="2">
        <f t="shared" si="2"/>
        <v>144.99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"4204", " - ", "SALES RETURN TAXABLE-DIGITAL T")</f>
        <v xml:space="preserve">          4204 - SALES RETURN TAXABLE-DIGITAL T</v>
      </c>
      <c r="C88" s="10"/>
      <c r="D88" s="2">
        <f t="shared" si="20"/>
        <v>0</v>
      </c>
      <c r="E88" s="2"/>
      <c r="F88" s="19"/>
      <c r="G88" s="2"/>
      <c r="H88" s="2">
        <f t="shared" si="21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>-1763.1</f>
        <v>-1763.1</v>
      </c>
      <c r="Q88" s="2"/>
      <c r="R88" s="19"/>
      <c r="S88" s="2"/>
      <c r="T88" s="2">
        <f>-17255.33</f>
        <v>-17255.330000000002</v>
      </c>
      <c r="U88" s="2"/>
      <c r="V88" s="19"/>
      <c r="W88" s="2"/>
      <c r="X88" s="2">
        <f t="shared" si="2"/>
        <v>15492.230000000001</v>
      </c>
      <c r="Y88" s="2"/>
      <c r="Z88" s="19">
        <f t="shared" si="3"/>
        <v>-0.89782287559843832</v>
      </c>
    </row>
    <row r="89" spans="1:26" s="23" customFormat="1" hidden="1" outlineLevel="1" x14ac:dyDescent="0.25">
      <c r="A89" s="44"/>
      <c r="B89" s="10" t="str">
        <f>CONCATENATE("          ", "4213", " - ", "NON-TAXABLE SALES-TRADE BOOKS")</f>
        <v xml:space="preserve">          4213 - NON-TAXABLE SALES-TRADE BOOKS</v>
      </c>
      <c r="C89" s="10"/>
      <c r="D89" s="2">
        <f>-8.99</f>
        <v>-8.99</v>
      </c>
      <c r="E89" s="2"/>
      <c r="F89" s="19"/>
      <c r="G89" s="2"/>
      <c r="H89" s="2">
        <f t="shared" si="21"/>
        <v>0</v>
      </c>
      <c r="I89" s="2"/>
      <c r="J89" s="19"/>
      <c r="K89" s="2"/>
      <c r="L89" s="2">
        <f t="shared" si="0"/>
        <v>-8.99</v>
      </c>
      <c r="M89" s="2"/>
      <c r="N89" s="19">
        <f t="shared" si="1"/>
        <v>0</v>
      </c>
      <c r="O89" s="10"/>
      <c r="P89" s="2">
        <f>-78.92</f>
        <v>-78.92</v>
      </c>
      <c r="Q89" s="2"/>
      <c r="R89" s="19"/>
      <c r="S89" s="2"/>
      <c r="T89" s="2">
        <f>-2768.67</f>
        <v>-2768.67</v>
      </c>
      <c r="U89" s="2"/>
      <c r="V89" s="19"/>
      <c r="W89" s="2"/>
      <c r="X89" s="2">
        <f t="shared" si="2"/>
        <v>2689.75</v>
      </c>
      <c r="Y89" s="2"/>
      <c r="Z89" s="19">
        <f t="shared" si="3"/>
        <v>-0.97149533891724182</v>
      </c>
    </row>
    <row r="90" spans="1:26" s="23" customFormat="1" hidden="1" outlineLevel="1" x14ac:dyDescent="0.25">
      <c r="A90" s="44"/>
      <c r="B90" s="10" t="str">
        <f>CONCATENATE("          ", "4214", " - ", "SALES RETURN TAXABLE-REMAINDER")</f>
        <v xml:space="preserve">          4214 - SALES RETURN TAXABLE-REMAINDER</v>
      </c>
      <c r="C90" s="10"/>
      <c r="D90" s="2">
        <f t="shared" ref="D90:D93" si="22">0</f>
        <v>0</v>
      </c>
      <c r="E90" s="2"/>
      <c r="F90" s="19"/>
      <c r="G90" s="2"/>
      <c r="H90" s="2">
        <f t="shared" si="21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0"/>
      <c r="P90" s="2">
        <f t="shared" ref="P90:P91" si="23">0</f>
        <v>0</v>
      </c>
      <c r="Q90" s="2"/>
      <c r="R90" s="19"/>
      <c r="S90" s="2"/>
      <c r="T90" s="2">
        <f>-11.94</f>
        <v>-11.94</v>
      </c>
      <c r="U90" s="2"/>
      <c r="V90" s="19"/>
      <c r="W90" s="2"/>
      <c r="X90" s="2">
        <f t="shared" si="2"/>
        <v>11.94</v>
      </c>
      <c r="Y90" s="2"/>
      <c r="Z90" s="19">
        <f t="shared" si="3"/>
        <v>-1</v>
      </c>
    </row>
    <row r="91" spans="1:26" s="23" customFormat="1" hidden="1" outlineLevel="1" x14ac:dyDescent="0.25">
      <c r="A91" s="44"/>
      <c r="B91" s="10" t="str">
        <f>CONCATENATE("          ", "4217", " - ", "NON-TAXABLE SALES-DORM/HOUSEWA")</f>
        <v xml:space="preserve">          4217 - NON-TAXABLE SALES-DORM/HOUSEWA</v>
      </c>
      <c r="C91" s="10"/>
      <c r="D91" s="2">
        <f t="shared" si="22"/>
        <v>0</v>
      </c>
      <c r="E91" s="2"/>
      <c r="F91" s="19"/>
      <c r="G91" s="2"/>
      <c r="H91" s="2">
        <f t="shared" si="21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 t="shared" si="23"/>
        <v>0</v>
      </c>
      <c r="Q91" s="2"/>
      <c r="R91" s="19"/>
      <c r="S91" s="2"/>
      <c r="T91" s="2">
        <f>-2.98</f>
        <v>-2.98</v>
      </c>
      <c r="U91" s="2"/>
      <c r="V91" s="19"/>
      <c r="W91" s="2"/>
      <c r="X91" s="2">
        <f t="shared" si="2"/>
        <v>2.98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"4218", " - ", "SALES RETURN TAXABLE-STUDY GUI")</f>
        <v xml:space="preserve">          4218 - SALES RETURN TAXABLE-STUDY GUI</v>
      </c>
      <c r="C92" s="10"/>
      <c r="D92" s="2">
        <f t="shared" si="22"/>
        <v>0</v>
      </c>
      <c r="E92" s="2"/>
      <c r="F92" s="19"/>
      <c r="G92" s="2"/>
      <c r="H92" s="2">
        <f t="shared" si="21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0"/>
      <c r="P92" s="2">
        <f>-5.21</f>
        <v>-5.21</v>
      </c>
      <c r="Q92" s="2"/>
      <c r="R92" s="19"/>
      <c r="S92" s="2"/>
      <c r="T92" s="2">
        <f>-39.25</f>
        <v>-39.25</v>
      </c>
      <c r="U92" s="2"/>
      <c r="V92" s="19"/>
      <c r="W92" s="2"/>
      <c r="X92" s="2">
        <f t="shared" si="2"/>
        <v>34.04</v>
      </c>
      <c r="Y92" s="2"/>
      <c r="Z92" s="19">
        <f t="shared" si="3"/>
        <v>-0.86726114649681529</v>
      </c>
    </row>
    <row r="93" spans="1:26" s="23" customFormat="1" hidden="1" outlineLevel="1" x14ac:dyDescent="0.25">
      <c r="A93" s="44"/>
      <c r="B93" s="10" t="str">
        <f>CONCATENATE("          ", "4225", " - ", "SALES RETURN TAXABLE-TEST FORM")</f>
        <v xml:space="preserve">          4225 - SALES RETURN TAXABLE-TEST FORM</v>
      </c>
      <c r="C93" s="10"/>
      <c r="D93" s="2">
        <f t="shared" si="22"/>
        <v>0</v>
      </c>
      <c r="E93" s="2"/>
      <c r="F93" s="19"/>
      <c r="G93" s="2"/>
      <c r="H93" s="2">
        <f>-29.5</f>
        <v>-29.5</v>
      </c>
      <c r="I93" s="2"/>
      <c r="J93" s="19"/>
      <c r="K93" s="2"/>
      <c r="L93" s="2">
        <f t="shared" si="0"/>
        <v>29.5</v>
      </c>
      <c r="M93" s="2"/>
      <c r="N93" s="19">
        <f t="shared" si="1"/>
        <v>-1</v>
      </c>
      <c r="O93" s="10"/>
      <c r="P93" s="2">
        <f>0</f>
        <v>0</v>
      </c>
      <c r="Q93" s="2"/>
      <c r="R93" s="19"/>
      <c r="S93" s="2"/>
      <c r="T93" s="2">
        <f>-205.91</f>
        <v>-205.91</v>
      </c>
      <c r="U93" s="2"/>
      <c r="V93" s="19"/>
      <c r="W93" s="2"/>
      <c r="X93" s="2">
        <f t="shared" si="2"/>
        <v>205.91</v>
      </c>
      <c r="Y93" s="2"/>
      <c r="Z93" s="19">
        <f t="shared" si="3"/>
        <v>-1</v>
      </c>
    </row>
    <row r="94" spans="1:26" s="23" customFormat="1" hidden="1" outlineLevel="1" x14ac:dyDescent="0.25">
      <c r="A94" s="44"/>
      <c r="B94" s="10" t="str">
        <f>CONCATENATE("          ", "4226", " - ", "SALES RETURN TAXABLE-WRITING I")</f>
        <v xml:space="preserve">          4226 - SALES RETURN TAXABLE-WRITING I</v>
      </c>
      <c r="C94" s="10"/>
      <c r="D94" s="2">
        <f>-0.79</f>
        <v>-0.79</v>
      </c>
      <c r="E94" s="2"/>
      <c r="F94" s="19"/>
      <c r="G94" s="2"/>
      <c r="H94" s="2">
        <f>-159.4</f>
        <v>-159.4</v>
      </c>
      <c r="I94" s="2"/>
      <c r="J94" s="19"/>
      <c r="K94" s="2"/>
      <c r="L94" s="2">
        <f t="shared" si="0"/>
        <v>158.61000000000001</v>
      </c>
      <c r="M94" s="2"/>
      <c r="N94" s="19">
        <f t="shared" si="1"/>
        <v>-0.99504391468005027</v>
      </c>
      <c r="O94" s="10"/>
      <c r="P94" s="2">
        <f>-35.02</f>
        <v>-35.020000000000003</v>
      </c>
      <c r="Q94" s="2"/>
      <c r="R94" s="19"/>
      <c r="S94" s="2"/>
      <c r="T94" s="2">
        <f>-924.44</f>
        <v>-924.44</v>
      </c>
      <c r="U94" s="2"/>
      <c r="V94" s="19"/>
      <c r="W94" s="2"/>
      <c r="X94" s="2">
        <f t="shared" si="2"/>
        <v>889.42000000000007</v>
      </c>
      <c r="Y94" s="2"/>
      <c r="Z94" s="19">
        <f t="shared" si="3"/>
        <v>-0.96211760633464583</v>
      </c>
    </row>
    <row r="95" spans="1:26" s="23" customFormat="1" hidden="1" outlineLevel="1" x14ac:dyDescent="0.25">
      <c r="A95" s="44"/>
      <c r="B95" s="10" t="str">
        <f>CONCATENATE("          ", "4227", " - ", "SALES RETURN TAXABLE-SCHOOL SU")</f>
        <v xml:space="preserve">          4227 - SALES RETURN TAXABLE-SCHOOL SU</v>
      </c>
      <c r="C95" s="10"/>
      <c r="D95" s="2">
        <f>-137.82</f>
        <v>-137.82</v>
      </c>
      <c r="E95" s="2"/>
      <c r="F95" s="19"/>
      <c r="G95" s="2"/>
      <c r="H95" s="2">
        <f>-53.42</f>
        <v>-53.42</v>
      </c>
      <c r="I95" s="2"/>
      <c r="J95" s="19"/>
      <c r="K95" s="2"/>
      <c r="L95" s="2">
        <f t="shared" si="0"/>
        <v>-84.399999999999991</v>
      </c>
      <c r="M95" s="2"/>
      <c r="N95" s="19">
        <f t="shared" si="1"/>
        <v>1.5799326095095467</v>
      </c>
      <c r="O95" s="10"/>
      <c r="P95" s="2">
        <f>-1484.48</f>
        <v>-1484.48</v>
      </c>
      <c r="Q95" s="2"/>
      <c r="R95" s="19"/>
      <c r="S95" s="2"/>
      <c r="T95" s="2">
        <f>-8647.03</f>
        <v>-8647.0300000000007</v>
      </c>
      <c r="U95" s="2"/>
      <c r="V95" s="19"/>
      <c r="W95" s="2"/>
      <c r="X95" s="2">
        <f t="shared" si="2"/>
        <v>7162.5500000000011</v>
      </c>
      <c r="Y95" s="2"/>
      <c r="Z95" s="19">
        <f t="shared" si="3"/>
        <v>-0.82832486992643728</v>
      </c>
    </row>
    <row r="96" spans="1:26" s="23" customFormat="1" hidden="1" outlineLevel="1" x14ac:dyDescent="0.25">
      <c r="A96" s="44"/>
      <c r="B96" s="10" t="str">
        <f>CONCATENATE("          ", "4228", " - ", "SALES RETURN TAXABLE-ART/TECH")</f>
        <v xml:space="preserve">          4228 - SALES RETURN TAXABLE-ART/TECH</v>
      </c>
      <c r="C96" s="10"/>
      <c r="D96" s="2">
        <f t="shared" ref="D96:D97" si="24">0</f>
        <v>0</v>
      </c>
      <c r="E96" s="2"/>
      <c r="F96" s="19"/>
      <c r="G96" s="2"/>
      <c r="H96" s="2">
        <f t="shared" ref="H96:H97" si="25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>-12973.73</f>
        <v>-12973.73</v>
      </c>
      <c r="Q96" s="2"/>
      <c r="R96" s="19"/>
      <c r="S96" s="2"/>
      <c r="T96" s="2">
        <f>-4739.1</f>
        <v>-4739.1000000000004</v>
      </c>
      <c r="U96" s="2"/>
      <c r="V96" s="19"/>
      <c r="W96" s="2"/>
      <c r="X96" s="2">
        <f t="shared" si="2"/>
        <v>-8234.6299999999992</v>
      </c>
      <c r="Y96" s="2"/>
      <c r="Z96" s="19">
        <f t="shared" si="3"/>
        <v>1.7375936359224322</v>
      </c>
    </row>
    <row r="97" spans="1:26" s="23" customFormat="1" hidden="1" outlineLevel="1" x14ac:dyDescent="0.25">
      <c r="A97" s="44"/>
      <c r="B97" s="10" t="str">
        <f>CONCATENATE("          ", "4233", " - ", "SALES RETURN TAXABLE-CANDY")</f>
        <v xml:space="preserve">          4233 - SALES RETURN TAXABLE-CANDY</v>
      </c>
      <c r="C97" s="10"/>
      <c r="D97" s="2">
        <f t="shared" si="24"/>
        <v>0</v>
      </c>
      <c r="E97" s="2"/>
      <c r="F97" s="19"/>
      <c r="G97" s="2"/>
      <c r="H97" s="2">
        <f t="shared" si="25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0"/>
      <c r="P97" s="2">
        <f>0</f>
        <v>0</v>
      </c>
      <c r="Q97" s="2"/>
      <c r="R97" s="19"/>
      <c r="S97" s="2"/>
      <c r="T97" s="2">
        <f>-8.25</f>
        <v>-8.25</v>
      </c>
      <c r="U97" s="2"/>
      <c r="V97" s="19"/>
      <c r="W97" s="2"/>
      <c r="X97" s="2">
        <f t="shared" si="2"/>
        <v>8.25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"4240", " - ", "SALES RETURN TAXABLE-LOGO CLOT")</f>
        <v xml:space="preserve">          4240 - SALES RETURN TAXABLE-LOGO CLOT</v>
      </c>
      <c r="C98" s="10"/>
      <c r="D98" s="2">
        <f>-6427.17</f>
        <v>-6427.17</v>
      </c>
      <c r="E98" s="2"/>
      <c r="F98" s="19"/>
      <c r="G98" s="2"/>
      <c r="H98" s="2">
        <f>-3229.58</f>
        <v>-3229.58</v>
      </c>
      <c r="I98" s="2"/>
      <c r="J98" s="19"/>
      <c r="K98" s="2"/>
      <c r="L98" s="2">
        <f t="shared" si="0"/>
        <v>-3197.59</v>
      </c>
      <c r="M98" s="2"/>
      <c r="N98" s="19">
        <f t="shared" si="1"/>
        <v>0.99009468723487271</v>
      </c>
      <c r="O98" s="10"/>
      <c r="P98" s="2">
        <f>-47093.44</f>
        <v>-47093.440000000002</v>
      </c>
      <c r="Q98" s="2"/>
      <c r="R98" s="19"/>
      <c r="S98" s="2"/>
      <c r="T98" s="2">
        <f>-77684.77</f>
        <v>-77684.77</v>
      </c>
      <c r="U98" s="2"/>
      <c r="V98" s="19"/>
      <c r="W98" s="2"/>
      <c r="X98" s="2">
        <f t="shared" si="2"/>
        <v>30591.33</v>
      </c>
      <c r="Y98" s="2"/>
      <c r="Z98" s="19">
        <f t="shared" si="3"/>
        <v>-0.3937879973127294</v>
      </c>
    </row>
    <row r="99" spans="1:26" s="23" customFormat="1" hidden="1" outlineLevel="1" x14ac:dyDescent="0.25">
      <c r="A99" s="44"/>
      <c r="B99" s="10" t="str">
        <f>CONCATENATE("          ", "4241", " - ", "SALES RETURN TAXABLE-LOGO GIFT")</f>
        <v xml:space="preserve">          4241 - SALES RETURN TAXABLE-LOGO GIFT</v>
      </c>
      <c r="C99" s="10"/>
      <c r="D99" s="2">
        <f>-4505.29</f>
        <v>-4505.29</v>
      </c>
      <c r="E99" s="2"/>
      <c r="F99" s="19"/>
      <c r="G99" s="2"/>
      <c r="H99" s="2">
        <f>-1133.39</f>
        <v>-1133.3900000000001</v>
      </c>
      <c r="I99" s="2"/>
      <c r="J99" s="19"/>
      <c r="K99" s="2"/>
      <c r="L99" s="2">
        <f t="shared" si="0"/>
        <v>-3371.8999999999996</v>
      </c>
      <c r="M99" s="2"/>
      <c r="N99" s="19">
        <f t="shared" si="1"/>
        <v>2.9750571294964656</v>
      </c>
      <c r="O99" s="10"/>
      <c r="P99" s="2">
        <f>-16680.54</f>
        <v>-16680.54</v>
      </c>
      <c r="Q99" s="2"/>
      <c r="R99" s="19"/>
      <c r="S99" s="2"/>
      <c r="T99" s="2">
        <f>-7465.27</f>
        <v>-7465.27</v>
      </c>
      <c r="U99" s="2"/>
      <c r="V99" s="19"/>
      <c r="W99" s="2"/>
      <c r="X99" s="2">
        <f t="shared" si="2"/>
        <v>-9215.27</v>
      </c>
      <c r="Y99" s="2"/>
      <c r="Z99" s="19">
        <f t="shared" si="3"/>
        <v>1.2344188488828938</v>
      </c>
    </row>
    <row r="100" spans="1:26" s="23" customFormat="1" hidden="1" outlineLevel="1" x14ac:dyDescent="0.25">
      <c r="A100" s="44"/>
      <c r="B100" s="10" t="str">
        <f>CONCATENATE("          ", "4242", " - ", "SALES RETURN TAXABLE-EVERYDAY")</f>
        <v xml:space="preserve">          4242 - SALES RETURN TAXABLE-EVERYDAY</v>
      </c>
      <c r="C100" s="10"/>
      <c r="D100" s="2">
        <f>-107</f>
        <v>-107</v>
      </c>
      <c r="E100" s="2"/>
      <c r="F100" s="19"/>
      <c r="G100" s="2"/>
      <c r="H100" s="2">
        <f t="shared" ref="H100:H101" si="26">0</f>
        <v>0</v>
      </c>
      <c r="I100" s="2"/>
      <c r="J100" s="19"/>
      <c r="K100" s="2"/>
      <c r="L100" s="2">
        <f t="shared" si="0"/>
        <v>-107</v>
      </c>
      <c r="M100" s="2"/>
      <c r="N100" s="19">
        <f t="shared" si="1"/>
        <v>0</v>
      </c>
      <c r="O100" s="10"/>
      <c r="P100" s="2">
        <f>-2743.09</f>
        <v>-2743.09</v>
      </c>
      <c r="Q100" s="2"/>
      <c r="R100" s="19"/>
      <c r="S100" s="2"/>
      <c r="T100" s="2">
        <f>-4181.41</f>
        <v>-4181.41</v>
      </c>
      <c r="U100" s="2"/>
      <c r="V100" s="19"/>
      <c r="W100" s="2"/>
      <c r="X100" s="2">
        <f t="shared" si="2"/>
        <v>1438.3199999999997</v>
      </c>
      <c r="Y100" s="2"/>
      <c r="Z100" s="19">
        <f t="shared" si="3"/>
        <v>-0.34397966236269578</v>
      </c>
    </row>
    <row r="101" spans="1:26" s="23" customFormat="1" hidden="1" outlineLevel="1" x14ac:dyDescent="0.25">
      <c r="A101" s="44"/>
      <c r="B101" s="10" t="str">
        <f>CONCATENATE("          ", "4243", " - ", "SALES RETURN TAXABLE-CARDS")</f>
        <v xml:space="preserve">          4243 - SALES RETURN TAXABLE-CARDS</v>
      </c>
      <c r="C101" s="10"/>
      <c r="D101" s="2">
        <f>-76.9</f>
        <v>-76.900000000000006</v>
      </c>
      <c r="E101" s="2"/>
      <c r="F101" s="19"/>
      <c r="G101" s="2"/>
      <c r="H101" s="2">
        <f t="shared" si="26"/>
        <v>0</v>
      </c>
      <c r="I101" s="2"/>
      <c r="J101" s="19"/>
      <c r="K101" s="2"/>
      <c r="L101" s="2">
        <f t="shared" si="0"/>
        <v>-76.900000000000006</v>
      </c>
      <c r="M101" s="2"/>
      <c r="N101" s="19">
        <f t="shared" si="1"/>
        <v>0</v>
      </c>
      <c r="O101" s="10"/>
      <c r="P101" s="2">
        <f>-6218.99</f>
        <v>-6218.99</v>
      </c>
      <c r="Q101" s="2"/>
      <c r="R101" s="19"/>
      <c r="S101" s="2"/>
      <c r="T101" s="2">
        <f>-3006.31</f>
        <v>-3006.31</v>
      </c>
      <c r="U101" s="2"/>
      <c r="V101" s="19"/>
      <c r="W101" s="2"/>
      <c r="X101" s="2">
        <f t="shared" si="2"/>
        <v>-3212.68</v>
      </c>
      <c r="Y101" s="2"/>
      <c r="Z101" s="19">
        <f t="shared" si="3"/>
        <v>1.0686456153889652</v>
      </c>
    </row>
    <row r="102" spans="1:26" s="23" customFormat="1" hidden="1" outlineLevel="1" x14ac:dyDescent="0.25">
      <c r="A102" s="44"/>
      <c r="B102" s="10" t="str">
        <f>CONCATENATE("          ", "4244", " - ", "SALES RETURN TAXABLE-ACCESSORI")</f>
        <v xml:space="preserve">          4244 - SALES RETURN TAXABLE-ACCESSORI</v>
      </c>
      <c r="C102" s="10"/>
      <c r="D102" s="2">
        <f>-24.41</f>
        <v>-24.41</v>
      </c>
      <c r="E102" s="2"/>
      <c r="F102" s="19"/>
      <c r="G102" s="2"/>
      <c r="H102" s="2">
        <f>-255.71</f>
        <v>-255.71</v>
      </c>
      <c r="I102" s="2"/>
      <c r="J102" s="19"/>
      <c r="K102" s="2"/>
      <c r="L102" s="2">
        <f t="shared" si="0"/>
        <v>231.3</v>
      </c>
      <c r="M102" s="2"/>
      <c r="N102" s="19">
        <f t="shared" si="1"/>
        <v>-0.90454029955809312</v>
      </c>
      <c r="O102" s="10"/>
      <c r="P102" s="2">
        <f>-1267.91</f>
        <v>-1267.9100000000001</v>
      </c>
      <c r="Q102" s="2"/>
      <c r="R102" s="19"/>
      <c r="S102" s="2"/>
      <c r="T102" s="2">
        <f>-2726.41</f>
        <v>-2726.41</v>
      </c>
      <c r="U102" s="2"/>
      <c r="V102" s="19"/>
      <c r="W102" s="2"/>
      <c r="X102" s="2">
        <f t="shared" si="2"/>
        <v>1458.4999999999998</v>
      </c>
      <c r="Y102" s="2"/>
      <c r="Z102" s="19">
        <f t="shared" si="3"/>
        <v>-0.5349525566587563</v>
      </c>
    </row>
    <row r="103" spans="1:26" s="23" customFormat="1" hidden="1" outlineLevel="1" x14ac:dyDescent="0.25">
      <c r="A103" s="44"/>
      <c r="B103" s="10" t="str">
        <f>CONCATENATE("          ", "4245", " - ", "SALES RETURN TAXABLE-SPECIAL O")</f>
        <v xml:space="preserve">          4245 - SALES RETURN TAXABLE-SPECIAL O</v>
      </c>
      <c r="C103" s="10"/>
      <c r="D103" s="2">
        <f>-36</f>
        <v>-36</v>
      </c>
      <c r="E103" s="2"/>
      <c r="F103" s="19"/>
      <c r="G103" s="2"/>
      <c r="H103" s="2">
        <f>-175</f>
        <v>-175</v>
      </c>
      <c r="I103" s="2"/>
      <c r="J103" s="19"/>
      <c r="K103" s="2"/>
      <c r="L103" s="2">
        <f t="shared" si="0"/>
        <v>139</v>
      </c>
      <c r="M103" s="2"/>
      <c r="N103" s="19">
        <f t="shared" si="1"/>
        <v>-0.79428571428571426</v>
      </c>
      <c r="O103" s="10"/>
      <c r="P103" s="2">
        <f>-15460.73</f>
        <v>-15460.73</v>
      </c>
      <c r="Q103" s="2"/>
      <c r="R103" s="19"/>
      <c r="S103" s="2"/>
      <c r="T103" s="2">
        <f>-1910.03</f>
        <v>-1910.03</v>
      </c>
      <c r="U103" s="2"/>
      <c r="V103" s="19"/>
      <c r="W103" s="2"/>
      <c r="X103" s="2">
        <f t="shared" si="2"/>
        <v>-13550.699999999999</v>
      </c>
      <c r="Y103" s="2"/>
      <c r="Z103" s="19">
        <f t="shared" si="3"/>
        <v>7.0944958979701882</v>
      </c>
    </row>
    <row r="104" spans="1:26" s="23" customFormat="1" hidden="1" outlineLevel="1" x14ac:dyDescent="0.25">
      <c r="A104" s="44"/>
      <c r="B104" s="10" t="str">
        <f>CONCATENATE("          ", "4281", " - ", "SALES RETURN TAXABLE-ELECTRONI")</f>
        <v xml:space="preserve">          4281 - SALES RETURN TAXABLE-ELECTRONI</v>
      </c>
      <c r="C104" s="10"/>
      <c r="D104" s="2">
        <f>-79.99</f>
        <v>-79.989999999999995</v>
      </c>
      <c r="E104" s="2"/>
      <c r="F104" s="19"/>
      <c r="G104" s="2"/>
      <c r="H104" s="2">
        <f>-159</f>
        <v>-159</v>
      </c>
      <c r="I104" s="2"/>
      <c r="J104" s="19"/>
      <c r="K104" s="2"/>
      <c r="L104" s="2">
        <f t="shared" si="0"/>
        <v>79.010000000000005</v>
      </c>
      <c r="M104" s="2"/>
      <c r="N104" s="19">
        <f t="shared" si="1"/>
        <v>-0.49691823899371074</v>
      </c>
      <c r="O104" s="10"/>
      <c r="P104" s="2">
        <f>-14842.13</f>
        <v>-14842.13</v>
      </c>
      <c r="Q104" s="2"/>
      <c r="R104" s="19"/>
      <c r="S104" s="2"/>
      <c r="T104" s="2">
        <f>-7995.67</f>
        <v>-7995.67</v>
      </c>
      <c r="U104" s="2"/>
      <c r="V104" s="19"/>
      <c r="W104" s="2"/>
      <c r="X104" s="2">
        <f t="shared" si="2"/>
        <v>-6846.4599999999991</v>
      </c>
      <c r="Y104" s="2"/>
      <c r="Z104" s="19">
        <f t="shared" si="3"/>
        <v>0.85627095665528952</v>
      </c>
    </row>
    <row r="105" spans="1:26" s="23" customFormat="1" hidden="1" outlineLevel="1" x14ac:dyDescent="0.25">
      <c r="A105" s="44"/>
      <c r="B105" s="10" t="str">
        <f>CONCATENATE("          ", "4282", " - ", "SALES RETURN TAXABLE-COMPUTER")</f>
        <v xml:space="preserve">          4282 - SALES RETURN TAXABLE-COMPUTER</v>
      </c>
      <c r="C105" s="10"/>
      <c r="D105" s="2">
        <f>-25075.01</f>
        <v>-25075.01</v>
      </c>
      <c r="E105" s="2"/>
      <c r="F105" s="19"/>
      <c r="G105" s="2"/>
      <c r="H105" s="2">
        <f>-183</f>
        <v>-183</v>
      </c>
      <c r="I105" s="2"/>
      <c r="J105" s="19"/>
      <c r="K105" s="2"/>
      <c r="L105" s="2">
        <f t="shared" si="0"/>
        <v>-24892.01</v>
      </c>
      <c r="M105" s="2"/>
      <c r="N105" s="19">
        <f t="shared" si="1"/>
        <v>136.02191256830599</v>
      </c>
      <c r="O105" s="10"/>
      <c r="P105" s="2">
        <f>-240220.17</f>
        <v>-240220.17</v>
      </c>
      <c r="Q105" s="2"/>
      <c r="R105" s="19"/>
      <c r="S105" s="2"/>
      <c r="T105" s="2">
        <f>-215628.8</f>
        <v>-215628.79999999999</v>
      </c>
      <c r="U105" s="2"/>
      <c r="V105" s="19"/>
      <c r="W105" s="2"/>
      <c r="X105" s="2">
        <f t="shared" si="2"/>
        <v>-24591.370000000024</v>
      </c>
      <c r="Y105" s="2"/>
      <c r="Z105" s="19">
        <f t="shared" si="3"/>
        <v>0.11404492349815992</v>
      </c>
    </row>
    <row r="106" spans="1:26" s="23" customFormat="1" hidden="1" outlineLevel="1" x14ac:dyDescent="0.25">
      <c r="A106" s="44"/>
      <c r="B106" s="10" t="str">
        <f>CONCATENATE("          ", "4283", " - ", "SALES RETURN TAXABLE-COMPUTER")</f>
        <v xml:space="preserve">          4283 - SALES RETURN TAXABLE-COMPUTER</v>
      </c>
      <c r="C106" s="10"/>
      <c r="D106" s="2">
        <f>-181.97</f>
        <v>-181.97</v>
      </c>
      <c r="E106" s="2"/>
      <c r="F106" s="19"/>
      <c r="G106" s="2"/>
      <c r="H106" s="2">
        <f>-119</f>
        <v>-119</v>
      </c>
      <c r="I106" s="2"/>
      <c r="J106" s="19"/>
      <c r="K106" s="2"/>
      <c r="L106" s="2">
        <f t="shared" si="0"/>
        <v>-62.97</v>
      </c>
      <c r="M106" s="2"/>
      <c r="N106" s="19">
        <f t="shared" si="1"/>
        <v>0.52915966386554625</v>
      </c>
      <c r="O106" s="10"/>
      <c r="P106" s="2">
        <f>-4129.17</f>
        <v>-4129.17</v>
      </c>
      <c r="Q106" s="2"/>
      <c r="R106" s="19"/>
      <c r="S106" s="2"/>
      <c r="T106" s="2">
        <f>-6708.02</f>
        <v>-6708.02</v>
      </c>
      <c r="U106" s="2"/>
      <c r="V106" s="19"/>
      <c r="W106" s="2"/>
      <c r="X106" s="2">
        <f t="shared" si="2"/>
        <v>2578.8500000000004</v>
      </c>
      <c r="Y106" s="2"/>
      <c r="Z106" s="19">
        <f t="shared" si="3"/>
        <v>-0.38444280130351433</v>
      </c>
    </row>
    <row r="107" spans="1:26" s="23" customFormat="1" hidden="1" outlineLevel="1" x14ac:dyDescent="0.25">
      <c r="A107" s="44"/>
      <c r="B107" s="10" t="str">
        <f>CONCATENATE("          ", "4284", " - ", "SALES RETURN TAXABLE-SOFTWARE")</f>
        <v xml:space="preserve">          4284 - SALES RETURN TAXABLE-SOFTWARE</v>
      </c>
      <c r="C107" s="10"/>
      <c r="D107" s="2">
        <f t="shared" ref="D107:D112" si="27">0</f>
        <v>0</v>
      </c>
      <c r="E107" s="2"/>
      <c r="F107" s="19"/>
      <c r="G107" s="2"/>
      <c r="H107" s="2">
        <f t="shared" ref="H107:H109" si="28"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>0</f>
        <v>0</v>
      </c>
      <c r="Q107" s="2"/>
      <c r="R107" s="19"/>
      <c r="S107" s="2"/>
      <c r="T107" s="2">
        <f>-129</f>
        <v>-129</v>
      </c>
      <c r="U107" s="2"/>
      <c r="V107" s="19"/>
      <c r="W107" s="2"/>
      <c r="X107" s="2">
        <f t="shared" si="2"/>
        <v>129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"4285", " - ", "SALES RETURN TAXABLE-SOFTWARE")</f>
        <v xml:space="preserve">          4285 - SALES RETURN TAXABLE-SOFTWARE</v>
      </c>
      <c r="C108" s="10"/>
      <c r="D108" s="2">
        <f t="shared" si="27"/>
        <v>0</v>
      </c>
      <c r="E108" s="2"/>
      <c r="F108" s="19"/>
      <c r="G108" s="2"/>
      <c r="H108" s="2">
        <f t="shared" si="28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>-1091.79</f>
        <v>-1091.79</v>
      </c>
      <c r="Q108" s="2"/>
      <c r="R108" s="19"/>
      <c r="S108" s="2"/>
      <c r="T108" s="2">
        <f>-805.97</f>
        <v>-805.97</v>
      </c>
      <c r="U108" s="2"/>
      <c r="V108" s="19"/>
      <c r="W108" s="2"/>
      <c r="X108" s="2">
        <f t="shared" si="2"/>
        <v>-285.81999999999994</v>
      </c>
      <c r="Y108" s="2"/>
      <c r="Z108" s="19">
        <f t="shared" si="3"/>
        <v>0.35462858419047844</v>
      </c>
    </row>
    <row r="109" spans="1:26" s="23" customFormat="1" hidden="1" outlineLevel="1" x14ac:dyDescent="0.25">
      <c r="A109" s="44"/>
      <c r="B109" s="10" t="str">
        <f>CONCATENATE("          ", "4286", " - ", "SALES RETURN TAXABLE-COMPUTER")</f>
        <v xml:space="preserve">          4286 - SALES RETURN TAXABLE-COMPUTER</v>
      </c>
      <c r="C109" s="10"/>
      <c r="D109" s="2">
        <f t="shared" si="27"/>
        <v>0</v>
      </c>
      <c r="E109" s="2"/>
      <c r="F109" s="19"/>
      <c r="G109" s="2"/>
      <c r="H109" s="2">
        <f t="shared" si="28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>-4802.29</f>
        <v>-4802.29</v>
      </c>
      <c r="Q109" s="2"/>
      <c r="R109" s="19"/>
      <c r="S109" s="2"/>
      <c r="T109" s="2">
        <f>-3660.86</f>
        <v>-3660.86</v>
      </c>
      <c r="U109" s="2"/>
      <c r="V109" s="19"/>
      <c r="W109" s="2"/>
      <c r="X109" s="2">
        <f t="shared" si="2"/>
        <v>-1141.4299999999998</v>
      </c>
      <c r="Y109" s="2"/>
      <c r="Z109" s="19">
        <f t="shared" si="3"/>
        <v>0.31179285741601692</v>
      </c>
    </row>
    <row r="110" spans="1:26" s="23" customFormat="1" hidden="1" outlineLevel="1" x14ac:dyDescent="0.25">
      <c r="A110" s="44"/>
      <c r="B110" s="10" t="str">
        <f>CONCATENATE("          ", "4288", " - ", "TAXABLE SALES RETURN-MUSIC")</f>
        <v xml:space="preserve">          4288 - TAXABLE SALES RETURN-MUSIC</v>
      </c>
      <c r="C110" s="10"/>
      <c r="D110" s="2">
        <f t="shared" si="27"/>
        <v>0</v>
      </c>
      <c r="E110" s="2"/>
      <c r="F110" s="19"/>
      <c r="G110" s="2"/>
      <c r="H110" s="2">
        <f>-149</f>
        <v>-149</v>
      </c>
      <c r="I110" s="2"/>
      <c r="J110" s="19"/>
      <c r="K110" s="2"/>
      <c r="L110" s="2">
        <f t="shared" si="0"/>
        <v>149</v>
      </c>
      <c r="M110" s="2"/>
      <c r="N110" s="19">
        <f t="shared" si="1"/>
        <v>-1</v>
      </c>
      <c r="O110" s="10"/>
      <c r="P110" s="2">
        <f t="shared" ref="P110:P112" si="29">0</f>
        <v>0</v>
      </c>
      <c r="Q110" s="2"/>
      <c r="R110" s="19"/>
      <c r="S110" s="2"/>
      <c r="T110" s="2">
        <f>-152.99</f>
        <v>-152.99</v>
      </c>
      <c r="U110" s="2"/>
      <c r="V110" s="19"/>
      <c r="W110" s="2"/>
      <c r="X110" s="2">
        <f t="shared" si="2"/>
        <v>152.99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"4292", " - ", "SALES RETURN TAXABLE-GRAD MERC")</f>
        <v xml:space="preserve">          4292 - SALES RETURN TAXABLE-GRAD MERC</v>
      </c>
      <c r="C111" s="10"/>
      <c r="D111" s="2">
        <f t="shared" si="27"/>
        <v>0</v>
      </c>
      <c r="E111" s="2"/>
      <c r="F111" s="19"/>
      <c r="G111" s="2"/>
      <c r="H111" s="2">
        <f>-64.89</f>
        <v>-64.89</v>
      </c>
      <c r="I111" s="2"/>
      <c r="J111" s="19"/>
      <c r="K111" s="2"/>
      <c r="L111" s="2">
        <f t="shared" si="0"/>
        <v>64.89</v>
      </c>
      <c r="M111" s="2"/>
      <c r="N111" s="19">
        <f t="shared" si="1"/>
        <v>-1</v>
      </c>
      <c r="O111" s="10"/>
      <c r="P111" s="2">
        <f t="shared" si="29"/>
        <v>0</v>
      </c>
      <c r="Q111" s="2"/>
      <c r="R111" s="19"/>
      <c r="S111" s="2"/>
      <c r="T111" s="2">
        <f>-578.84</f>
        <v>-578.84</v>
      </c>
      <c r="U111" s="2"/>
      <c r="V111" s="19"/>
      <c r="W111" s="2"/>
      <c r="X111" s="2">
        <f t="shared" si="2"/>
        <v>578.84</v>
      </c>
      <c r="Y111" s="2"/>
      <c r="Z111" s="19">
        <f t="shared" si="3"/>
        <v>-1</v>
      </c>
    </row>
    <row r="112" spans="1:26" s="23" customFormat="1" hidden="1" outlineLevel="1" x14ac:dyDescent="0.25">
      <c r="A112" s="44"/>
      <c r="B112" s="10" t="str">
        <f>CONCATENATE("          ", "4295", " - ", "SALES RETURN TAXABLE-CUSTOMER")</f>
        <v xml:space="preserve">          4295 - SALES RETURN TAXABLE-CUSTOMER</v>
      </c>
      <c r="C112" s="10"/>
      <c r="D112" s="2">
        <f t="shared" si="27"/>
        <v>0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 t="shared" si="29"/>
        <v>0</v>
      </c>
      <c r="Q112" s="2"/>
      <c r="R112" s="19"/>
      <c r="S112" s="2"/>
      <c r="T112" s="2">
        <f>--0.99</f>
        <v>0.99</v>
      </c>
      <c r="U112" s="2"/>
      <c r="V112" s="19"/>
      <c r="W112" s="2"/>
      <c r="X112" s="2">
        <f t="shared" si="2"/>
        <v>-0.99</v>
      </c>
      <c r="Y112" s="2"/>
      <c r="Z112" s="19">
        <f t="shared" si="3"/>
        <v>-1</v>
      </c>
    </row>
    <row r="113" spans="1:26" s="23" customFormat="1" hidden="1" outlineLevel="1" x14ac:dyDescent="0.25">
      <c r="A113" s="44"/>
      <c r="B113" s="10" t="str">
        <f>CONCATENATE("          ", "4301", " - ", "SALES RETURN NON TAXABLE-NEW T")</f>
        <v xml:space="preserve">          4301 - SALES RETURN NON TAXABLE-NEW T</v>
      </c>
      <c r="C113" s="10"/>
      <c r="D113" s="2">
        <f>-1333.16</f>
        <v>-1333.16</v>
      </c>
      <c r="E113" s="2"/>
      <c r="F113" s="19"/>
      <c r="G113" s="2"/>
      <c r="H113" s="2">
        <f>-5710.44</f>
        <v>-5710.44</v>
      </c>
      <c r="I113" s="2"/>
      <c r="J113" s="19"/>
      <c r="K113" s="2"/>
      <c r="L113" s="2">
        <f t="shared" si="0"/>
        <v>4377.28</v>
      </c>
      <c r="M113" s="2"/>
      <c r="N113" s="19">
        <f t="shared" si="1"/>
        <v>-0.76653988134014195</v>
      </c>
      <c r="O113" s="10"/>
      <c r="P113" s="2">
        <f>-4796.36</f>
        <v>-4796.3599999999997</v>
      </c>
      <c r="Q113" s="2"/>
      <c r="R113" s="19"/>
      <c r="S113" s="2"/>
      <c r="T113" s="2">
        <f>-21289.87</f>
        <v>-21289.87</v>
      </c>
      <c r="U113" s="2"/>
      <c r="V113" s="19"/>
      <c r="W113" s="2"/>
      <c r="X113" s="2">
        <f t="shared" si="2"/>
        <v>16493.509999999998</v>
      </c>
      <c r="Y113" s="2"/>
      <c r="Z113" s="19">
        <f t="shared" si="3"/>
        <v>-0.77471163515794128</v>
      </c>
    </row>
    <row r="114" spans="1:26" s="23" customFormat="1" hidden="1" outlineLevel="1" x14ac:dyDescent="0.25">
      <c r="A114" s="44"/>
      <c r="B114" s="10" t="str">
        <f>CONCATENATE("          ", "4302", " - ", "SALES RETURN NON TAXABLE-TEXT")</f>
        <v xml:space="preserve">          4302 - SALES RETURN NON TAXABLE-TEXT</v>
      </c>
      <c r="C114" s="10"/>
      <c r="D114" s="2">
        <f>-134.22</f>
        <v>-134.22</v>
      </c>
      <c r="E114" s="2"/>
      <c r="F114" s="19"/>
      <c r="G114" s="2"/>
      <c r="H114" s="2">
        <f>-67.5</f>
        <v>-67.5</v>
      </c>
      <c r="I114" s="2"/>
      <c r="J114" s="19"/>
      <c r="K114" s="2"/>
      <c r="L114" s="2">
        <f t="shared" si="0"/>
        <v>-66.72</v>
      </c>
      <c r="M114" s="2"/>
      <c r="N114" s="19">
        <f t="shared" si="1"/>
        <v>0.98844444444444446</v>
      </c>
      <c r="O114" s="10"/>
      <c r="P114" s="2">
        <f>-2577.54</f>
        <v>-2577.54</v>
      </c>
      <c r="Q114" s="2"/>
      <c r="R114" s="19"/>
      <c r="S114" s="2"/>
      <c r="T114" s="2">
        <f>-1379.87</f>
        <v>-1379.87</v>
      </c>
      <c r="U114" s="2"/>
      <c r="V114" s="19"/>
      <c r="W114" s="2"/>
      <c r="X114" s="2">
        <f t="shared" si="2"/>
        <v>-1197.67</v>
      </c>
      <c r="Y114" s="2"/>
      <c r="Z114" s="19">
        <f t="shared" si="3"/>
        <v>0.86795857580786606</v>
      </c>
    </row>
    <row r="115" spans="1:26" s="23" customFormat="1" hidden="1" outlineLevel="1" x14ac:dyDescent="0.25">
      <c r="A115" s="44"/>
      <c r="B115" s="10" t="str">
        <f>CONCATENATE("          ", "4303", " - ", "SALES RETURN NON-TAXABLE-RENTA")</f>
        <v xml:space="preserve">          4303 - SALES RETURN NON-TAXABLE-RENTA</v>
      </c>
      <c r="C115" s="10"/>
      <c r="D115" s="2">
        <f>0</f>
        <v>0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0"/>
      <c r="P115" s="2">
        <f>0</f>
        <v>0</v>
      </c>
      <c r="Q115" s="2"/>
      <c r="R115" s="19"/>
      <c r="S115" s="2"/>
      <c r="T115" s="2">
        <f>-184.99</f>
        <v>-184.99</v>
      </c>
      <c r="U115" s="2"/>
      <c r="V115" s="19"/>
      <c r="W115" s="2"/>
      <c r="X115" s="2">
        <f t="shared" si="2"/>
        <v>184.99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"4304", " - ", "SALES RETURN NON TAXABLE-DIGIT")</f>
        <v xml:space="preserve">          4304 - SALES RETURN NON TAXABLE-DIGIT</v>
      </c>
      <c r="C116" s="10"/>
      <c r="D116" s="2">
        <f>-3338.22</f>
        <v>-3338.22</v>
      </c>
      <c r="E116" s="2"/>
      <c r="F116" s="19"/>
      <c r="G116" s="2"/>
      <c r="H116" s="2">
        <f>-438.2</f>
        <v>-438.2</v>
      </c>
      <c r="I116" s="2"/>
      <c r="J116" s="19"/>
      <c r="K116" s="2"/>
      <c r="L116" s="2">
        <f t="shared" si="0"/>
        <v>-2900.02</v>
      </c>
      <c r="M116" s="2"/>
      <c r="N116" s="19">
        <f t="shared" si="1"/>
        <v>6.618028297581013</v>
      </c>
      <c r="O116" s="10"/>
      <c r="P116" s="2">
        <f>-30881.98</f>
        <v>-30881.98</v>
      </c>
      <c r="Q116" s="2"/>
      <c r="R116" s="19"/>
      <c r="S116" s="2"/>
      <c r="T116" s="2">
        <f>-19474.33</f>
        <v>-19474.330000000002</v>
      </c>
      <c r="U116" s="2"/>
      <c r="V116" s="19"/>
      <c r="W116" s="2"/>
      <c r="X116" s="2">
        <f t="shared" si="2"/>
        <v>-11407.649999999998</v>
      </c>
      <c r="Y116" s="2"/>
      <c r="Z116" s="19">
        <f t="shared" si="3"/>
        <v>0.58577881755110428</v>
      </c>
    </row>
    <row r="117" spans="1:26" s="23" customFormat="1" hidden="1" outlineLevel="1" x14ac:dyDescent="0.25">
      <c r="A117" s="44"/>
      <c r="B117" s="10" t="str">
        <f>CONCATENATE("          ", "4311", " - ", "SALES RETURN NON TAXABLE-NO VA")</f>
        <v xml:space="preserve">          4311 - SALES RETURN NON TAXABLE-NO VA</v>
      </c>
      <c r="C117" s="10"/>
      <c r="D117" s="2">
        <f t="shared" ref="D117:D118" si="30">0</f>
        <v>0</v>
      </c>
      <c r="E117" s="2"/>
      <c r="F117" s="19"/>
      <c r="G117" s="2"/>
      <c r="H117" s="2">
        <f t="shared" ref="H117:H121" si="31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0"/>
      <c r="P117" s="2">
        <f t="shared" ref="P117:P118" si="32">0</f>
        <v>0</v>
      </c>
      <c r="Q117" s="2"/>
      <c r="R117" s="19"/>
      <c r="S117" s="2"/>
      <c r="T117" s="2">
        <f>-941.28</f>
        <v>-941.28</v>
      </c>
      <c r="U117" s="2"/>
      <c r="V117" s="19"/>
      <c r="W117" s="2"/>
      <c r="X117" s="2">
        <f t="shared" si="2"/>
        <v>941.28</v>
      </c>
      <c r="Y117" s="2"/>
      <c r="Z117" s="19">
        <f t="shared" si="3"/>
        <v>-1</v>
      </c>
    </row>
    <row r="118" spans="1:26" s="23" customFormat="1" hidden="1" outlineLevel="1" x14ac:dyDescent="0.25">
      <c r="A118" s="44"/>
      <c r="B118" s="10" t="str">
        <f>CONCATENATE("          ", "4313", " - ", "SALES RETURN NON TAXABLE-TRADE")</f>
        <v xml:space="preserve">          4313 - SALES RETURN NON TAXABLE-TRADE</v>
      </c>
      <c r="C118" s="10"/>
      <c r="D118" s="2">
        <f t="shared" si="30"/>
        <v>0</v>
      </c>
      <c r="E118" s="2"/>
      <c r="F118" s="19"/>
      <c r="G118" s="2"/>
      <c r="H118" s="2">
        <f t="shared" si="31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si="32"/>
        <v>0</v>
      </c>
      <c r="Q118" s="2"/>
      <c r="R118" s="19"/>
      <c r="S118" s="2"/>
      <c r="T118" s="2">
        <f>-2481.44</f>
        <v>-2481.44</v>
      </c>
      <c r="U118" s="2"/>
      <c r="V118" s="19"/>
      <c r="W118" s="2"/>
      <c r="X118" s="2">
        <f t="shared" si="2"/>
        <v>2481.44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"4327", " - ", "SALES RETURN NON TAXABLE-SCHOO")</f>
        <v xml:space="preserve">          4327 - SALES RETURN NON TAXABLE-SCHOO</v>
      </c>
      <c r="C119" s="10"/>
      <c r="D119" s="2">
        <f>-17.41</f>
        <v>-17.41</v>
      </c>
      <c r="E119" s="2"/>
      <c r="F119" s="19"/>
      <c r="G119" s="2"/>
      <c r="H119" s="2">
        <f t="shared" si="31"/>
        <v>0</v>
      </c>
      <c r="I119" s="2"/>
      <c r="J119" s="19"/>
      <c r="K119" s="2"/>
      <c r="L119" s="2">
        <f t="shared" si="0"/>
        <v>-17.41</v>
      </c>
      <c r="M119" s="2"/>
      <c r="N119" s="19">
        <f t="shared" si="1"/>
        <v>0</v>
      </c>
      <c r="O119" s="10"/>
      <c r="P119" s="2">
        <f>-17.41</f>
        <v>-17.41</v>
      </c>
      <c r="Q119" s="2"/>
      <c r="R119" s="19"/>
      <c r="S119" s="2"/>
      <c r="T119" s="2">
        <f>-21.87</f>
        <v>-21.87</v>
      </c>
      <c r="U119" s="2"/>
      <c r="V119" s="19"/>
      <c r="W119" s="2"/>
      <c r="X119" s="2">
        <f t="shared" si="2"/>
        <v>4.4600000000000009</v>
      </c>
      <c r="Y119" s="2"/>
      <c r="Z119" s="19">
        <f t="shared" si="3"/>
        <v>-0.20393232738911754</v>
      </c>
    </row>
    <row r="120" spans="1:26" s="23" customFormat="1" hidden="1" outlineLevel="1" x14ac:dyDescent="0.25">
      <c r="A120" s="44"/>
      <c r="B120" s="10" t="str">
        <f>CONCATENATE("          ", "4331", " - ", "SALES RETURN NON TAXABLE-FOOD")</f>
        <v xml:space="preserve">          4331 - SALES RETURN NON TAXABLE-FOOD</v>
      </c>
      <c r="C120" s="10"/>
      <c r="D120" s="2">
        <f t="shared" ref="D120:D121" si="33">0</f>
        <v>0</v>
      </c>
      <c r="E120" s="2"/>
      <c r="F120" s="19"/>
      <c r="G120" s="2"/>
      <c r="H120" s="2">
        <f t="shared" si="31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0"/>
      <c r="P120" s="2">
        <f t="shared" ref="P120:P121" si="34">0</f>
        <v>0</v>
      </c>
      <c r="Q120" s="2"/>
      <c r="R120" s="19"/>
      <c r="S120" s="2"/>
      <c r="T120" s="2">
        <f>-12.57</f>
        <v>-12.57</v>
      </c>
      <c r="U120" s="2"/>
      <c r="V120" s="19"/>
      <c r="W120" s="2"/>
      <c r="X120" s="2">
        <f t="shared" si="2"/>
        <v>12.57</v>
      </c>
      <c r="Y120" s="2"/>
      <c r="Z120" s="19">
        <f t="shared" si="3"/>
        <v>-1</v>
      </c>
    </row>
    <row r="121" spans="1:26" s="23" customFormat="1" hidden="1" outlineLevel="1" x14ac:dyDescent="0.25">
      <c r="A121" s="44"/>
      <c r="B121" s="10" t="str">
        <f>CONCATENATE("          ", "4332", " - ", "SALES RETURN NON TAXABLE-JUICE")</f>
        <v xml:space="preserve">          4332 - SALES RETURN NON TAXABLE-JUICE</v>
      </c>
      <c r="C121" s="10"/>
      <c r="D121" s="2">
        <f t="shared" si="33"/>
        <v>0</v>
      </c>
      <c r="E121" s="2"/>
      <c r="F121" s="19"/>
      <c r="G121" s="2"/>
      <c r="H121" s="2">
        <f t="shared" si="31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0"/>
      <c r="P121" s="2">
        <f t="shared" si="34"/>
        <v>0</v>
      </c>
      <c r="Q121" s="2"/>
      <c r="R121" s="19"/>
      <c r="S121" s="2"/>
      <c r="T121" s="2">
        <f>-2.79</f>
        <v>-2.79</v>
      </c>
      <c r="U121" s="2"/>
      <c r="V121" s="19"/>
      <c r="W121" s="2"/>
      <c r="X121" s="2">
        <f t="shared" si="2"/>
        <v>2.79</v>
      </c>
      <c r="Y121" s="2"/>
      <c r="Z121" s="19">
        <f t="shared" si="3"/>
        <v>-1</v>
      </c>
    </row>
    <row r="122" spans="1:26" s="23" customFormat="1" hidden="1" outlineLevel="1" x14ac:dyDescent="0.25">
      <c r="A122" s="44"/>
      <c r="B122" s="10" t="str">
        <f>CONCATENATE("          ", "4340", " - ", "SALES RETURN NON TAXABLE-LOGO")</f>
        <v xml:space="preserve">          4340 - SALES RETURN NON TAXABLE-LOGO</v>
      </c>
      <c r="C122" s="10"/>
      <c r="D122" s="2">
        <f>-143.74</f>
        <v>-143.74</v>
      </c>
      <c r="E122" s="2"/>
      <c r="F122" s="19"/>
      <c r="G122" s="2"/>
      <c r="H122" s="2">
        <f>-598.43</f>
        <v>-598.42999999999995</v>
      </c>
      <c r="I122" s="2"/>
      <c r="J122" s="19"/>
      <c r="K122" s="2"/>
      <c r="L122" s="2">
        <f t="shared" si="0"/>
        <v>454.68999999999994</v>
      </c>
      <c r="M122" s="2"/>
      <c r="N122" s="19">
        <f t="shared" si="1"/>
        <v>-0.7598048226191868</v>
      </c>
      <c r="O122" s="10"/>
      <c r="P122" s="2">
        <f>-3451.26</f>
        <v>-3451.26</v>
      </c>
      <c r="Q122" s="2"/>
      <c r="R122" s="19"/>
      <c r="S122" s="2"/>
      <c r="T122" s="2">
        <f>-1618.83</f>
        <v>-1618.83</v>
      </c>
      <c r="U122" s="2"/>
      <c r="V122" s="19"/>
      <c r="W122" s="2"/>
      <c r="X122" s="2">
        <f t="shared" si="2"/>
        <v>-1832.4300000000003</v>
      </c>
      <c r="Y122" s="2"/>
      <c r="Z122" s="19">
        <f t="shared" si="3"/>
        <v>1.131947147013584</v>
      </c>
    </row>
    <row r="123" spans="1:26" s="23" customFormat="1" hidden="1" outlineLevel="1" x14ac:dyDescent="0.25">
      <c r="A123" s="44"/>
      <c r="B123" s="10" t="str">
        <f>CONCATENATE("          ", "4341", " - ", "SALES RETURN NON TAXABLE-LOGO")</f>
        <v xml:space="preserve">          4341 - SALES RETURN NON TAXABLE-LOGO</v>
      </c>
      <c r="C123" s="10"/>
      <c r="D123" s="2">
        <f>-104.3</f>
        <v>-104.3</v>
      </c>
      <c r="E123" s="2"/>
      <c r="F123" s="19"/>
      <c r="G123" s="2"/>
      <c r="H123" s="2">
        <f>-39.95</f>
        <v>-39.950000000000003</v>
      </c>
      <c r="I123" s="2"/>
      <c r="J123" s="19"/>
      <c r="K123" s="2"/>
      <c r="L123" s="2">
        <f t="shared" si="0"/>
        <v>-64.349999999999994</v>
      </c>
      <c r="M123" s="2"/>
      <c r="N123" s="19">
        <f t="shared" si="1"/>
        <v>1.610763454317897</v>
      </c>
      <c r="O123" s="10"/>
      <c r="P123" s="2">
        <f>-506.74</f>
        <v>-506.74</v>
      </c>
      <c r="Q123" s="2"/>
      <c r="R123" s="19"/>
      <c r="S123" s="2"/>
      <c r="T123" s="2">
        <f>-285.45</f>
        <v>-285.45</v>
      </c>
      <c r="U123" s="2"/>
      <c r="V123" s="19"/>
      <c r="W123" s="2"/>
      <c r="X123" s="2">
        <f t="shared" si="2"/>
        <v>-221.29000000000002</v>
      </c>
      <c r="Y123" s="2"/>
      <c r="Z123" s="19">
        <f t="shared" si="3"/>
        <v>0.77523208968295687</v>
      </c>
    </row>
    <row r="124" spans="1:26" s="23" customFormat="1" hidden="1" outlineLevel="1" x14ac:dyDescent="0.25">
      <c r="A124" s="44"/>
      <c r="B124" s="10" t="str">
        <f>CONCATENATE("          ", "4342", " - ", "SALES RETURN NON TAXABLE-EVERY")</f>
        <v xml:space="preserve">          4342 - SALES RETURN NON TAXABLE-EVERY</v>
      </c>
      <c r="C124" s="10"/>
      <c r="D124" s="2">
        <f t="shared" ref="D124:D129" si="35">0</f>
        <v>0</v>
      </c>
      <c r="E124" s="2"/>
      <c r="F124" s="19"/>
      <c r="G124" s="2"/>
      <c r="H124" s="2">
        <f t="shared" ref="H124:H129" si="36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0"/>
      <c r="P124" s="2">
        <f>-118.7</f>
        <v>-118.7</v>
      </c>
      <c r="Q124" s="2"/>
      <c r="R124" s="19"/>
      <c r="S124" s="2"/>
      <c r="T124" s="2">
        <f>-149.22</f>
        <v>-149.22</v>
      </c>
      <c r="U124" s="2"/>
      <c r="V124" s="19"/>
      <c r="W124" s="2"/>
      <c r="X124" s="2">
        <f t="shared" si="2"/>
        <v>30.519999999999996</v>
      </c>
      <c r="Y124" s="2"/>
      <c r="Z124" s="19">
        <f t="shared" si="3"/>
        <v>-0.20453022383058569</v>
      </c>
    </row>
    <row r="125" spans="1:26" s="23" customFormat="1" hidden="1" outlineLevel="1" x14ac:dyDescent="0.25">
      <c r="A125" s="44"/>
      <c r="B125" s="10" t="str">
        <f>CONCATENATE("          ", "4346", " - ", "SALES RETURN NON TAXABLE-COIN-")</f>
        <v xml:space="preserve">          4346 - SALES RETURN NON TAXABLE-COIN-</v>
      </c>
      <c r="C125" s="10"/>
      <c r="D125" s="2">
        <f t="shared" si="35"/>
        <v>0</v>
      </c>
      <c r="E125" s="2"/>
      <c r="F125" s="19"/>
      <c r="G125" s="2"/>
      <c r="H125" s="2">
        <f t="shared" si="36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0"/>
      <c r="P125" s="2">
        <f t="shared" ref="P125:P126" si="37">0</f>
        <v>0</v>
      </c>
      <c r="Q125" s="2"/>
      <c r="R125" s="19"/>
      <c r="S125" s="2"/>
      <c r="T125" s="2">
        <f>-8.15</f>
        <v>-8.15</v>
      </c>
      <c r="U125" s="2"/>
      <c r="V125" s="19"/>
      <c r="W125" s="2"/>
      <c r="X125" s="2">
        <f t="shared" si="2"/>
        <v>8.15</v>
      </c>
      <c r="Y125" s="2"/>
      <c r="Z125" s="19">
        <f t="shared" si="3"/>
        <v>-1</v>
      </c>
    </row>
    <row r="126" spans="1:26" s="23" customFormat="1" hidden="1" outlineLevel="1" x14ac:dyDescent="0.25">
      <c r="A126" s="44"/>
      <c r="B126" s="10" t="str">
        <f>CONCATENATE("          ", "4347", " - ", "SALES RETURN NON TAXABLE-MISC")</f>
        <v xml:space="preserve">          4347 - SALES RETURN NON TAXABLE-MISC</v>
      </c>
      <c r="C126" s="10"/>
      <c r="D126" s="2">
        <f t="shared" si="35"/>
        <v>0</v>
      </c>
      <c r="E126" s="2"/>
      <c r="F126" s="19"/>
      <c r="G126" s="2"/>
      <c r="H126" s="2">
        <f t="shared" si="36"/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 t="shared" si="37"/>
        <v>0</v>
      </c>
      <c r="Q126" s="2"/>
      <c r="R126" s="19"/>
      <c r="S126" s="2"/>
      <c r="T126" s="2">
        <f>-84</f>
        <v>-84</v>
      </c>
      <c r="U126" s="2"/>
      <c r="V126" s="19"/>
      <c r="W126" s="2"/>
      <c r="X126" s="2">
        <f t="shared" si="2"/>
        <v>84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"4381", " - ", "SALES RETURN NON TAXABLE-ELECT")</f>
        <v xml:space="preserve">          4381 - SALES RETURN NON TAXABLE-ELECT</v>
      </c>
      <c r="C127" s="10"/>
      <c r="D127" s="2">
        <f t="shared" si="35"/>
        <v>0</v>
      </c>
      <c r="E127" s="2"/>
      <c r="F127" s="19"/>
      <c r="G127" s="2"/>
      <c r="H127" s="2">
        <f t="shared" si="36"/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0"/>
      <c r="P127" s="2">
        <f>-5624.15</f>
        <v>-5624.15</v>
      </c>
      <c r="Q127" s="2"/>
      <c r="R127" s="19"/>
      <c r="S127" s="2"/>
      <c r="T127" s="2">
        <f>-1279.84</f>
        <v>-1279.8399999999999</v>
      </c>
      <c r="U127" s="2"/>
      <c r="V127" s="19"/>
      <c r="W127" s="2"/>
      <c r="X127" s="2">
        <f t="shared" si="2"/>
        <v>-4344.3099999999995</v>
      </c>
      <c r="Y127" s="2"/>
      <c r="Z127" s="19">
        <f t="shared" si="3"/>
        <v>3.3944164895611948</v>
      </c>
    </row>
    <row r="128" spans="1:26" s="23" customFormat="1" hidden="1" outlineLevel="1" x14ac:dyDescent="0.25">
      <c r="A128" s="44"/>
      <c r="B128" s="10" t="str">
        <f>CONCATENATE("          ", "4383", " - ", "SALES RETURN NON TAXABLE-COMPU")</f>
        <v xml:space="preserve">          4383 - SALES RETURN NON TAXABLE-COMPU</v>
      </c>
      <c r="C128" s="10"/>
      <c r="D128" s="2">
        <f t="shared" si="35"/>
        <v>0</v>
      </c>
      <c r="E128" s="2"/>
      <c r="F128" s="19"/>
      <c r="G128" s="2"/>
      <c r="H128" s="2">
        <f t="shared" si="36"/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0"/>
      <c r="P128" s="2">
        <f>-14.99</f>
        <v>-14.99</v>
      </c>
      <c r="Q128" s="2"/>
      <c r="R128" s="19"/>
      <c r="S128" s="2"/>
      <c r="T128" s="2">
        <f>-49.98</f>
        <v>-49.98</v>
      </c>
      <c r="U128" s="2"/>
      <c r="V128" s="19"/>
      <c r="W128" s="2"/>
      <c r="X128" s="2">
        <f t="shared" si="2"/>
        <v>34.989999999999995</v>
      </c>
      <c r="Y128" s="2"/>
      <c r="Z128" s="19">
        <f t="shared" si="3"/>
        <v>-0.70008003201280511</v>
      </c>
    </row>
    <row r="129" spans="1:26" s="23" customFormat="1" hidden="1" outlineLevel="1" x14ac:dyDescent="0.25">
      <c r="A129" s="44"/>
      <c r="B129" s="10" t="str">
        <f>CONCATENATE("          ", "4386", " - ", "SALES RETURN NON TAXABLE-COMPU")</f>
        <v xml:space="preserve">          4386 - SALES RETURN NON TAXABLE-COMPU</v>
      </c>
      <c r="C129" s="10"/>
      <c r="D129" s="2">
        <f t="shared" si="35"/>
        <v>0</v>
      </c>
      <c r="E129" s="2"/>
      <c r="F129" s="19"/>
      <c r="G129" s="2"/>
      <c r="H129" s="2">
        <f t="shared" si="36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0"/>
      <c r="P129" s="2">
        <f>0</f>
        <v>0</v>
      </c>
      <c r="Q129" s="2"/>
      <c r="R129" s="19"/>
      <c r="S129" s="2"/>
      <c r="T129" s="2">
        <f>-104.96</f>
        <v>-104.96</v>
      </c>
      <c r="U129" s="2"/>
      <c r="V129" s="19"/>
      <c r="W129" s="2"/>
      <c r="X129" s="2">
        <f t="shared" si="2"/>
        <v>104.96</v>
      </c>
      <c r="Y129" s="2"/>
      <c r="Z129" s="19">
        <f t="shared" si="3"/>
        <v>-1</v>
      </c>
    </row>
    <row r="130" spans="1:26" x14ac:dyDescent="0.25">
      <c r="A130" s="9"/>
      <c r="B130" s="11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collapsed="1" x14ac:dyDescent="0.25">
      <c r="A131" s="11"/>
      <c r="B131" s="29" t="s">
        <v>256</v>
      </c>
      <c r="C131" s="11"/>
      <c r="D131" s="4">
        <f>SUM(OSRRefD16x_0)</f>
        <v>305178.07000000007</v>
      </c>
      <c r="E131" s="4"/>
      <c r="F131" s="13">
        <f t="shared" ref="F131:F190" si="38">IF(D$12=0,0,D131/D$12)</f>
        <v>0.46482575838832446</v>
      </c>
      <c r="G131" s="4"/>
      <c r="H131" s="4">
        <f>SUM(OSRRefH16x_0)</f>
        <v>245816.98000000004</v>
      </c>
      <c r="I131" s="4"/>
      <c r="J131" s="13">
        <f t="shared" ref="J131:J190" si="39">IF(H$12=0,0,H131/H$12)</f>
        <v>0.68437253887902993</v>
      </c>
      <c r="K131" s="4"/>
      <c r="L131" s="4">
        <f t="shared" ref="L131:L190" si="40">+D131-H131</f>
        <v>59361.090000000026</v>
      </c>
      <c r="M131" s="4"/>
      <c r="N131" s="13">
        <f t="shared" ref="N131:N190" si="41">IF(H131=0,0,L131/H131)</f>
        <v>0.24148490474498555</v>
      </c>
      <c r="O131" s="11"/>
      <c r="P131" s="4">
        <f>SUM(OSRRefP16x_0)</f>
        <v>5483270.6600000011</v>
      </c>
      <c r="Q131" s="4"/>
      <c r="R131" s="13">
        <f t="shared" ref="R131:R190" si="42">IF(P$12=0,0,P131/P$12)</f>
        <v>0.70461249468331699</v>
      </c>
      <c r="S131" s="4"/>
      <c r="T131" s="4">
        <f>SUM(OSRRefT16x_0)</f>
        <v>7370465.1399999997</v>
      </c>
      <c r="U131" s="4"/>
      <c r="V131" s="13">
        <f t="shared" ref="V131:V190" si="43">IF(T$12=0,0,T131/T$12)</f>
        <v>0.64290950377764533</v>
      </c>
      <c r="W131" s="4"/>
      <c r="X131" s="4">
        <f t="shared" ref="X131:X190" si="44">+P131-T131</f>
        <v>-1887194.4799999986</v>
      </c>
      <c r="Y131" s="4"/>
      <c r="Z131" s="13">
        <f t="shared" ref="Z131:Z190" si="45">IF(T131=0,0,X131/T131)</f>
        <v>-0.25604822004490191</v>
      </c>
    </row>
    <row r="132" spans="1:26" s="23" customFormat="1" hidden="1" outlineLevel="1" x14ac:dyDescent="0.25">
      <c r="A132" s="44"/>
      <c r="B132" s="10" t="str">
        <f>CONCATENATE("          ", "5000", " - ", "PURCHASES @ COST")</f>
        <v xml:space="preserve">          5000 - PURCHASES @ COST</v>
      </c>
      <c r="C132" s="10"/>
      <c r="D132" s="2"/>
      <c r="E132" s="2"/>
      <c r="F132" s="19">
        <f t="shared" si="38"/>
        <v>0</v>
      </c>
      <c r="G132" s="2"/>
      <c r="H132" s="2">
        <v>0</v>
      </c>
      <c r="I132" s="2"/>
      <c r="J132" s="19">
        <f t="shared" si="39"/>
        <v>0</v>
      </c>
      <c r="K132" s="2"/>
      <c r="L132" s="2">
        <f t="shared" si="40"/>
        <v>0</v>
      </c>
      <c r="M132" s="2"/>
      <c r="N132" s="19">
        <f t="shared" si="41"/>
        <v>0</v>
      </c>
      <c r="O132" s="10"/>
      <c r="P132" s="2">
        <v>0</v>
      </c>
      <c r="Q132" s="2"/>
      <c r="R132" s="19">
        <f t="shared" si="42"/>
        <v>0</v>
      </c>
      <c r="S132" s="2"/>
      <c r="T132" s="2">
        <v>0</v>
      </c>
      <c r="U132" s="2"/>
      <c r="V132" s="19">
        <f t="shared" si="43"/>
        <v>0</v>
      </c>
      <c r="W132" s="2"/>
      <c r="X132" s="2">
        <f t="shared" si="44"/>
        <v>0</v>
      </c>
      <c r="Y132" s="2"/>
      <c r="Z132" s="19">
        <f t="shared" si="45"/>
        <v>0</v>
      </c>
    </row>
    <row r="133" spans="1:26" s="23" customFormat="1" hidden="1" outlineLevel="1" x14ac:dyDescent="0.25">
      <c r="A133" s="44"/>
      <c r="B133" s="10" t="str">
        <f>CONCATENATE("          ", "5001", " - ", "PURCHASES @ COST-NEW TEXT")</f>
        <v xml:space="preserve">          5001 - PURCHASES @ COST-NEW TEXT</v>
      </c>
      <c r="C133" s="10"/>
      <c r="D133" s="2">
        <v>65020.01</v>
      </c>
      <c r="E133" s="2"/>
      <c r="F133" s="19">
        <f t="shared" si="38"/>
        <v>9.9033903250867389E-2</v>
      </c>
      <c r="G133" s="2"/>
      <c r="H133" s="2">
        <v>71528.210000000006</v>
      </c>
      <c r="I133" s="2"/>
      <c r="J133" s="19">
        <f t="shared" si="39"/>
        <v>0.19913979367565418</v>
      </c>
      <c r="K133" s="2"/>
      <c r="L133" s="2">
        <f t="shared" si="40"/>
        <v>-6508.2000000000044</v>
      </c>
      <c r="M133" s="2"/>
      <c r="N133" s="19">
        <f t="shared" si="41"/>
        <v>-9.0987877370341072E-2</v>
      </c>
      <c r="O133" s="10"/>
      <c r="P133" s="2">
        <v>1071566.48</v>
      </c>
      <c r="Q133" s="2"/>
      <c r="R133" s="19">
        <f t="shared" si="42"/>
        <v>0.13769867976785602</v>
      </c>
      <c r="S133" s="2"/>
      <c r="T133" s="2">
        <v>1641280.46</v>
      </c>
      <c r="U133" s="2"/>
      <c r="V133" s="19">
        <f t="shared" si="43"/>
        <v>0.14316529364909872</v>
      </c>
      <c r="W133" s="2"/>
      <c r="X133" s="2">
        <f t="shared" si="44"/>
        <v>-569713.98</v>
      </c>
      <c r="Y133" s="2"/>
      <c r="Z133" s="19">
        <f t="shared" si="45"/>
        <v>-0.34711555635043628</v>
      </c>
    </row>
    <row r="134" spans="1:26" s="23" customFormat="1" hidden="1" outlineLevel="1" x14ac:dyDescent="0.25">
      <c r="A134" s="44"/>
      <c r="B134" s="10" t="str">
        <f>CONCATENATE("          ", "5002", " - ", "PURCHASES @ COST-USED TEXT")</f>
        <v xml:space="preserve">          5002 - PURCHASES @ COST-USED TEXT</v>
      </c>
      <c r="C134" s="10"/>
      <c r="D134" s="2">
        <v>4952.26</v>
      </c>
      <c r="E134" s="2"/>
      <c r="F134" s="19">
        <f t="shared" si="38"/>
        <v>7.5429339016272147E-3</v>
      </c>
      <c r="G134" s="2"/>
      <c r="H134" s="2">
        <v>14738.6</v>
      </c>
      <c r="I134" s="2"/>
      <c r="J134" s="19">
        <f t="shared" si="39"/>
        <v>4.1033345627801907E-2</v>
      </c>
      <c r="K134" s="2"/>
      <c r="L134" s="2">
        <f t="shared" si="40"/>
        <v>-9786.34</v>
      </c>
      <c r="M134" s="2"/>
      <c r="N134" s="19">
        <f t="shared" si="41"/>
        <v>-0.66399386644593106</v>
      </c>
      <c r="O134" s="10"/>
      <c r="P134" s="2">
        <v>279913.28000000003</v>
      </c>
      <c r="Q134" s="2"/>
      <c r="R134" s="19">
        <f t="shared" si="42"/>
        <v>3.5969480032158357E-2</v>
      </c>
      <c r="S134" s="2"/>
      <c r="T134" s="2">
        <v>610321.38</v>
      </c>
      <c r="U134" s="2"/>
      <c r="V134" s="19">
        <f t="shared" si="43"/>
        <v>5.3236994966736624E-2</v>
      </c>
      <c r="W134" s="2"/>
      <c r="X134" s="2">
        <f t="shared" si="44"/>
        <v>-330408.09999999998</v>
      </c>
      <c r="Y134" s="2"/>
      <c r="Z134" s="19">
        <f t="shared" si="45"/>
        <v>-0.54136740220373725</v>
      </c>
    </row>
    <row r="135" spans="1:26" s="23" customFormat="1" hidden="1" outlineLevel="1" x14ac:dyDescent="0.25">
      <c r="A135" s="44"/>
      <c r="B135" s="10" t="str">
        <f>CONCATENATE("          ", "5003", " - ", "PURCHASES @ COST-RENTAL TEXT")</f>
        <v xml:space="preserve">          5003 - PURCHASES @ COST-RENTAL TEXT</v>
      </c>
      <c r="C135" s="10"/>
      <c r="D135" s="2">
        <v>7179.56</v>
      </c>
      <c r="E135" s="2"/>
      <c r="F135" s="19">
        <f t="shared" si="38"/>
        <v>1.0935400508609541E-2</v>
      </c>
      <c r="G135" s="2"/>
      <c r="H135" s="2"/>
      <c r="I135" s="2"/>
      <c r="J135" s="19">
        <f t="shared" si="39"/>
        <v>0</v>
      </c>
      <c r="K135" s="2"/>
      <c r="L135" s="2">
        <f t="shared" si="40"/>
        <v>7179.56</v>
      </c>
      <c r="M135" s="2"/>
      <c r="N135" s="19">
        <f t="shared" si="41"/>
        <v>0</v>
      </c>
      <c r="O135" s="10"/>
      <c r="P135" s="2">
        <v>7212.08</v>
      </c>
      <c r="Q135" s="2"/>
      <c r="R135" s="19">
        <f t="shared" si="42"/>
        <v>9.2676834607607265E-4</v>
      </c>
      <c r="S135" s="2"/>
      <c r="T135" s="2">
        <v>-78.400000000000006</v>
      </c>
      <c r="U135" s="2"/>
      <c r="V135" s="19">
        <f t="shared" si="43"/>
        <v>-6.8386599948246143E-6</v>
      </c>
      <c r="W135" s="2"/>
      <c r="X135" s="2">
        <f t="shared" si="44"/>
        <v>7290.48</v>
      </c>
      <c r="Y135" s="2"/>
      <c r="Z135" s="19">
        <f t="shared" si="45"/>
        <v>-92.990816326530606</v>
      </c>
    </row>
    <row r="136" spans="1:26" s="23" customFormat="1" hidden="1" outlineLevel="1" x14ac:dyDescent="0.25">
      <c r="A136" s="44"/>
      <c r="B136" s="10" t="str">
        <f>CONCATENATE("          ", "5004", " - ", "PURCHASES @ COST-DIGITAL TEXT")</f>
        <v xml:space="preserve">          5004 - PURCHASES @ COST-DIGITAL TEXT</v>
      </c>
      <c r="C136" s="10"/>
      <c r="D136" s="2">
        <v>-7843.95</v>
      </c>
      <c r="E136" s="2"/>
      <c r="F136" s="19">
        <f t="shared" si="38"/>
        <v>-1.1947352598140806E-2</v>
      </c>
      <c r="G136" s="2"/>
      <c r="H136" s="2">
        <v>-46518.26</v>
      </c>
      <c r="I136" s="2"/>
      <c r="J136" s="19">
        <f t="shared" si="39"/>
        <v>-0.1295102547449522</v>
      </c>
      <c r="K136" s="2"/>
      <c r="L136" s="2">
        <f t="shared" si="40"/>
        <v>38674.310000000005</v>
      </c>
      <c r="M136" s="2"/>
      <c r="N136" s="19">
        <f t="shared" si="41"/>
        <v>-0.83137911865147152</v>
      </c>
      <c r="O136" s="10"/>
      <c r="P136" s="2">
        <v>199606.43</v>
      </c>
      <c r="Q136" s="2"/>
      <c r="R136" s="19">
        <f t="shared" si="42"/>
        <v>2.5649870910645661E-2</v>
      </c>
      <c r="S136" s="2"/>
      <c r="T136" s="2">
        <v>446269.65</v>
      </c>
      <c r="U136" s="2"/>
      <c r="V136" s="19">
        <f t="shared" si="43"/>
        <v>3.8927122479073754E-2</v>
      </c>
      <c r="W136" s="2"/>
      <c r="X136" s="2">
        <f t="shared" si="44"/>
        <v>-246663.22000000003</v>
      </c>
      <c r="Y136" s="2"/>
      <c r="Z136" s="19">
        <f t="shared" si="45"/>
        <v>-0.55272237312127326</v>
      </c>
    </row>
    <row r="137" spans="1:26" s="23" customFormat="1" hidden="1" outlineLevel="1" x14ac:dyDescent="0.25">
      <c r="A137" s="44"/>
      <c r="B137" s="10" t="str">
        <f>CONCATENATE("          ", "5011", " - ", "PURCHASES @ COST-NO VALUE TEXT")</f>
        <v xml:space="preserve">          5011 - PURCHASES @ COST-NO VALUE TEXT</v>
      </c>
      <c r="C137" s="10"/>
      <c r="D137" s="2"/>
      <c r="E137" s="2"/>
      <c r="F137" s="19">
        <f t="shared" si="38"/>
        <v>0</v>
      </c>
      <c r="G137" s="2"/>
      <c r="H137" s="2"/>
      <c r="I137" s="2"/>
      <c r="J137" s="19">
        <f t="shared" si="39"/>
        <v>0</v>
      </c>
      <c r="K137" s="2"/>
      <c r="L137" s="2">
        <f t="shared" si="40"/>
        <v>0</v>
      </c>
      <c r="M137" s="2"/>
      <c r="N137" s="19">
        <f t="shared" si="41"/>
        <v>0</v>
      </c>
      <c r="O137" s="10"/>
      <c r="P137" s="2">
        <v>67.17</v>
      </c>
      <c r="Q137" s="2"/>
      <c r="R137" s="19">
        <f t="shared" si="42"/>
        <v>8.6314946320520301E-6</v>
      </c>
      <c r="S137" s="2"/>
      <c r="T137" s="2">
        <v>6363</v>
      </c>
      <c r="U137" s="2"/>
      <c r="V137" s="19">
        <f t="shared" si="43"/>
        <v>5.5503052993710481E-4</v>
      </c>
      <c r="W137" s="2"/>
      <c r="X137" s="2">
        <f t="shared" si="44"/>
        <v>-6295.83</v>
      </c>
      <c r="Y137" s="2"/>
      <c r="Z137" s="19">
        <f t="shared" si="45"/>
        <v>-0.98944365865157946</v>
      </c>
    </row>
    <row r="138" spans="1:26" s="23" customFormat="1" hidden="1" outlineLevel="1" x14ac:dyDescent="0.25">
      <c r="A138" s="44"/>
      <c r="B138" s="10" t="str">
        <f>CONCATENATE("          ", "5013", " - ", "PURCHASES @ COST-TRADE BOOKS")</f>
        <v xml:space="preserve">          5013 - PURCHASES @ COST-TRADE BOOKS</v>
      </c>
      <c r="C138" s="10"/>
      <c r="D138" s="2"/>
      <c r="E138" s="2"/>
      <c r="F138" s="19">
        <f t="shared" si="38"/>
        <v>0</v>
      </c>
      <c r="G138" s="2"/>
      <c r="H138" s="2"/>
      <c r="I138" s="2"/>
      <c r="J138" s="19">
        <f t="shared" si="39"/>
        <v>0</v>
      </c>
      <c r="K138" s="2"/>
      <c r="L138" s="2">
        <f t="shared" si="40"/>
        <v>0</v>
      </c>
      <c r="M138" s="2"/>
      <c r="N138" s="19">
        <f t="shared" si="41"/>
        <v>0</v>
      </c>
      <c r="O138" s="10"/>
      <c r="P138" s="2">
        <v>9670.02</v>
      </c>
      <c r="Q138" s="2"/>
      <c r="R138" s="19">
        <f t="shared" si="42"/>
        <v>1.242619111535444E-3</v>
      </c>
      <c r="S138" s="2"/>
      <c r="T138" s="2">
        <v>3197.85</v>
      </c>
      <c r="U138" s="2"/>
      <c r="V138" s="19">
        <f t="shared" si="43"/>
        <v>2.7894143959757514E-4</v>
      </c>
      <c r="W138" s="2"/>
      <c r="X138" s="2">
        <f t="shared" si="44"/>
        <v>6472.17</v>
      </c>
      <c r="Y138" s="2"/>
      <c r="Z138" s="19">
        <f t="shared" si="45"/>
        <v>2.0239129415075756</v>
      </c>
    </row>
    <row r="139" spans="1:26" s="23" customFormat="1" hidden="1" outlineLevel="1" x14ac:dyDescent="0.25">
      <c r="A139" s="44"/>
      <c r="B139" s="10" t="str">
        <f>CONCATENATE("          ", "5014", " - ", "PURCHASES @ COST-REMAINDERS")</f>
        <v xml:space="preserve">          5014 - PURCHASES @ COST-REMAINDERS</v>
      </c>
      <c r="C139" s="10"/>
      <c r="D139" s="2"/>
      <c r="E139" s="2"/>
      <c r="F139" s="19">
        <f t="shared" si="38"/>
        <v>0</v>
      </c>
      <c r="G139" s="2"/>
      <c r="H139" s="2"/>
      <c r="I139" s="2"/>
      <c r="J139" s="19">
        <f t="shared" si="39"/>
        <v>0</v>
      </c>
      <c r="K139" s="2"/>
      <c r="L139" s="2">
        <f t="shared" si="40"/>
        <v>0</v>
      </c>
      <c r="M139" s="2"/>
      <c r="N139" s="19">
        <f t="shared" si="41"/>
        <v>0</v>
      </c>
      <c r="O139" s="10"/>
      <c r="P139" s="2">
        <v>111.57</v>
      </c>
      <c r="Q139" s="2"/>
      <c r="R139" s="19">
        <f t="shared" si="42"/>
        <v>1.4336993540241848E-5</v>
      </c>
      <c r="S139" s="2"/>
      <c r="T139" s="2">
        <v>615.07000000000005</v>
      </c>
      <c r="U139" s="2"/>
      <c r="V139" s="19">
        <f t="shared" si="43"/>
        <v>5.3651206671132341E-5</v>
      </c>
      <c r="W139" s="2"/>
      <c r="X139" s="2">
        <f t="shared" si="44"/>
        <v>-503.50000000000006</v>
      </c>
      <c r="Y139" s="2"/>
      <c r="Z139" s="19">
        <f t="shared" si="45"/>
        <v>-0.81860601232380059</v>
      </c>
    </row>
    <row r="140" spans="1:26" s="23" customFormat="1" hidden="1" outlineLevel="1" x14ac:dyDescent="0.25">
      <c r="A140" s="44"/>
      <c r="B140" s="10" t="str">
        <f>CONCATENATE("          ", "5017", " - ", "PURCHASES @ COST-DORM/HOUSEWAR")</f>
        <v xml:space="preserve">          5017 - PURCHASES @ COST-DORM/HOUSEWAR</v>
      </c>
      <c r="C140" s="10"/>
      <c r="D140" s="2"/>
      <c r="E140" s="2"/>
      <c r="F140" s="19">
        <f t="shared" si="38"/>
        <v>0</v>
      </c>
      <c r="G140" s="2"/>
      <c r="H140" s="2"/>
      <c r="I140" s="2"/>
      <c r="J140" s="19">
        <f t="shared" si="39"/>
        <v>0</v>
      </c>
      <c r="K140" s="2"/>
      <c r="L140" s="2">
        <f t="shared" si="40"/>
        <v>0</v>
      </c>
      <c r="M140" s="2"/>
      <c r="N140" s="19">
        <f t="shared" si="41"/>
        <v>0</v>
      </c>
      <c r="O140" s="10"/>
      <c r="P140" s="2"/>
      <c r="Q140" s="2"/>
      <c r="R140" s="19">
        <f t="shared" si="42"/>
        <v>0</v>
      </c>
      <c r="S140" s="2"/>
      <c r="T140" s="2">
        <v>14.46</v>
      </c>
      <c r="U140" s="2"/>
      <c r="V140" s="19">
        <f t="shared" si="43"/>
        <v>1.2613140755760703E-6</v>
      </c>
      <c r="W140" s="2"/>
      <c r="X140" s="2">
        <f t="shared" si="44"/>
        <v>-14.46</v>
      </c>
      <c r="Y140" s="2"/>
      <c r="Z140" s="19">
        <f t="shared" si="45"/>
        <v>-1</v>
      </c>
    </row>
    <row r="141" spans="1:26" s="23" customFormat="1" hidden="1" outlineLevel="1" x14ac:dyDescent="0.25">
      <c r="A141" s="44"/>
      <c r="B141" s="10" t="str">
        <f>CONCATENATE("          ", "5018", " - ", "PURCHASES @ COST-STUDY GUIDES")</f>
        <v xml:space="preserve">          5018 - PURCHASES @ COST-STUDY GUIDES</v>
      </c>
      <c r="C141" s="10"/>
      <c r="D141" s="2"/>
      <c r="E141" s="2"/>
      <c r="F141" s="19">
        <f t="shared" si="38"/>
        <v>0</v>
      </c>
      <c r="G141" s="2"/>
      <c r="H141" s="2"/>
      <c r="I141" s="2"/>
      <c r="J141" s="19">
        <f t="shared" si="39"/>
        <v>0</v>
      </c>
      <c r="K141" s="2"/>
      <c r="L141" s="2">
        <f t="shared" si="40"/>
        <v>0</v>
      </c>
      <c r="M141" s="2"/>
      <c r="N141" s="19">
        <f t="shared" si="41"/>
        <v>0</v>
      </c>
      <c r="O141" s="10"/>
      <c r="P141" s="2">
        <v>967.21</v>
      </c>
      <c r="Q141" s="2"/>
      <c r="R141" s="19">
        <f t="shared" si="42"/>
        <v>1.2428863961689809E-4</v>
      </c>
      <c r="S141" s="2"/>
      <c r="T141" s="2">
        <v>-205.14</v>
      </c>
      <c r="U141" s="2"/>
      <c r="V141" s="19">
        <f t="shared" si="43"/>
        <v>-1.789391213441736E-5</v>
      </c>
      <c r="W141" s="2"/>
      <c r="X141" s="2">
        <f t="shared" si="44"/>
        <v>1172.3499999999999</v>
      </c>
      <c r="Y141" s="2"/>
      <c r="Z141" s="19">
        <f t="shared" si="45"/>
        <v>-5.7148776445354388</v>
      </c>
    </row>
    <row r="142" spans="1:26" s="23" customFormat="1" hidden="1" outlineLevel="1" x14ac:dyDescent="0.25">
      <c r="A142" s="44"/>
      <c r="B142" s="10" t="str">
        <f>CONCATENATE("          ", "5025", " - ", "PURCHASES @ COST-TEST FORMS")</f>
        <v xml:space="preserve">          5025 - PURCHASES @ COST-TEST FORMS</v>
      </c>
      <c r="C142" s="10"/>
      <c r="D142" s="2"/>
      <c r="E142" s="2"/>
      <c r="F142" s="19">
        <f t="shared" si="38"/>
        <v>0</v>
      </c>
      <c r="G142" s="2"/>
      <c r="H142" s="2"/>
      <c r="I142" s="2"/>
      <c r="J142" s="19">
        <f t="shared" si="39"/>
        <v>0</v>
      </c>
      <c r="K142" s="2"/>
      <c r="L142" s="2">
        <f t="shared" si="40"/>
        <v>0</v>
      </c>
      <c r="M142" s="2"/>
      <c r="N142" s="19">
        <f t="shared" si="41"/>
        <v>0</v>
      </c>
      <c r="O142" s="10"/>
      <c r="P142" s="2">
        <v>599.29</v>
      </c>
      <c r="Q142" s="2"/>
      <c r="R142" s="19">
        <f t="shared" si="42"/>
        <v>7.7010100015519734E-5</v>
      </c>
      <c r="S142" s="2"/>
      <c r="T142" s="2">
        <v>26400.39</v>
      </c>
      <c r="U142" s="2"/>
      <c r="V142" s="19">
        <f t="shared" si="43"/>
        <v>2.302848098734283E-3</v>
      </c>
      <c r="W142" s="2"/>
      <c r="X142" s="2">
        <f t="shared" si="44"/>
        <v>-25801.1</v>
      </c>
      <c r="Y142" s="2"/>
      <c r="Z142" s="19">
        <f t="shared" si="45"/>
        <v>-0.97729995655367208</v>
      </c>
    </row>
    <row r="143" spans="1:26" s="23" customFormat="1" hidden="1" outlineLevel="1" x14ac:dyDescent="0.25">
      <c r="A143" s="44"/>
      <c r="B143" s="10" t="str">
        <f>CONCATENATE("          ", "5026", " - ", "PURCHASES @ COST-WRITING INSTR")</f>
        <v xml:space="preserve">          5026 - PURCHASES @ COST-WRITING INSTR</v>
      </c>
      <c r="C143" s="10"/>
      <c r="D143" s="2">
        <v>-2.0499999999999998</v>
      </c>
      <c r="E143" s="2"/>
      <c r="F143" s="19">
        <f t="shared" si="38"/>
        <v>-3.1224157250095487E-6</v>
      </c>
      <c r="G143" s="2"/>
      <c r="H143" s="2">
        <v>-7248</v>
      </c>
      <c r="I143" s="2"/>
      <c r="J143" s="19">
        <f t="shared" si="39"/>
        <v>-2.017896469883898E-2</v>
      </c>
      <c r="K143" s="2"/>
      <c r="L143" s="2">
        <f t="shared" si="40"/>
        <v>7245.95</v>
      </c>
      <c r="M143" s="2"/>
      <c r="N143" s="19">
        <f t="shared" si="41"/>
        <v>-0.99971716335540839</v>
      </c>
      <c r="O143" s="10"/>
      <c r="P143" s="2">
        <v>582.5</v>
      </c>
      <c r="Q143" s="2"/>
      <c r="R143" s="19">
        <f t="shared" si="42"/>
        <v>7.4852547613075892E-5</v>
      </c>
      <c r="S143" s="2"/>
      <c r="T143" s="2">
        <v>44186.57</v>
      </c>
      <c r="U143" s="2"/>
      <c r="V143" s="19">
        <f t="shared" si="43"/>
        <v>3.8542975582591507E-3</v>
      </c>
      <c r="W143" s="2"/>
      <c r="X143" s="2">
        <f t="shared" si="44"/>
        <v>-43604.07</v>
      </c>
      <c r="Y143" s="2"/>
      <c r="Z143" s="19">
        <f t="shared" si="45"/>
        <v>-0.98681726144391835</v>
      </c>
    </row>
    <row r="144" spans="1:26" s="23" customFormat="1" hidden="1" outlineLevel="1" x14ac:dyDescent="0.25">
      <c r="A144" s="44"/>
      <c r="B144" s="10" t="str">
        <f>CONCATENATE("          ", "5027", " - ", "PURCHASES @ COST-SCHOOL SUPPLI")</f>
        <v xml:space="preserve">          5027 - PURCHASES @ COST-SCHOOL SUPPLI</v>
      </c>
      <c r="C144" s="10"/>
      <c r="D144" s="2">
        <v>0.39</v>
      </c>
      <c r="E144" s="2"/>
      <c r="F144" s="19">
        <f t="shared" si="38"/>
        <v>5.9402055256279226E-7</v>
      </c>
      <c r="G144" s="2"/>
      <c r="H144" s="2">
        <v>-2393.63</v>
      </c>
      <c r="I144" s="2"/>
      <c r="J144" s="19">
        <f t="shared" si="39"/>
        <v>-6.6640418421746624E-3</v>
      </c>
      <c r="K144" s="2"/>
      <c r="L144" s="2">
        <f t="shared" si="40"/>
        <v>2394.02</v>
      </c>
      <c r="M144" s="2"/>
      <c r="N144" s="19">
        <f t="shared" si="41"/>
        <v>-1.0001629324498773</v>
      </c>
      <c r="O144" s="10"/>
      <c r="P144" s="2">
        <v>23734.99</v>
      </c>
      <c r="Q144" s="2"/>
      <c r="R144" s="19">
        <f t="shared" si="42"/>
        <v>3.0499990885336998E-3</v>
      </c>
      <c r="S144" s="2"/>
      <c r="T144" s="2">
        <v>141214.54</v>
      </c>
      <c r="U144" s="2"/>
      <c r="V144" s="19">
        <f t="shared" si="43"/>
        <v>1.2317834507468881E-2</v>
      </c>
      <c r="W144" s="2"/>
      <c r="X144" s="2">
        <f t="shared" si="44"/>
        <v>-117479.55</v>
      </c>
      <c r="Y144" s="2"/>
      <c r="Z144" s="19">
        <f t="shared" si="45"/>
        <v>-0.83192247767120864</v>
      </c>
    </row>
    <row r="145" spans="1:26" s="23" customFormat="1" hidden="1" outlineLevel="1" x14ac:dyDescent="0.25">
      <c r="A145" s="44"/>
      <c r="B145" s="10" t="str">
        <f>CONCATENATE("          ", "5028", " - ", "PURCHASES @ COST-ART/TECH")</f>
        <v xml:space="preserve">          5028 - PURCHASES @ COST-ART/TECH</v>
      </c>
      <c r="C145" s="10"/>
      <c r="D145" s="2">
        <v>674.12</v>
      </c>
      <c r="E145" s="2"/>
      <c r="F145" s="19">
        <f t="shared" si="38"/>
        <v>1.0267721407528963E-3</v>
      </c>
      <c r="G145" s="2"/>
      <c r="H145" s="2">
        <v>-60.3</v>
      </c>
      <c r="I145" s="2"/>
      <c r="J145" s="19">
        <f t="shared" si="39"/>
        <v>-1.6787963180739385E-4</v>
      </c>
      <c r="K145" s="2"/>
      <c r="L145" s="2">
        <f t="shared" si="40"/>
        <v>734.42</v>
      </c>
      <c r="M145" s="2"/>
      <c r="N145" s="19">
        <f t="shared" si="41"/>
        <v>-12.179436152570482</v>
      </c>
      <c r="O145" s="10"/>
      <c r="P145" s="2">
        <v>47680.74</v>
      </c>
      <c r="Q145" s="2"/>
      <c r="R145" s="19">
        <f t="shared" si="42"/>
        <v>6.1270813065694282E-3</v>
      </c>
      <c r="S145" s="2"/>
      <c r="T145" s="2">
        <v>159627.69</v>
      </c>
      <c r="U145" s="2"/>
      <c r="V145" s="19">
        <f t="shared" si="43"/>
        <v>1.3923973184556952E-2</v>
      </c>
      <c r="W145" s="2"/>
      <c r="X145" s="2">
        <f t="shared" si="44"/>
        <v>-111946.95000000001</v>
      </c>
      <c r="Y145" s="2"/>
      <c r="Z145" s="19">
        <f t="shared" si="45"/>
        <v>-0.70130031951223504</v>
      </c>
    </row>
    <row r="146" spans="1:26" s="23" customFormat="1" hidden="1" outlineLevel="1" x14ac:dyDescent="0.25">
      <c r="A146" s="44"/>
      <c r="B146" s="10" t="str">
        <f>CONCATENATE("          ", "5031", " - ", "PURCHASES @ COST-FOOD")</f>
        <v xml:space="preserve">          5031 - PURCHASES @ COST-FOOD</v>
      </c>
      <c r="C146" s="10"/>
      <c r="D146" s="2">
        <v>280.37</v>
      </c>
      <c r="E146" s="2"/>
      <c r="F146" s="19">
        <f t="shared" si="38"/>
        <v>4.2703985210776942E-4</v>
      </c>
      <c r="G146" s="2"/>
      <c r="H146" s="2"/>
      <c r="I146" s="2"/>
      <c r="J146" s="19">
        <f t="shared" si="39"/>
        <v>0</v>
      </c>
      <c r="K146" s="2"/>
      <c r="L146" s="2">
        <f t="shared" si="40"/>
        <v>280.37</v>
      </c>
      <c r="M146" s="2"/>
      <c r="N146" s="19">
        <f t="shared" si="41"/>
        <v>0</v>
      </c>
      <c r="O146" s="10"/>
      <c r="P146" s="2">
        <v>8066.09</v>
      </c>
      <c r="Q146" s="2"/>
      <c r="R146" s="19">
        <f t="shared" si="42"/>
        <v>1.0365105335216399E-3</v>
      </c>
      <c r="S146" s="2"/>
      <c r="T146" s="2">
        <v>33239.879999999997</v>
      </c>
      <c r="U146" s="2"/>
      <c r="V146" s="19">
        <f t="shared" si="43"/>
        <v>2.8994418059792187E-3</v>
      </c>
      <c r="W146" s="2"/>
      <c r="X146" s="2">
        <f t="shared" si="44"/>
        <v>-25173.789999999997</v>
      </c>
      <c r="Y146" s="2"/>
      <c r="Z146" s="19">
        <f t="shared" si="45"/>
        <v>-0.75733696992889266</v>
      </c>
    </row>
    <row r="147" spans="1:26" s="23" customFormat="1" hidden="1" outlineLevel="1" x14ac:dyDescent="0.25">
      <c r="A147" s="44"/>
      <c r="B147" s="10" t="str">
        <f>CONCATENATE("          ", "5032", " - ", "PURCHASES @ COST-JUICE")</f>
        <v xml:space="preserve">          5032 - PURCHASES @ COST-JUICE</v>
      </c>
      <c r="C147" s="10"/>
      <c r="D147" s="2"/>
      <c r="E147" s="2"/>
      <c r="F147" s="19">
        <f t="shared" si="38"/>
        <v>0</v>
      </c>
      <c r="G147" s="2"/>
      <c r="H147" s="2"/>
      <c r="I147" s="2"/>
      <c r="J147" s="19">
        <f t="shared" si="39"/>
        <v>0</v>
      </c>
      <c r="K147" s="2"/>
      <c r="L147" s="2">
        <f t="shared" si="40"/>
        <v>0</v>
      </c>
      <c r="M147" s="2"/>
      <c r="N147" s="19">
        <f t="shared" si="41"/>
        <v>0</v>
      </c>
      <c r="O147" s="10"/>
      <c r="P147" s="2"/>
      <c r="Q147" s="2"/>
      <c r="R147" s="19">
        <f t="shared" si="42"/>
        <v>0</v>
      </c>
      <c r="S147" s="2"/>
      <c r="T147" s="2">
        <v>7802.45</v>
      </c>
      <c r="U147" s="2"/>
      <c r="V147" s="19">
        <f t="shared" si="43"/>
        <v>6.8059059536504211E-4</v>
      </c>
      <c r="W147" s="2"/>
      <c r="X147" s="2">
        <f t="shared" si="44"/>
        <v>-7802.45</v>
      </c>
      <c r="Y147" s="2"/>
      <c r="Z147" s="19">
        <f t="shared" si="45"/>
        <v>-1</v>
      </c>
    </row>
    <row r="148" spans="1:26" s="23" customFormat="1" hidden="1" outlineLevel="1" x14ac:dyDescent="0.25">
      <c r="A148" s="44"/>
      <c r="B148" s="10" t="str">
        <f>CONCATENATE("          ", "5033", " - ", "PURCHASES @ COST-CANDY")</f>
        <v xml:space="preserve">          5033 - PURCHASES @ COST-CANDY</v>
      </c>
      <c r="C148" s="10"/>
      <c r="D148" s="2"/>
      <c r="E148" s="2"/>
      <c r="F148" s="19">
        <f t="shared" si="38"/>
        <v>0</v>
      </c>
      <c r="G148" s="2"/>
      <c r="H148" s="2"/>
      <c r="I148" s="2"/>
      <c r="J148" s="19">
        <f t="shared" si="39"/>
        <v>0</v>
      </c>
      <c r="K148" s="2"/>
      <c r="L148" s="2">
        <f t="shared" si="40"/>
        <v>0</v>
      </c>
      <c r="M148" s="2"/>
      <c r="N148" s="19">
        <f t="shared" si="41"/>
        <v>0</v>
      </c>
      <c r="O148" s="10"/>
      <c r="P148" s="2"/>
      <c r="Q148" s="2"/>
      <c r="R148" s="19">
        <f t="shared" si="42"/>
        <v>0</v>
      </c>
      <c r="S148" s="2"/>
      <c r="T148" s="2">
        <v>9998.41</v>
      </c>
      <c r="U148" s="2"/>
      <c r="V148" s="19">
        <f t="shared" si="43"/>
        <v>8.7213936835273424E-4</v>
      </c>
      <c r="W148" s="2"/>
      <c r="X148" s="2">
        <f t="shared" si="44"/>
        <v>-9998.41</v>
      </c>
      <c r="Y148" s="2"/>
      <c r="Z148" s="19">
        <f t="shared" si="45"/>
        <v>-1</v>
      </c>
    </row>
    <row r="149" spans="1:26" s="23" customFormat="1" hidden="1" outlineLevel="1" x14ac:dyDescent="0.25">
      <c r="A149" s="44"/>
      <c r="B149" s="10" t="str">
        <f>CONCATENATE("          ", "5034", " - ", "PURCHASES @ COST-SODA")</f>
        <v xml:space="preserve">          5034 - PURCHASES @ COST-SODA</v>
      </c>
      <c r="C149" s="10"/>
      <c r="D149" s="2"/>
      <c r="E149" s="2"/>
      <c r="F149" s="19">
        <f t="shared" si="38"/>
        <v>0</v>
      </c>
      <c r="G149" s="2"/>
      <c r="H149" s="2"/>
      <c r="I149" s="2"/>
      <c r="J149" s="19">
        <f t="shared" si="39"/>
        <v>0</v>
      </c>
      <c r="K149" s="2"/>
      <c r="L149" s="2">
        <f t="shared" si="40"/>
        <v>0</v>
      </c>
      <c r="M149" s="2"/>
      <c r="N149" s="19">
        <f t="shared" si="41"/>
        <v>0</v>
      </c>
      <c r="O149" s="10"/>
      <c r="P149" s="2"/>
      <c r="Q149" s="2"/>
      <c r="R149" s="19">
        <f t="shared" si="42"/>
        <v>0</v>
      </c>
      <c r="S149" s="2"/>
      <c r="T149" s="2">
        <v>4033.88</v>
      </c>
      <c r="U149" s="2"/>
      <c r="V149" s="19">
        <f t="shared" si="43"/>
        <v>3.5186650229493768E-4</v>
      </c>
      <c r="W149" s="2"/>
      <c r="X149" s="2">
        <f t="shared" si="44"/>
        <v>-4033.88</v>
      </c>
      <c r="Y149" s="2"/>
      <c r="Z149" s="19">
        <f t="shared" si="45"/>
        <v>-1</v>
      </c>
    </row>
    <row r="150" spans="1:26" s="23" customFormat="1" hidden="1" outlineLevel="1" x14ac:dyDescent="0.25">
      <c r="A150" s="44"/>
      <c r="B150" s="10" t="str">
        <f>CONCATENATE("          ", "5035", " - ", "PURCHASES @ COST-HEALTH &amp; BEAU")</f>
        <v xml:space="preserve">          5035 - PURCHASES @ COST-HEALTH &amp; BEAU</v>
      </c>
      <c r="C150" s="10"/>
      <c r="D150" s="2"/>
      <c r="E150" s="2"/>
      <c r="F150" s="19">
        <f t="shared" si="38"/>
        <v>0</v>
      </c>
      <c r="G150" s="2"/>
      <c r="H150" s="2"/>
      <c r="I150" s="2"/>
      <c r="J150" s="19">
        <f t="shared" si="39"/>
        <v>0</v>
      </c>
      <c r="K150" s="2"/>
      <c r="L150" s="2">
        <f t="shared" si="40"/>
        <v>0</v>
      </c>
      <c r="M150" s="2"/>
      <c r="N150" s="19">
        <f t="shared" si="41"/>
        <v>0</v>
      </c>
      <c r="O150" s="10"/>
      <c r="P150" s="2"/>
      <c r="Q150" s="2"/>
      <c r="R150" s="19">
        <f t="shared" si="42"/>
        <v>0</v>
      </c>
      <c r="S150" s="2"/>
      <c r="T150" s="2">
        <v>1117.6500000000001</v>
      </c>
      <c r="U150" s="2"/>
      <c r="V150" s="19">
        <f t="shared" si="43"/>
        <v>9.7490157438976153E-5</v>
      </c>
      <c r="W150" s="2"/>
      <c r="X150" s="2">
        <f t="shared" si="44"/>
        <v>-1117.6500000000001</v>
      </c>
      <c r="Y150" s="2"/>
      <c r="Z150" s="19">
        <f t="shared" si="45"/>
        <v>-1</v>
      </c>
    </row>
    <row r="151" spans="1:26" s="23" customFormat="1" hidden="1" outlineLevel="1" x14ac:dyDescent="0.25">
      <c r="A151" s="44"/>
      <c r="B151" s="10" t="str">
        <f>CONCATENATE("          ", "5037", " - ", "PURCHASES @ COST-WATER")</f>
        <v xml:space="preserve">          5037 - PURCHASES @ COST-WATER</v>
      </c>
      <c r="C151" s="10"/>
      <c r="D151" s="2"/>
      <c r="E151" s="2"/>
      <c r="F151" s="19">
        <f t="shared" si="38"/>
        <v>0</v>
      </c>
      <c r="G151" s="2"/>
      <c r="H151" s="2"/>
      <c r="I151" s="2"/>
      <c r="J151" s="19">
        <f t="shared" si="39"/>
        <v>0</v>
      </c>
      <c r="K151" s="2"/>
      <c r="L151" s="2">
        <f t="shared" si="40"/>
        <v>0</v>
      </c>
      <c r="M151" s="2"/>
      <c r="N151" s="19">
        <f t="shared" si="41"/>
        <v>0</v>
      </c>
      <c r="O151" s="10"/>
      <c r="P151" s="2"/>
      <c r="Q151" s="2"/>
      <c r="R151" s="19">
        <f t="shared" si="42"/>
        <v>0</v>
      </c>
      <c r="S151" s="2"/>
      <c r="T151" s="2">
        <v>5693.57</v>
      </c>
      <c r="U151" s="2"/>
      <c r="V151" s="19">
        <f t="shared" si="43"/>
        <v>4.9663761972874453E-4</v>
      </c>
      <c r="W151" s="2"/>
      <c r="X151" s="2">
        <f t="shared" si="44"/>
        <v>-5693.57</v>
      </c>
      <c r="Y151" s="2"/>
      <c r="Z151" s="19">
        <f t="shared" si="45"/>
        <v>-1</v>
      </c>
    </row>
    <row r="152" spans="1:26" s="23" customFormat="1" hidden="1" outlineLevel="1" x14ac:dyDescent="0.25">
      <c r="A152" s="44"/>
      <c r="B152" s="10" t="str">
        <f>CONCATENATE("          ", "5040", " - ", "PURCHASES @ COST-LOGO CLOTHING")</f>
        <v xml:space="preserve">          5040 - PURCHASES @ COST-LOGO CLOTHING</v>
      </c>
      <c r="C152" s="10"/>
      <c r="D152" s="2">
        <v>48288.73</v>
      </c>
      <c r="E152" s="2"/>
      <c r="F152" s="19">
        <f t="shared" si="38"/>
        <v>7.3549995069629448E-2</v>
      </c>
      <c r="G152" s="2"/>
      <c r="H152" s="2">
        <v>1557.89</v>
      </c>
      <c r="I152" s="2"/>
      <c r="J152" s="19">
        <f t="shared" si="39"/>
        <v>4.3372802586471113E-3</v>
      </c>
      <c r="K152" s="2"/>
      <c r="L152" s="2">
        <f t="shared" si="40"/>
        <v>46730.840000000004</v>
      </c>
      <c r="M152" s="2"/>
      <c r="N152" s="19">
        <f t="shared" si="41"/>
        <v>29.996238502076526</v>
      </c>
      <c r="O152" s="10"/>
      <c r="P152" s="2">
        <v>327378.98</v>
      </c>
      <c r="Q152" s="2"/>
      <c r="R152" s="19">
        <f t="shared" si="42"/>
        <v>4.2068928219691361E-2</v>
      </c>
      <c r="S152" s="2"/>
      <c r="T152" s="2">
        <v>976469.33</v>
      </c>
      <c r="U152" s="2"/>
      <c r="V152" s="19">
        <f t="shared" si="43"/>
        <v>8.5175277337298391E-2</v>
      </c>
      <c r="W152" s="2"/>
      <c r="X152" s="2">
        <f t="shared" si="44"/>
        <v>-649090.35</v>
      </c>
      <c r="Y152" s="2"/>
      <c r="Z152" s="19">
        <f t="shared" si="45"/>
        <v>-0.66473193786844287</v>
      </c>
    </row>
    <row r="153" spans="1:26" s="23" customFormat="1" hidden="1" outlineLevel="1" x14ac:dyDescent="0.25">
      <c r="A153" s="44"/>
      <c r="B153" s="10" t="str">
        <f>CONCATENATE("          ", "5041", " - ", "PURCHASES @ COST-LOGO GIFTS")</f>
        <v xml:space="preserve">          5041 - PURCHASES @ COST-LOGO GIFTS</v>
      </c>
      <c r="C153" s="10"/>
      <c r="D153" s="2">
        <v>22136.9</v>
      </c>
      <c r="E153" s="2"/>
      <c r="F153" s="19">
        <f t="shared" si="38"/>
        <v>3.3717368128275069E-2</v>
      </c>
      <c r="G153" s="2"/>
      <c r="H153" s="2">
        <v>4290.8100000000004</v>
      </c>
      <c r="I153" s="2"/>
      <c r="J153" s="19">
        <f t="shared" si="39"/>
        <v>1.1945930397271702E-2</v>
      </c>
      <c r="K153" s="2"/>
      <c r="L153" s="2">
        <f t="shared" si="40"/>
        <v>17846.09</v>
      </c>
      <c r="M153" s="2"/>
      <c r="N153" s="19">
        <f t="shared" si="41"/>
        <v>4.1591424462980182</v>
      </c>
      <c r="O153" s="10"/>
      <c r="P153" s="2">
        <v>106398.85</v>
      </c>
      <c r="Q153" s="2"/>
      <c r="R153" s="19">
        <f t="shared" si="42"/>
        <v>1.3672489245667845E-2</v>
      </c>
      <c r="S153" s="2"/>
      <c r="T153" s="2">
        <v>149750.84</v>
      </c>
      <c r="U153" s="2"/>
      <c r="V153" s="19">
        <f t="shared" si="43"/>
        <v>1.3062437228308438E-2</v>
      </c>
      <c r="W153" s="2"/>
      <c r="X153" s="2">
        <f t="shared" si="44"/>
        <v>-43351.989999999991</v>
      </c>
      <c r="Y153" s="2"/>
      <c r="Z153" s="19">
        <f t="shared" si="45"/>
        <v>-0.28949413572571608</v>
      </c>
    </row>
    <row r="154" spans="1:26" s="23" customFormat="1" hidden="1" outlineLevel="1" x14ac:dyDescent="0.25">
      <c r="A154" s="44"/>
      <c r="B154" s="10" t="str">
        <f>CONCATENATE("          ", "5042", " - ", "PURCHASES @ COST-EVERYDAY GIFT")</f>
        <v xml:space="preserve">          5042 - PURCHASES @ COST-EVERYDAY GIFT</v>
      </c>
      <c r="C154" s="10"/>
      <c r="D154" s="2">
        <v>-0.11</v>
      </c>
      <c r="E154" s="2"/>
      <c r="F154" s="19">
        <f t="shared" si="38"/>
        <v>-1.6754425841514653E-7</v>
      </c>
      <c r="G154" s="2"/>
      <c r="H154" s="2">
        <v>10730.16</v>
      </c>
      <c r="I154" s="2"/>
      <c r="J154" s="19">
        <f t="shared" si="39"/>
        <v>2.9873554063589141E-2</v>
      </c>
      <c r="K154" s="2"/>
      <c r="L154" s="2">
        <f t="shared" si="40"/>
        <v>-10730.27</v>
      </c>
      <c r="M154" s="2"/>
      <c r="N154" s="19">
        <f t="shared" si="41"/>
        <v>-1.0000102514780769</v>
      </c>
      <c r="O154" s="10"/>
      <c r="P154" s="2">
        <v>18748.07</v>
      </c>
      <c r="Q154" s="2"/>
      <c r="R154" s="19">
        <f t="shared" si="42"/>
        <v>2.4091687593618535E-3</v>
      </c>
      <c r="S154" s="2"/>
      <c r="T154" s="2">
        <v>126615.2</v>
      </c>
      <c r="U154" s="2"/>
      <c r="V154" s="19">
        <f t="shared" si="43"/>
        <v>1.1044366109396906E-2</v>
      </c>
      <c r="W154" s="2"/>
      <c r="X154" s="2">
        <f t="shared" si="44"/>
        <v>-107867.13</v>
      </c>
      <c r="Y154" s="2"/>
      <c r="Z154" s="19">
        <f t="shared" si="45"/>
        <v>-0.8519287573687836</v>
      </c>
    </row>
    <row r="155" spans="1:26" s="23" customFormat="1" hidden="1" outlineLevel="1" x14ac:dyDescent="0.25">
      <c r="A155" s="44"/>
      <c r="B155" s="10" t="str">
        <f>CONCATENATE("          ", "5043", " - ", "PURCHASES @ COST-CARDS")</f>
        <v xml:space="preserve">          5043 - PURCHASES @ COST-CARDS</v>
      </c>
      <c r="C155" s="10"/>
      <c r="D155" s="2">
        <v>178</v>
      </c>
      <c r="E155" s="2"/>
      <c r="F155" s="19">
        <f t="shared" si="38"/>
        <v>2.7111707270814623E-4</v>
      </c>
      <c r="G155" s="2"/>
      <c r="H155" s="2"/>
      <c r="I155" s="2"/>
      <c r="J155" s="19">
        <f t="shared" si="39"/>
        <v>0</v>
      </c>
      <c r="K155" s="2"/>
      <c r="L155" s="2">
        <f t="shared" si="40"/>
        <v>178</v>
      </c>
      <c r="M155" s="2"/>
      <c r="N155" s="19">
        <f t="shared" si="41"/>
        <v>0</v>
      </c>
      <c r="O155" s="10"/>
      <c r="P155" s="2">
        <v>55583.33</v>
      </c>
      <c r="Q155" s="2"/>
      <c r="R155" s="19">
        <f t="shared" si="42"/>
        <v>7.1425817258683423E-3</v>
      </c>
      <c r="S155" s="2"/>
      <c r="T155" s="2">
        <v>30914.66</v>
      </c>
      <c r="U155" s="2"/>
      <c r="V155" s="19">
        <f t="shared" si="43"/>
        <v>2.6966179667806721E-3</v>
      </c>
      <c r="W155" s="2"/>
      <c r="X155" s="2">
        <f t="shared" si="44"/>
        <v>24668.670000000002</v>
      </c>
      <c r="Y155" s="2"/>
      <c r="Z155" s="19">
        <f t="shared" si="45"/>
        <v>0.79796025574921414</v>
      </c>
    </row>
    <row r="156" spans="1:26" s="23" customFormat="1" hidden="1" outlineLevel="1" x14ac:dyDescent="0.25">
      <c r="A156" s="44"/>
      <c r="B156" s="10" t="str">
        <f>CONCATENATE("          ", "5044", " - ", "PURCHASES @ COST-ACCESSORIES")</f>
        <v xml:space="preserve">          5044 - PURCHASES @ COST-ACCESSORIES</v>
      </c>
      <c r="C156" s="10"/>
      <c r="D156" s="2"/>
      <c r="E156" s="2"/>
      <c r="F156" s="19">
        <f t="shared" si="38"/>
        <v>0</v>
      </c>
      <c r="G156" s="2"/>
      <c r="H156" s="2">
        <v>1395</v>
      </c>
      <c r="I156" s="2"/>
      <c r="J156" s="19">
        <f t="shared" si="39"/>
        <v>3.8837825268874695E-3</v>
      </c>
      <c r="K156" s="2"/>
      <c r="L156" s="2">
        <f t="shared" si="40"/>
        <v>-1395</v>
      </c>
      <c r="M156" s="2"/>
      <c r="N156" s="19">
        <f t="shared" si="41"/>
        <v>-1</v>
      </c>
      <c r="O156" s="10"/>
      <c r="P156" s="2">
        <v>2555.71</v>
      </c>
      <c r="Q156" s="2"/>
      <c r="R156" s="19">
        <f t="shared" si="42"/>
        <v>3.284144282578784E-4</v>
      </c>
      <c r="S156" s="2"/>
      <c r="T156" s="2">
        <v>37869.03</v>
      </c>
      <c r="U156" s="2"/>
      <c r="V156" s="19">
        <f t="shared" si="43"/>
        <v>3.3032324043853717E-3</v>
      </c>
      <c r="W156" s="2"/>
      <c r="X156" s="2">
        <f t="shared" si="44"/>
        <v>-35313.32</v>
      </c>
      <c r="Y156" s="2"/>
      <c r="Z156" s="19">
        <f t="shared" si="45"/>
        <v>-0.93251187051794038</v>
      </c>
    </row>
    <row r="157" spans="1:26" s="23" customFormat="1" hidden="1" outlineLevel="1" x14ac:dyDescent="0.25">
      <c r="A157" s="44"/>
      <c r="B157" s="10" t="str">
        <f>CONCATENATE("          ", "5045", " - ", "PURCHASES @ COST-SPECIAL ORDER")</f>
        <v xml:space="preserve">          5045 - PURCHASES @ COST-SPECIAL ORDER</v>
      </c>
      <c r="C157" s="10"/>
      <c r="D157" s="2">
        <v>24141.17</v>
      </c>
      <c r="E157" s="2"/>
      <c r="F157" s="19">
        <f t="shared" si="38"/>
        <v>3.6770131135672568E-2</v>
      </c>
      <c r="G157" s="2"/>
      <c r="H157" s="2">
        <v>16919.25</v>
      </c>
      <c r="I157" s="2"/>
      <c r="J157" s="19">
        <f t="shared" si="39"/>
        <v>4.7104435496803453E-2</v>
      </c>
      <c r="K157" s="2"/>
      <c r="L157" s="2">
        <f t="shared" si="40"/>
        <v>7221.9199999999983</v>
      </c>
      <c r="M157" s="2"/>
      <c r="N157" s="19">
        <f t="shared" si="41"/>
        <v>0.42684634366180524</v>
      </c>
      <c r="O157" s="10"/>
      <c r="P157" s="2">
        <v>139139.24</v>
      </c>
      <c r="Q157" s="2"/>
      <c r="R157" s="19">
        <f t="shared" si="42"/>
        <v>1.7879702295188312E-2</v>
      </c>
      <c r="S157" s="2"/>
      <c r="T157" s="2">
        <v>78842.399999999994</v>
      </c>
      <c r="U157" s="2"/>
      <c r="V157" s="19">
        <f t="shared" si="43"/>
        <v>6.8772495762239802E-3</v>
      </c>
      <c r="W157" s="2"/>
      <c r="X157" s="2">
        <f t="shared" si="44"/>
        <v>60296.84</v>
      </c>
      <c r="Y157" s="2"/>
      <c r="Z157" s="19">
        <f t="shared" si="45"/>
        <v>0.7647768205939951</v>
      </c>
    </row>
    <row r="158" spans="1:26" s="23" customFormat="1" hidden="1" outlineLevel="1" x14ac:dyDescent="0.25">
      <c r="A158" s="44"/>
      <c r="B158" s="10" t="str">
        <f>CONCATENATE("          ", "5081", " - ", "PURCHASES @ COST-ELECTRONICS")</f>
        <v xml:space="preserve">          5081 - PURCHASES @ COST-ELECTRONICS</v>
      </c>
      <c r="C158" s="10"/>
      <c r="D158" s="2">
        <v>-28.91</v>
      </c>
      <c r="E158" s="2"/>
      <c r="F158" s="19">
        <f t="shared" si="38"/>
        <v>-4.4033677370744419E-5</v>
      </c>
      <c r="G158" s="2"/>
      <c r="H158" s="2">
        <v>1637.44</v>
      </c>
      <c r="I158" s="2"/>
      <c r="J158" s="19">
        <f t="shared" si="39"/>
        <v>4.5587533052520559E-3</v>
      </c>
      <c r="K158" s="2"/>
      <c r="L158" s="2">
        <f t="shared" si="40"/>
        <v>-1666.3500000000001</v>
      </c>
      <c r="M158" s="2"/>
      <c r="N158" s="19">
        <f t="shared" si="41"/>
        <v>-1.0176556087551301</v>
      </c>
      <c r="O158" s="10"/>
      <c r="P158" s="2">
        <v>32419.46</v>
      </c>
      <c r="Q158" s="2"/>
      <c r="R158" s="19">
        <f t="shared" si="42"/>
        <v>4.1659728295969254E-3</v>
      </c>
      <c r="S158" s="2"/>
      <c r="T158" s="2">
        <v>260469.61</v>
      </c>
      <c r="U158" s="2"/>
      <c r="V158" s="19">
        <f t="shared" si="43"/>
        <v>2.2720192624675624E-2</v>
      </c>
      <c r="W158" s="2"/>
      <c r="X158" s="2">
        <f t="shared" si="44"/>
        <v>-228050.15</v>
      </c>
      <c r="Y158" s="2"/>
      <c r="Z158" s="19">
        <f t="shared" si="45"/>
        <v>-0.87553457771906673</v>
      </c>
    </row>
    <row r="159" spans="1:26" s="23" customFormat="1" hidden="1" outlineLevel="1" x14ac:dyDescent="0.25">
      <c r="A159" s="44"/>
      <c r="B159" s="10" t="str">
        <f>CONCATENATE("          ", "5082", " - ", "PURCHASES @ COST-COMPUTER HARD")</f>
        <v xml:space="preserve">          5082 - PURCHASES @ COST-COMPUTER HARD</v>
      </c>
      <c r="C159" s="10"/>
      <c r="D159" s="2">
        <v>129194.07</v>
      </c>
      <c r="E159" s="2"/>
      <c r="F159" s="19">
        <f t="shared" si="38"/>
        <v>0.19677931499804119</v>
      </c>
      <c r="G159" s="2"/>
      <c r="H159" s="2">
        <v>140818.03</v>
      </c>
      <c r="I159" s="2"/>
      <c r="J159" s="19">
        <f t="shared" si="39"/>
        <v>0.39204774507864909</v>
      </c>
      <c r="K159" s="2"/>
      <c r="L159" s="2">
        <f t="shared" si="40"/>
        <v>-11623.959999999992</v>
      </c>
      <c r="M159" s="2"/>
      <c r="N159" s="19">
        <f t="shared" si="41"/>
        <v>-8.2545963751942786E-2</v>
      </c>
      <c r="O159" s="10"/>
      <c r="P159" s="2">
        <v>1802534.87</v>
      </c>
      <c r="Q159" s="2"/>
      <c r="R159" s="19">
        <f t="shared" si="42"/>
        <v>0.23162974623331256</v>
      </c>
      <c r="S159" s="2"/>
      <c r="T159" s="2">
        <v>1641649.9</v>
      </c>
      <c r="U159" s="2"/>
      <c r="V159" s="19">
        <f t="shared" si="43"/>
        <v>0.14319751908976819</v>
      </c>
      <c r="W159" s="2"/>
      <c r="X159" s="2">
        <f t="shared" si="44"/>
        <v>160884.9700000002</v>
      </c>
      <c r="Y159" s="2"/>
      <c r="Z159" s="19">
        <f t="shared" si="45"/>
        <v>9.8001997868120486E-2</v>
      </c>
    </row>
    <row r="160" spans="1:26" s="23" customFormat="1" hidden="1" outlineLevel="1" x14ac:dyDescent="0.25">
      <c r="A160" s="44"/>
      <c r="B160" s="10" t="str">
        <f>CONCATENATE("          ", "5083", " - ", "PURCHASES @ COST-COMPUTER EQUI")</f>
        <v xml:space="preserve">          5083 - PURCHASES @ COST-COMPUTER EQUI</v>
      </c>
      <c r="C160" s="10"/>
      <c r="D160" s="2">
        <v>7514.45</v>
      </c>
      <c r="E160" s="2"/>
      <c r="F160" s="19">
        <f t="shared" si="38"/>
        <v>1.1445481387706345E-2</v>
      </c>
      <c r="G160" s="2"/>
      <c r="H160" s="2">
        <v>14533.49</v>
      </c>
      <c r="I160" s="2"/>
      <c r="J160" s="19">
        <f t="shared" si="39"/>
        <v>4.0462304313042131E-2</v>
      </c>
      <c r="K160" s="2"/>
      <c r="L160" s="2">
        <f t="shared" si="40"/>
        <v>-7019.04</v>
      </c>
      <c r="M160" s="2"/>
      <c r="N160" s="19">
        <f t="shared" si="41"/>
        <v>-0.48295626171002287</v>
      </c>
      <c r="O160" s="10"/>
      <c r="P160" s="2">
        <v>127029.94</v>
      </c>
      <c r="Q160" s="2"/>
      <c r="R160" s="19">
        <f t="shared" si="42"/>
        <v>1.632363026976167E-2</v>
      </c>
      <c r="S160" s="2"/>
      <c r="T160" s="2">
        <v>94945.82</v>
      </c>
      <c r="U160" s="2"/>
      <c r="V160" s="19">
        <f t="shared" si="43"/>
        <v>8.2819155728293212E-3</v>
      </c>
      <c r="W160" s="2"/>
      <c r="X160" s="2">
        <f t="shared" si="44"/>
        <v>32084.119999999995</v>
      </c>
      <c r="Y160" s="2"/>
      <c r="Z160" s="19">
        <f t="shared" si="45"/>
        <v>0.33792030023017328</v>
      </c>
    </row>
    <row r="161" spans="1:26" s="23" customFormat="1" hidden="1" outlineLevel="1" x14ac:dyDescent="0.25">
      <c r="A161" s="44"/>
      <c r="B161" s="10" t="str">
        <f>CONCATENATE("          ", "5084", " - ", "PURCHASES @ COST-SOFTWARE LICE")</f>
        <v xml:space="preserve">          5084 - PURCHASES @ COST-SOFTWARE LICE</v>
      </c>
      <c r="C161" s="10"/>
      <c r="D161" s="2"/>
      <c r="E161" s="2"/>
      <c r="F161" s="19">
        <f t="shared" si="38"/>
        <v>0</v>
      </c>
      <c r="G161" s="2"/>
      <c r="H161" s="2"/>
      <c r="I161" s="2"/>
      <c r="J161" s="19">
        <f t="shared" si="39"/>
        <v>0</v>
      </c>
      <c r="K161" s="2"/>
      <c r="L161" s="2">
        <f t="shared" si="40"/>
        <v>0</v>
      </c>
      <c r="M161" s="2"/>
      <c r="N161" s="19">
        <f t="shared" si="41"/>
        <v>0</v>
      </c>
      <c r="O161" s="10"/>
      <c r="P161" s="2"/>
      <c r="Q161" s="2"/>
      <c r="R161" s="19">
        <f t="shared" si="42"/>
        <v>0</v>
      </c>
      <c r="S161" s="2"/>
      <c r="T161" s="2">
        <v>2728</v>
      </c>
      <c r="U161" s="2"/>
      <c r="V161" s="19">
        <f t="shared" si="43"/>
        <v>2.3795745492195849E-4</v>
      </c>
      <c r="W161" s="2"/>
      <c r="X161" s="2">
        <f t="shared" si="44"/>
        <v>-2728</v>
      </c>
      <c r="Y161" s="2"/>
      <c r="Z161" s="19">
        <f t="shared" si="45"/>
        <v>-1</v>
      </c>
    </row>
    <row r="162" spans="1:26" s="23" customFormat="1" hidden="1" outlineLevel="1" x14ac:dyDescent="0.25">
      <c r="A162" s="44"/>
      <c r="B162" s="10" t="str">
        <f>CONCATENATE("          ", "5085", " - ", "PURCHASES @ COST-SOFTWARE")</f>
        <v xml:space="preserve">          5085 - PURCHASES @ COST-SOFTWARE</v>
      </c>
      <c r="C162" s="10"/>
      <c r="D162" s="2">
        <v>8375.49</v>
      </c>
      <c r="E162" s="2"/>
      <c r="F162" s="19">
        <f t="shared" si="38"/>
        <v>1.2756956917395233E-2</v>
      </c>
      <c r="G162" s="2"/>
      <c r="H162" s="2">
        <v>3661.64</v>
      </c>
      <c r="I162" s="2"/>
      <c r="J162" s="19">
        <f t="shared" si="39"/>
        <v>1.0194274875808053E-2</v>
      </c>
      <c r="K162" s="2"/>
      <c r="L162" s="2">
        <f t="shared" si="40"/>
        <v>4713.8500000000004</v>
      </c>
      <c r="M162" s="2"/>
      <c r="N162" s="19">
        <f t="shared" si="41"/>
        <v>1.2873603084956469</v>
      </c>
      <c r="O162" s="10"/>
      <c r="P162" s="2">
        <v>46286.37</v>
      </c>
      <c r="Q162" s="2"/>
      <c r="R162" s="19">
        <f t="shared" si="42"/>
        <v>5.9479016553844596E-3</v>
      </c>
      <c r="S162" s="2"/>
      <c r="T162" s="2">
        <v>15328.14</v>
      </c>
      <c r="U162" s="2"/>
      <c r="V162" s="19">
        <f t="shared" si="43"/>
        <v>1.3370400231259049E-3</v>
      </c>
      <c r="W162" s="2"/>
      <c r="X162" s="2">
        <f t="shared" si="44"/>
        <v>30958.230000000003</v>
      </c>
      <c r="Y162" s="2"/>
      <c r="Z162" s="19">
        <f t="shared" si="45"/>
        <v>2.0196990632914367</v>
      </c>
    </row>
    <row r="163" spans="1:26" s="23" customFormat="1" hidden="1" outlineLevel="1" x14ac:dyDescent="0.25">
      <c r="A163" s="44"/>
      <c r="B163" s="10" t="str">
        <f>CONCATENATE("          ", "5086", " - ", "PURCHASES @ COST-COMPUTER SUPP")</f>
        <v xml:space="preserve">          5086 - PURCHASES @ COST-COMPUTER SUPP</v>
      </c>
      <c r="C163" s="10"/>
      <c r="D163" s="2">
        <v>83.62</v>
      </c>
      <c r="E163" s="2"/>
      <c r="F163" s="19">
        <f t="shared" si="38"/>
        <v>1.273640989879505E-4</v>
      </c>
      <c r="G163" s="2"/>
      <c r="H163" s="2">
        <v>-67.5</v>
      </c>
      <c r="I163" s="2"/>
      <c r="J163" s="19">
        <f t="shared" si="39"/>
        <v>-1.8792496097842594E-4</v>
      </c>
      <c r="K163" s="2"/>
      <c r="L163" s="2">
        <f t="shared" si="40"/>
        <v>151.12</v>
      </c>
      <c r="M163" s="2"/>
      <c r="N163" s="19">
        <f t="shared" si="41"/>
        <v>-2.2388148148148148</v>
      </c>
      <c r="O163" s="10"/>
      <c r="P163" s="2">
        <v>23776.22</v>
      </c>
      <c r="Q163" s="2"/>
      <c r="R163" s="19">
        <f t="shared" si="42"/>
        <v>3.0552972353802012E-3</v>
      </c>
      <c r="S163" s="2"/>
      <c r="T163" s="2">
        <v>30309.27</v>
      </c>
      <c r="U163" s="2"/>
      <c r="V163" s="19">
        <f t="shared" si="43"/>
        <v>2.6438111252721662E-3</v>
      </c>
      <c r="W163" s="2"/>
      <c r="X163" s="2">
        <f t="shared" si="44"/>
        <v>-6533.0499999999993</v>
      </c>
      <c r="Y163" s="2"/>
      <c r="Z163" s="19">
        <f t="shared" si="45"/>
        <v>-0.21554626686818915</v>
      </c>
    </row>
    <row r="164" spans="1:26" s="23" customFormat="1" hidden="1" outlineLevel="1" x14ac:dyDescent="0.25">
      <c r="A164" s="44"/>
      <c r="B164" s="10" t="str">
        <f>CONCATENATE("          ", "5088", " - ", "PURCHASES @ COST-MUSIC")</f>
        <v xml:space="preserve">          5088 - PURCHASES @ COST-MUSIC</v>
      </c>
      <c r="C164" s="10"/>
      <c r="D164" s="2"/>
      <c r="E164" s="2"/>
      <c r="F164" s="19">
        <f t="shared" si="38"/>
        <v>0</v>
      </c>
      <c r="G164" s="2"/>
      <c r="H164" s="2"/>
      <c r="I164" s="2"/>
      <c r="J164" s="19">
        <f t="shared" si="39"/>
        <v>0</v>
      </c>
      <c r="K164" s="2"/>
      <c r="L164" s="2">
        <f t="shared" si="40"/>
        <v>0</v>
      </c>
      <c r="M164" s="2"/>
      <c r="N164" s="19">
        <f t="shared" si="41"/>
        <v>0</v>
      </c>
      <c r="O164" s="10"/>
      <c r="P164" s="2"/>
      <c r="Q164" s="2"/>
      <c r="R164" s="19">
        <f t="shared" si="42"/>
        <v>0</v>
      </c>
      <c r="S164" s="2"/>
      <c r="T164" s="2">
        <v>95.65</v>
      </c>
      <c r="U164" s="2"/>
      <c r="V164" s="19">
        <f t="shared" si="43"/>
        <v>8.3433396492981424E-6</v>
      </c>
      <c r="W164" s="2"/>
      <c r="X164" s="2">
        <f t="shared" si="44"/>
        <v>-95.65</v>
      </c>
      <c r="Y164" s="2"/>
      <c r="Z164" s="19">
        <f t="shared" si="45"/>
        <v>-1</v>
      </c>
    </row>
    <row r="165" spans="1:26" s="23" customFormat="1" hidden="1" outlineLevel="1" x14ac:dyDescent="0.25">
      <c r="A165" s="44"/>
      <c r="B165" s="10" t="str">
        <f>CONCATENATE("          ", "5092", " - ", "PURCHASES @ COST-GRAD MERCH")</f>
        <v xml:space="preserve">          5092 - PURCHASES @ COST-GRAD MERCH</v>
      </c>
      <c r="C165" s="10"/>
      <c r="D165" s="2"/>
      <c r="E165" s="2"/>
      <c r="F165" s="19">
        <f t="shared" si="38"/>
        <v>0</v>
      </c>
      <c r="G165" s="2"/>
      <c r="H165" s="2">
        <v>-3999.6</v>
      </c>
      <c r="I165" s="2"/>
      <c r="J165" s="19">
        <f t="shared" si="39"/>
        <v>-1.1135180354508332E-2</v>
      </c>
      <c r="K165" s="2"/>
      <c r="L165" s="2">
        <f t="shared" si="40"/>
        <v>3999.6</v>
      </c>
      <c r="M165" s="2"/>
      <c r="N165" s="19">
        <f t="shared" si="41"/>
        <v>-1</v>
      </c>
      <c r="O165" s="10"/>
      <c r="P165" s="2">
        <v>0</v>
      </c>
      <c r="Q165" s="2"/>
      <c r="R165" s="19">
        <f t="shared" si="42"/>
        <v>0</v>
      </c>
      <c r="S165" s="2"/>
      <c r="T165" s="2">
        <v>4485.88</v>
      </c>
      <c r="U165" s="2"/>
      <c r="V165" s="19">
        <f t="shared" si="43"/>
        <v>3.9129347063244694E-4</v>
      </c>
      <c r="W165" s="2"/>
      <c r="X165" s="2">
        <f t="shared" si="44"/>
        <v>-4485.88</v>
      </c>
      <c r="Y165" s="2"/>
      <c r="Z165" s="19">
        <f t="shared" si="45"/>
        <v>-1</v>
      </c>
    </row>
    <row r="166" spans="1:26" s="23" customFormat="1" hidden="1" outlineLevel="1" x14ac:dyDescent="0.25">
      <c r="A166" s="44"/>
      <c r="B166" s="10" t="str">
        <f>CONCATENATE("          ", "5095", " - ", "PURCHASES @ COST-CUSTOMER SERV")</f>
        <v xml:space="preserve">          5095 - PURCHASES @ COST-CUSTOMER SERV</v>
      </c>
      <c r="C166" s="10"/>
      <c r="D166" s="2"/>
      <c r="E166" s="2"/>
      <c r="F166" s="19">
        <f t="shared" si="38"/>
        <v>0</v>
      </c>
      <c r="G166" s="2"/>
      <c r="H166" s="2"/>
      <c r="I166" s="2"/>
      <c r="J166" s="19">
        <f t="shared" si="39"/>
        <v>0</v>
      </c>
      <c r="K166" s="2"/>
      <c r="L166" s="2">
        <f t="shared" si="40"/>
        <v>0</v>
      </c>
      <c r="M166" s="2"/>
      <c r="N166" s="19">
        <f t="shared" si="41"/>
        <v>0</v>
      </c>
      <c r="O166" s="10"/>
      <c r="P166" s="2"/>
      <c r="Q166" s="2"/>
      <c r="R166" s="19">
        <f t="shared" si="42"/>
        <v>0</v>
      </c>
      <c r="S166" s="2"/>
      <c r="T166" s="2">
        <v>0</v>
      </c>
      <c r="U166" s="2"/>
      <c r="V166" s="19">
        <f t="shared" si="43"/>
        <v>0</v>
      </c>
      <c r="W166" s="2"/>
      <c r="X166" s="2">
        <f t="shared" si="44"/>
        <v>0</v>
      </c>
      <c r="Y166" s="2"/>
      <c r="Z166" s="19">
        <f t="shared" si="45"/>
        <v>0</v>
      </c>
    </row>
    <row r="167" spans="1:26" s="23" customFormat="1" hidden="1" outlineLevel="1" x14ac:dyDescent="0.25">
      <c r="A167" s="44"/>
      <c r="B167" s="10" t="str">
        <f>CONCATENATE("          ", "5200", " - ", "PURCHASES OFFSET")</f>
        <v xml:space="preserve">          5200 - PURCHASES OFFSET</v>
      </c>
      <c r="C167" s="10"/>
      <c r="D167" s="2">
        <v>-307740.75</v>
      </c>
      <c r="E167" s="2"/>
      <c r="F167" s="19">
        <f t="shared" si="38"/>
        <v>-0.46872905220791822</v>
      </c>
      <c r="G167" s="2"/>
      <c r="H167" s="2">
        <v>-215779</v>
      </c>
      <c r="I167" s="2"/>
      <c r="J167" s="19">
        <f t="shared" si="39"/>
        <v>-0.60074459488835219</v>
      </c>
      <c r="K167" s="2"/>
      <c r="L167" s="2">
        <f t="shared" si="40"/>
        <v>-91961.75</v>
      </c>
      <c r="M167" s="2"/>
      <c r="N167" s="19">
        <f t="shared" si="41"/>
        <v>0.4261848928765079</v>
      </c>
      <c r="O167" s="10"/>
      <c r="P167" s="2">
        <v>-3876506.96</v>
      </c>
      <c r="Q167" s="2"/>
      <c r="R167" s="19">
        <f t="shared" si="42"/>
        <v>-0.49813977990698721</v>
      </c>
      <c r="S167" s="2"/>
      <c r="T167" s="2">
        <v>-5516370</v>
      </c>
      <c r="U167" s="2"/>
      <c r="V167" s="19">
        <f t="shared" si="43"/>
        <v>-0.48118085249554404</v>
      </c>
      <c r="W167" s="2"/>
      <c r="X167" s="2">
        <f t="shared" si="44"/>
        <v>1639863.04</v>
      </c>
      <c r="Y167" s="2"/>
      <c r="Z167" s="19">
        <f t="shared" si="45"/>
        <v>-0.29727212641646589</v>
      </c>
    </row>
    <row r="168" spans="1:26" s="23" customFormat="1" hidden="1" outlineLevel="1" x14ac:dyDescent="0.25">
      <c r="A168" s="44"/>
      <c r="B168" s="10" t="str">
        <f>CONCATENATE("          ", "5300", " - ", "COG$ OFFSET")</f>
        <v xml:space="preserve">          5300 - COG$ OFFSET</v>
      </c>
      <c r="C168" s="10"/>
      <c r="D168" s="2">
        <v>297791</v>
      </c>
      <c r="E168" s="2"/>
      <c r="F168" s="19">
        <f t="shared" si="38"/>
        <v>0.45357429325186277</v>
      </c>
      <c r="G168" s="2"/>
      <c r="H168" s="2">
        <v>237795</v>
      </c>
      <c r="I168" s="2"/>
      <c r="J168" s="19">
        <f t="shared" si="39"/>
        <v>0.66203875697577474</v>
      </c>
      <c r="K168" s="2"/>
      <c r="L168" s="2">
        <f t="shared" si="40"/>
        <v>59996</v>
      </c>
      <c r="M168" s="2"/>
      <c r="N168" s="19">
        <f t="shared" si="41"/>
        <v>0.25230135200487813</v>
      </c>
      <c r="O168" s="10"/>
      <c r="P168" s="2">
        <v>4928176</v>
      </c>
      <c r="Q168" s="2"/>
      <c r="R168" s="19">
        <f t="shared" si="42"/>
        <v>0.63328159431007358</v>
      </c>
      <c r="S168" s="2"/>
      <c r="T168" s="2">
        <v>6157688.4699999997</v>
      </c>
      <c r="U168" s="2"/>
      <c r="V168" s="19">
        <f t="shared" si="43"/>
        <v>0.53712165561711456</v>
      </c>
      <c r="W168" s="2"/>
      <c r="X168" s="2">
        <f t="shared" si="44"/>
        <v>-1229512.4699999997</v>
      </c>
      <c r="Y168" s="2"/>
      <c r="Z168" s="19">
        <f t="shared" si="45"/>
        <v>-0.19967110645336036</v>
      </c>
    </row>
    <row r="169" spans="1:26" s="23" customFormat="1" hidden="1" outlineLevel="1" x14ac:dyDescent="0.25">
      <c r="A169" s="44"/>
      <c r="B169" s="10" t="str">
        <f>CONCATENATE("          ", "5500", " - ", "FREIGHT-IN")</f>
        <v xml:space="preserve">          5500 - FREIGHT-IN</v>
      </c>
      <c r="C169" s="10"/>
      <c r="D169" s="2">
        <v>0</v>
      </c>
      <c r="E169" s="2"/>
      <c r="F169" s="19">
        <f t="shared" si="38"/>
        <v>0</v>
      </c>
      <c r="G169" s="2"/>
      <c r="H169" s="2"/>
      <c r="I169" s="2"/>
      <c r="J169" s="19">
        <f t="shared" si="39"/>
        <v>0</v>
      </c>
      <c r="K169" s="2"/>
      <c r="L169" s="2">
        <f t="shared" si="40"/>
        <v>0</v>
      </c>
      <c r="M169" s="2"/>
      <c r="N169" s="19">
        <f t="shared" si="41"/>
        <v>0</v>
      </c>
      <c r="O169" s="10"/>
      <c r="P169" s="2">
        <v>0</v>
      </c>
      <c r="Q169" s="2"/>
      <c r="R169" s="19">
        <f t="shared" si="42"/>
        <v>0</v>
      </c>
      <c r="S169" s="2"/>
      <c r="T169" s="2">
        <v>156.47999999999999</v>
      </c>
      <c r="U169" s="2"/>
      <c r="V169" s="19">
        <f t="shared" si="43"/>
        <v>1.3649407091711167E-5</v>
      </c>
      <c r="W169" s="2"/>
      <c r="X169" s="2">
        <f t="shared" si="44"/>
        <v>-156.47999999999999</v>
      </c>
      <c r="Y169" s="2"/>
      <c r="Z169" s="19">
        <f t="shared" si="45"/>
        <v>-1</v>
      </c>
    </row>
    <row r="170" spans="1:26" s="23" customFormat="1" hidden="1" outlineLevel="1" x14ac:dyDescent="0.25">
      <c r="A170" s="44"/>
      <c r="B170" s="10" t="str">
        <f>CONCATENATE("          ", "5501", " - ", "FREIGHT-IN-NEW TEXT")</f>
        <v xml:space="preserve">          5501 - FREIGHT-IN-NEW TEXT</v>
      </c>
      <c r="C170" s="10"/>
      <c r="D170" s="2">
        <v>1522.41</v>
      </c>
      <c r="E170" s="2"/>
      <c r="F170" s="19">
        <f t="shared" si="38"/>
        <v>2.3188277677618479E-3</v>
      </c>
      <c r="G170" s="2"/>
      <c r="H170" s="2">
        <v>-21.22</v>
      </c>
      <c r="I170" s="2"/>
      <c r="J170" s="19">
        <f t="shared" si="39"/>
        <v>-5.9078039584625162E-5</v>
      </c>
      <c r="K170" s="2"/>
      <c r="L170" s="2">
        <f t="shared" si="40"/>
        <v>1543.63</v>
      </c>
      <c r="M170" s="2"/>
      <c r="N170" s="19">
        <f t="shared" si="41"/>
        <v>-72.744109330819995</v>
      </c>
      <c r="O170" s="10"/>
      <c r="P170" s="2">
        <v>51836.14</v>
      </c>
      <c r="Q170" s="2"/>
      <c r="R170" s="19">
        <f t="shared" si="42"/>
        <v>6.6610594633958239E-3</v>
      </c>
      <c r="S170" s="2"/>
      <c r="T170" s="2">
        <v>69747.73</v>
      </c>
      <c r="U170" s="2"/>
      <c r="V170" s="19">
        <f t="shared" si="43"/>
        <v>6.0839414653166904E-3</v>
      </c>
      <c r="W170" s="2"/>
      <c r="X170" s="2">
        <f t="shared" si="44"/>
        <v>-17911.589999999997</v>
      </c>
      <c r="Y170" s="2"/>
      <c r="Z170" s="19">
        <f t="shared" si="45"/>
        <v>-0.25680534692670282</v>
      </c>
    </row>
    <row r="171" spans="1:26" s="23" customFormat="1" hidden="1" outlineLevel="1" x14ac:dyDescent="0.25">
      <c r="A171" s="44"/>
      <c r="B171" s="10" t="str">
        <f>CONCATENATE("          ", "5502", " - ", "FREIGHT-IN-USED TEXT")</f>
        <v xml:space="preserve">          5502 - FREIGHT-IN-USED TEXT</v>
      </c>
      <c r="C171" s="10"/>
      <c r="D171" s="2">
        <v>133.97</v>
      </c>
      <c r="E171" s="2"/>
      <c r="F171" s="19">
        <f t="shared" si="38"/>
        <v>2.0405367545342891E-4</v>
      </c>
      <c r="G171" s="2"/>
      <c r="H171" s="2">
        <v>379.42</v>
      </c>
      <c r="I171" s="2"/>
      <c r="J171" s="19">
        <f t="shared" si="39"/>
        <v>1.0563331658434722E-3</v>
      </c>
      <c r="K171" s="2"/>
      <c r="L171" s="2">
        <f t="shared" si="40"/>
        <v>-245.45000000000002</v>
      </c>
      <c r="M171" s="2"/>
      <c r="N171" s="19">
        <f t="shared" si="41"/>
        <v>-0.64690843919666863</v>
      </c>
      <c r="O171" s="10"/>
      <c r="P171" s="2">
        <v>17992.87</v>
      </c>
      <c r="Q171" s="2"/>
      <c r="R171" s="19">
        <f t="shared" si="42"/>
        <v>2.3121238770315617E-3</v>
      </c>
      <c r="S171" s="2"/>
      <c r="T171" s="2">
        <v>15680.76</v>
      </c>
      <c r="U171" s="2"/>
      <c r="V171" s="19">
        <f t="shared" si="43"/>
        <v>1.3677982920975256E-3</v>
      </c>
      <c r="W171" s="2"/>
      <c r="X171" s="2">
        <f t="shared" si="44"/>
        <v>2312.1099999999988</v>
      </c>
      <c r="Y171" s="2"/>
      <c r="Z171" s="19">
        <f t="shared" si="45"/>
        <v>0.14744884814256443</v>
      </c>
    </row>
    <row r="172" spans="1:26" s="23" customFormat="1" hidden="1" outlineLevel="1" x14ac:dyDescent="0.25">
      <c r="A172" s="44"/>
      <c r="B172" s="10" t="str">
        <f>CONCATENATE("          ", "5504", " - ", "FREIGHT-IN-DIGITAL TEXT")</f>
        <v xml:space="preserve">          5504 - FREIGHT-IN-DIGITAL TEXT</v>
      </c>
      <c r="C172" s="10"/>
      <c r="D172" s="2"/>
      <c r="E172" s="2"/>
      <c r="F172" s="19">
        <f t="shared" si="38"/>
        <v>0</v>
      </c>
      <c r="G172" s="2"/>
      <c r="H172" s="2"/>
      <c r="I172" s="2"/>
      <c r="J172" s="19">
        <f t="shared" si="39"/>
        <v>0</v>
      </c>
      <c r="K172" s="2"/>
      <c r="L172" s="2">
        <f t="shared" si="40"/>
        <v>0</v>
      </c>
      <c r="M172" s="2"/>
      <c r="N172" s="19">
        <f t="shared" si="41"/>
        <v>0</v>
      </c>
      <c r="O172" s="10"/>
      <c r="P172" s="2">
        <v>28.92</v>
      </c>
      <c r="Q172" s="2"/>
      <c r="R172" s="19">
        <f t="shared" si="42"/>
        <v>3.7162844239830984E-6</v>
      </c>
      <c r="S172" s="2"/>
      <c r="T172" s="2">
        <v>118.75</v>
      </c>
      <c r="U172" s="2"/>
      <c r="V172" s="19">
        <f t="shared" si="43"/>
        <v>1.0358301969201822E-5</v>
      </c>
      <c r="W172" s="2"/>
      <c r="X172" s="2">
        <f t="shared" si="44"/>
        <v>-89.83</v>
      </c>
      <c r="Y172" s="2"/>
      <c r="Z172" s="19">
        <f t="shared" si="45"/>
        <v>-0.75646315789473684</v>
      </c>
    </row>
    <row r="173" spans="1:26" s="23" customFormat="1" hidden="1" outlineLevel="1" x14ac:dyDescent="0.25">
      <c r="A173" s="44"/>
      <c r="B173" s="10" t="str">
        <f>CONCATENATE("          ", "5513", " - ", "FREIGHT-IN-TRADE BOOKS")</f>
        <v xml:space="preserve">          5513 - FREIGHT-IN-TRADE BOOKS</v>
      </c>
      <c r="C173" s="10"/>
      <c r="D173" s="2"/>
      <c r="E173" s="2"/>
      <c r="F173" s="19">
        <f t="shared" si="38"/>
        <v>0</v>
      </c>
      <c r="G173" s="2"/>
      <c r="H173" s="2"/>
      <c r="I173" s="2"/>
      <c r="J173" s="19">
        <f t="shared" si="39"/>
        <v>0</v>
      </c>
      <c r="K173" s="2"/>
      <c r="L173" s="2">
        <f t="shared" si="40"/>
        <v>0</v>
      </c>
      <c r="M173" s="2"/>
      <c r="N173" s="19">
        <f t="shared" si="41"/>
        <v>0</v>
      </c>
      <c r="O173" s="10"/>
      <c r="P173" s="2">
        <v>85.28</v>
      </c>
      <c r="Q173" s="2"/>
      <c r="R173" s="19">
        <f t="shared" si="42"/>
        <v>1.0958669975009633E-5</v>
      </c>
      <c r="S173" s="2"/>
      <c r="T173" s="2">
        <v>30.24</v>
      </c>
      <c r="U173" s="2"/>
      <c r="V173" s="19">
        <f t="shared" si="43"/>
        <v>2.6377688551466364E-6</v>
      </c>
      <c r="W173" s="2"/>
      <c r="X173" s="2">
        <f t="shared" si="44"/>
        <v>55.040000000000006</v>
      </c>
      <c r="Y173" s="2"/>
      <c r="Z173" s="19">
        <f t="shared" si="45"/>
        <v>1.8201058201058204</v>
      </c>
    </row>
    <row r="174" spans="1:26" s="23" customFormat="1" hidden="1" outlineLevel="1" x14ac:dyDescent="0.25">
      <c r="A174" s="44"/>
      <c r="B174" s="10" t="str">
        <f>CONCATENATE("          ", "5518", " - ", "FREIGHT-IN-STUDY GUIDES")</f>
        <v xml:space="preserve">          5518 - FREIGHT-IN-STUDY GUIDES</v>
      </c>
      <c r="C174" s="10"/>
      <c r="D174" s="2"/>
      <c r="E174" s="2"/>
      <c r="F174" s="19">
        <f t="shared" si="38"/>
        <v>0</v>
      </c>
      <c r="G174" s="2"/>
      <c r="H174" s="2"/>
      <c r="I174" s="2"/>
      <c r="J174" s="19">
        <f t="shared" si="39"/>
        <v>0</v>
      </c>
      <c r="K174" s="2"/>
      <c r="L174" s="2">
        <f t="shared" si="40"/>
        <v>0</v>
      </c>
      <c r="M174" s="2"/>
      <c r="N174" s="19">
        <f t="shared" si="41"/>
        <v>0</v>
      </c>
      <c r="O174" s="10"/>
      <c r="P174" s="2"/>
      <c r="Q174" s="2"/>
      <c r="R174" s="19">
        <f t="shared" si="42"/>
        <v>0</v>
      </c>
      <c r="S174" s="2"/>
      <c r="T174" s="2">
        <v>21.13</v>
      </c>
      <c r="U174" s="2"/>
      <c r="V174" s="19">
        <f t="shared" si="43"/>
        <v>1.8431235419725011E-6</v>
      </c>
      <c r="W174" s="2"/>
      <c r="X174" s="2">
        <f t="shared" si="44"/>
        <v>-21.13</v>
      </c>
      <c r="Y174" s="2"/>
      <c r="Z174" s="19">
        <f t="shared" si="45"/>
        <v>-1</v>
      </c>
    </row>
    <row r="175" spans="1:26" s="23" customFormat="1" hidden="1" outlineLevel="1" x14ac:dyDescent="0.25">
      <c r="A175" s="44"/>
      <c r="B175" s="10" t="str">
        <f>CONCATENATE("          ", "5525", " - ", "FREIGHT-IN-TEST FORMS")</f>
        <v xml:space="preserve">          5525 - FREIGHT-IN-TEST FORMS</v>
      </c>
      <c r="C175" s="10"/>
      <c r="D175" s="2"/>
      <c r="E175" s="2"/>
      <c r="F175" s="19">
        <f t="shared" si="38"/>
        <v>0</v>
      </c>
      <c r="G175" s="2"/>
      <c r="H175" s="2">
        <v>377.1</v>
      </c>
      <c r="I175" s="2"/>
      <c r="J175" s="19">
        <f t="shared" si="39"/>
        <v>1.0498741153328064E-3</v>
      </c>
      <c r="K175" s="2"/>
      <c r="L175" s="2">
        <f t="shared" si="40"/>
        <v>-377.1</v>
      </c>
      <c r="M175" s="2"/>
      <c r="N175" s="19">
        <f t="shared" si="41"/>
        <v>-1</v>
      </c>
      <c r="O175" s="10"/>
      <c r="P175" s="2">
        <v>48.14</v>
      </c>
      <c r="Q175" s="2"/>
      <c r="R175" s="19">
        <f t="shared" si="42"/>
        <v>6.1860972396454474E-6</v>
      </c>
      <c r="S175" s="2"/>
      <c r="T175" s="2">
        <v>1614.32</v>
      </c>
      <c r="U175" s="2"/>
      <c r="V175" s="19">
        <f t="shared" si="43"/>
        <v>1.4081359187302641E-4</v>
      </c>
      <c r="W175" s="2"/>
      <c r="X175" s="2">
        <f t="shared" si="44"/>
        <v>-1566.1799999999998</v>
      </c>
      <c r="Y175" s="2"/>
      <c r="Z175" s="19">
        <f t="shared" si="45"/>
        <v>-0.9701793944199415</v>
      </c>
    </row>
    <row r="176" spans="1:26" s="23" customFormat="1" hidden="1" outlineLevel="1" x14ac:dyDescent="0.25">
      <c r="A176" s="44"/>
      <c r="B176" s="10" t="str">
        <f>CONCATENATE("          ", "5526", " - ", "FREIGHT-IN-WRITING INSTRUMENTS")</f>
        <v xml:space="preserve">          5526 - FREIGHT-IN-WRITING INSTRUMENTS</v>
      </c>
      <c r="C176" s="10"/>
      <c r="D176" s="2"/>
      <c r="E176" s="2"/>
      <c r="F176" s="19">
        <f t="shared" si="38"/>
        <v>0</v>
      </c>
      <c r="G176" s="2"/>
      <c r="H176" s="2">
        <v>14.15</v>
      </c>
      <c r="I176" s="2"/>
      <c r="J176" s="19">
        <f t="shared" si="39"/>
        <v>3.9394639968070036E-5</v>
      </c>
      <c r="K176" s="2"/>
      <c r="L176" s="2">
        <f t="shared" si="40"/>
        <v>-14.15</v>
      </c>
      <c r="M176" s="2"/>
      <c r="N176" s="19">
        <f t="shared" si="41"/>
        <v>-1</v>
      </c>
      <c r="O176" s="10"/>
      <c r="P176" s="2">
        <v>0</v>
      </c>
      <c r="Q176" s="2"/>
      <c r="R176" s="19">
        <f t="shared" si="42"/>
        <v>0</v>
      </c>
      <c r="S176" s="2"/>
      <c r="T176" s="2">
        <v>274.5</v>
      </c>
      <c r="U176" s="2"/>
      <c r="V176" s="19">
        <f t="shared" si="43"/>
        <v>2.3944032762491792E-5</v>
      </c>
      <c r="W176" s="2"/>
      <c r="X176" s="2">
        <f t="shared" si="44"/>
        <v>-274.5</v>
      </c>
      <c r="Y176" s="2"/>
      <c r="Z176" s="19">
        <f t="shared" si="45"/>
        <v>-1</v>
      </c>
    </row>
    <row r="177" spans="1:26" s="23" customFormat="1" hidden="1" outlineLevel="1" x14ac:dyDescent="0.25">
      <c r="A177" s="44"/>
      <c r="B177" s="10" t="str">
        <f>CONCATENATE("          ", "5527", " - ", "FREIGHT-IN-SCHOOL SUPPLIES")</f>
        <v xml:space="preserve">          5527 - FREIGHT-IN-SCHOOL SUPPLIES</v>
      </c>
      <c r="C177" s="10"/>
      <c r="D177" s="2"/>
      <c r="E177" s="2"/>
      <c r="F177" s="19">
        <f t="shared" si="38"/>
        <v>0</v>
      </c>
      <c r="G177" s="2"/>
      <c r="H177" s="2">
        <v>-250.91</v>
      </c>
      <c r="I177" s="2"/>
      <c r="J177" s="19">
        <f t="shared" si="39"/>
        <v>-6.9855188087550898E-4</v>
      </c>
      <c r="K177" s="2"/>
      <c r="L177" s="2">
        <f t="shared" si="40"/>
        <v>250.91</v>
      </c>
      <c r="M177" s="2"/>
      <c r="N177" s="19">
        <f t="shared" si="41"/>
        <v>-1</v>
      </c>
      <c r="O177" s="10"/>
      <c r="P177" s="2">
        <v>218.62</v>
      </c>
      <c r="Q177" s="2"/>
      <c r="R177" s="19">
        <f t="shared" si="42"/>
        <v>2.809315701145176E-5</v>
      </c>
      <c r="S177" s="2"/>
      <c r="T177" s="2">
        <v>1808</v>
      </c>
      <c r="U177" s="2"/>
      <c r="V177" s="19">
        <f t="shared" si="43"/>
        <v>1.57707873350037E-4</v>
      </c>
      <c r="W177" s="2"/>
      <c r="X177" s="2">
        <f t="shared" si="44"/>
        <v>-1589.38</v>
      </c>
      <c r="Y177" s="2"/>
      <c r="Z177" s="19">
        <f t="shared" si="45"/>
        <v>-0.87908185840707975</v>
      </c>
    </row>
    <row r="178" spans="1:26" s="23" customFormat="1" hidden="1" outlineLevel="1" x14ac:dyDescent="0.25">
      <c r="A178" s="44"/>
      <c r="B178" s="10" t="str">
        <f>CONCATENATE("          ", "5528", " - ", "FREIGHT-IN-ART/TECH")</f>
        <v xml:space="preserve">          5528 - FREIGHT-IN-ART/TECH</v>
      </c>
      <c r="C178" s="10"/>
      <c r="D178" s="2">
        <v>28.53</v>
      </c>
      <c r="E178" s="2"/>
      <c r="F178" s="19">
        <f t="shared" si="38"/>
        <v>4.3454888114401188E-5</v>
      </c>
      <c r="G178" s="2"/>
      <c r="H178" s="2">
        <v>-19.75</v>
      </c>
      <c r="I178" s="2"/>
      <c r="J178" s="19">
        <f t="shared" si="39"/>
        <v>-5.4985451545539447E-5</v>
      </c>
      <c r="K178" s="2"/>
      <c r="L178" s="2">
        <f t="shared" si="40"/>
        <v>48.28</v>
      </c>
      <c r="M178" s="2"/>
      <c r="N178" s="19">
        <f t="shared" si="41"/>
        <v>-2.4445569620253167</v>
      </c>
      <c r="O178" s="10"/>
      <c r="P178" s="2">
        <v>572.96</v>
      </c>
      <c r="Q178" s="2"/>
      <c r="R178" s="19">
        <f t="shared" si="42"/>
        <v>7.3626636361181052E-5</v>
      </c>
      <c r="S178" s="2"/>
      <c r="T178" s="2">
        <v>2824.37</v>
      </c>
      <c r="U178" s="2"/>
      <c r="V178" s="19">
        <f t="shared" si="43"/>
        <v>2.4636359859161729E-4</v>
      </c>
      <c r="W178" s="2"/>
      <c r="X178" s="2">
        <f t="shared" si="44"/>
        <v>-2251.41</v>
      </c>
      <c r="Y178" s="2"/>
      <c r="Z178" s="19">
        <f t="shared" si="45"/>
        <v>-0.7971370606542344</v>
      </c>
    </row>
    <row r="179" spans="1:26" s="23" customFormat="1" hidden="1" outlineLevel="1" x14ac:dyDescent="0.25">
      <c r="A179" s="44"/>
      <c r="B179" s="10" t="str">
        <f>CONCATENATE("          ", "5540", " - ", "FREIGHT-IN-LOGO CLOTHING")</f>
        <v xml:space="preserve">          5540 - FREIGHT-IN-LOGO CLOTHING</v>
      </c>
      <c r="C179" s="10"/>
      <c r="D179" s="2">
        <v>1283.68</v>
      </c>
      <c r="E179" s="2"/>
      <c r="F179" s="19">
        <f t="shared" si="38"/>
        <v>1.9552110331123211E-3</v>
      </c>
      <c r="G179" s="2"/>
      <c r="H179" s="2">
        <v>815.7</v>
      </c>
      <c r="I179" s="2"/>
      <c r="J179" s="19">
        <f t="shared" si="39"/>
        <v>2.2709687506681786E-3</v>
      </c>
      <c r="K179" s="2"/>
      <c r="L179" s="2">
        <f t="shared" si="40"/>
        <v>467.98</v>
      </c>
      <c r="M179" s="2"/>
      <c r="N179" s="19">
        <f t="shared" si="41"/>
        <v>0.57371582689714351</v>
      </c>
      <c r="O179" s="10"/>
      <c r="P179" s="2">
        <v>10499.7</v>
      </c>
      <c r="Q179" s="2"/>
      <c r="R179" s="19">
        <f t="shared" si="42"/>
        <v>1.3492348397819965E-3</v>
      </c>
      <c r="S179" s="2"/>
      <c r="T179" s="2">
        <v>32519</v>
      </c>
      <c r="U179" s="2"/>
      <c r="V179" s="19">
        <f t="shared" si="43"/>
        <v>2.8365610251492551E-3</v>
      </c>
      <c r="W179" s="2"/>
      <c r="X179" s="2">
        <f t="shared" si="44"/>
        <v>-22019.3</v>
      </c>
      <c r="Y179" s="2"/>
      <c r="Z179" s="19">
        <f t="shared" si="45"/>
        <v>-0.6771210676835081</v>
      </c>
    </row>
    <row r="180" spans="1:26" s="23" customFormat="1" hidden="1" outlineLevel="1" x14ac:dyDescent="0.25">
      <c r="A180" s="44"/>
      <c r="B180" s="10" t="str">
        <f>CONCATENATE("          ", "5541", " - ", "FREIGHT-IN-LOGO GIFTS")</f>
        <v xml:space="preserve">          5541 - FREIGHT-IN-LOGO GIFTS</v>
      </c>
      <c r="C180" s="10"/>
      <c r="D180" s="2">
        <v>961.21</v>
      </c>
      <c r="E180" s="2"/>
      <c r="F180" s="19">
        <f t="shared" si="38"/>
        <v>1.4640474239202093E-3</v>
      </c>
      <c r="G180" s="2"/>
      <c r="H180" s="2">
        <v>343.16</v>
      </c>
      <c r="I180" s="2"/>
      <c r="J180" s="19">
        <f t="shared" si="39"/>
        <v>9.5538266087935781E-4</v>
      </c>
      <c r="K180" s="2"/>
      <c r="L180" s="2">
        <f t="shared" si="40"/>
        <v>618.04999999999995</v>
      </c>
      <c r="M180" s="2"/>
      <c r="N180" s="19">
        <f t="shared" si="41"/>
        <v>1.8010549015036714</v>
      </c>
      <c r="O180" s="10"/>
      <c r="P180" s="2">
        <v>5977.2</v>
      </c>
      <c r="Q180" s="2"/>
      <c r="R180" s="19">
        <f t="shared" si="42"/>
        <v>7.6808351518090501E-4</v>
      </c>
      <c r="S180" s="2"/>
      <c r="T180" s="2">
        <v>5226.1000000000004</v>
      </c>
      <c r="U180" s="2"/>
      <c r="V180" s="19">
        <f t="shared" si="43"/>
        <v>4.558612372315423E-4</v>
      </c>
      <c r="W180" s="2"/>
      <c r="X180" s="2">
        <f t="shared" si="44"/>
        <v>751.09999999999945</v>
      </c>
      <c r="Y180" s="2"/>
      <c r="Z180" s="19">
        <f t="shared" si="45"/>
        <v>0.14372093913243134</v>
      </c>
    </row>
    <row r="181" spans="1:26" s="23" customFormat="1" hidden="1" outlineLevel="1" x14ac:dyDescent="0.25">
      <c r="A181" s="44"/>
      <c r="B181" s="10" t="str">
        <f>CONCATENATE("          ", "5542", " - ", "FREIGHT-IN-EVERYDAY GIFTS")</f>
        <v xml:space="preserve">          5542 - FREIGHT-IN-EVERYDAY GIFTS</v>
      </c>
      <c r="C181" s="10"/>
      <c r="D181" s="2"/>
      <c r="E181" s="2"/>
      <c r="F181" s="19">
        <f t="shared" si="38"/>
        <v>0</v>
      </c>
      <c r="G181" s="2"/>
      <c r="H181" s="2">
        <v>384.47</v>
      </c>
      <c r="I181" s="2"/>
      <c r="J181" s="19">
        <f t="shared" si="39"/>
        <v>1.0703927369981544E-3</v>
      </c>
      <c r="K181" s="2"/>
      <c r="L181" s="2">
        <f t="shared" si="40"/>
        <v>-384.47</v>
      </c>
      <c r="M181" s="2"/>
      <c r="N181" s="19">
        <f t="shared" si="41"/>
        <v>-1</v>
      </c>
      <c r="O181" s="10"/>
      <c r="P181" s="2">
        <v>681.72</v>
      </c>
      <c r="Q181" s="2"/>
      <c r="R181" s="19">
        <f t="shared" si="42"/>
        <v>8.7602538641692873E-5</v>
      </c>
      <c r="S181" s="2"/>
      <c r="T181" s="2">
        <v>2223.5100000000002</v>
      </c>
      <c r="U181" s="2"/>
      <c r="V181" s="19">
        <f t="shared" si="43"/>
        <v>1.9395189904454691E-4</v>
      </c>
      <c r="W181" s="2"/>
      <c r="X181" s="2">
        <f t="shared" si="44"/>
        <v>-1541.7900000000002</v>
      </c>
      <c r="Y181" s="2"/>
      <c r="Z181" s="19">
        <f t="shared" si="45"/>
        <v>-0.69340367257174473</v>
      </c>
    </row>
    <row r="182" spans="1:26" s="23" customFormat="1" hidden="1" outlineLevel="1" x14ac:dyDescent="0.25">
      <c r="A182" s="44"/>
      <c r="B182" s="10" t="str">
        <f>CONCATENATE("          ", "5543", " - ", "FREIGHT-IN-CARDS")</f>
        <v xml:space="preserve">          5543 - FREIGHT-IN-CARDS</v>
      </c>
      <c r="C182" s="10"/>
      <c r="D182" s="2"/>
      <c r="E182" s="2"/>
      <c r="F182" s="19">
        <f t="shared" si="38"/>
        <v>0</v>
      </c>
      <c r="G182" s="2"/>
      <c r="H182" s="2"/>
      <c r="I182" s="2"/>
      <c r="J182" s="19">
        <f t="shared" si="39"/>
        <v>0</v>
      </c>
      <c r="K182" s="2"/>
      <c r="L182" s="2">
        <f t="shared" si="40"/>
        <v>0</v>
      </c>
      <c r="M182" s="2"/>
      <c r="N182" s="19">
        <f t="shared" si="41"/>
        <v>0</v>
      </c>
      <c r="O182" s="10"/>
      <c r="P182" s="2">
        <v>9110.5300000000007</v>
      </c>
      <c r="Q182" s="2"/>
      <c r="R182" s="19">
        <f t="shared" si="42"/>
        <v>1.1707234001808692E-3</v>
      </c>
      <c r="S182" s="2"/>
      <c r="T182" s="2">
        <v>2926.76</v>
      </c>
      <c r="U182" s="2"/>
      <c r="V182" s="19">
        <f t="shared" si="43"/>
        <v>2.5529485365373579E-4</v>
      </c>
      <c r="W182" s="2"/>
      <c r="X182" s="2">
        <f t="shared" si="44"/>
        <v>6183.77</v>
      </c>
      <c r="Y182" s="2"/>
      <c r="Z182" s="19">
        <f t="shared" si="45"/>
        <v>2.112838087168063</v>
      </c>
    </row>
    <row r="183" spans="1:26" s="23" customFormat="1" hidden="1" outlineLevel="1" x14ac:dyDescent="0.25">
      <c r="A183" s="44"/>
      <c r="B183" s="10" t="str">
        <f>CONCATENATE("          ", "5544", " - ", "FREIGHT-IN-ACCESSORIES")</f>
        <v xml:space="preserve">          5544 - FREIGHT-IN-ACCESSORIES</v>
      </c>
      <c r="C183" s="10"/>
      <c r="D183" s="2"/>
      <c r="E183" s="2"/>
      <c r="F183" s="19">
        <f t="shared" si="38"/>
        <v>0</v>
      </c>
      <c r="G183" s="2"/>
      <c r="H183" s="2"/>
      <c r="I183" s="2"/>
      <c r="J183" s="19">
        <f t="shared" si="39"/>
        <v>0</v>
      </c>
      <c r="K183" s="2"/>
      <c r="L183" s="2">
        <f t="shared" si="40"/>
        <v>0</v>
      </c>
      <c r="M183" s="2"/>
      <c r="N183" s="19">
        <f t="shared" si="41"/>
        <v>0</v>
      </c>
      <c r="O183" s="10"/>
      <c r="P183" s="2"/>
      <c r="Q183" s="2"/>
      <c r="R183" s="19">
        <f t="shared" si="42"/>
        <v>0</v>
      </c>
      <c r="S183" s="2"/>
      <c r="T183" s="2">
        <v>483.44</v>
      </c>
      <c r="U183" s="2"/>
      <c r="V183" s="19">
        <f t="shared" si="43"/>
        <v>4.2169410559923612E-5</v>
      </c>
      <c r="W183" s="2"/>
      <c r="X183" s="2">
        <f t="shared" si="44"/>
        <v>-483.44</v>
      </c>
      <c r="Y183" s="2"/>
      <c r="Z183" s="19">
        <f t="shared" si="45"/>
        <v>-1</v>
      </c>
    </row>
    <row r="184" spans="1:26" s="23" customFormat="1" hidden="1" outlineLevel="1" x14ac:dyDescent="0.25">
      <c r="A184" s="44"/>
      <c r="B184" s="10" t="str">
        <f>CONCATENATE("          ", "5545", " - ", "FREIGHT-IN-SPECIAL ORDERS")</f>
        <v xml:space="preserve">          5545 - FREIGHT-IN-SPECIAL ORDERS</v>
      </c>
      <c r="C184" s="10"/>
      <c r="D184" s="2">
        <v>1033.9000000000001</v>
      </c>
      <c r="E184" s="2"/>
      <c r="F184" s="19">
        <f t="shared" si="38"/>
        <v>1.574763716140182E-3</v>
      </c>
      <c r="G184" s="2"/>
      <c r="H184" s="2">
        <v>173.06</v>
      </c>
      <c r="I184" s="2"/>
      <c r="J184" s="19">
        <f t="shared" si="39"/>
        <v>4.818117592137244E-4</v>
      </c>
      <c r="K184" s="2"/>
      <c r="L184" s="2">
        <f t="shared" si="40"/>
        <v>860.84000000000015</v>
      </c>
      <c r="M184" s="2"/>
      <c r="N184" s="19">
        <f t="shared" si="41"/>
        <v>4.974228591240033</v>
      </c>
      <c r="O184" s="10"/>
      <c r="P184" s="2">
        <v>2468.66</v>
      </c>
      <c r="Q184" s="2"/>
      <c r="R184" s="19">
        <f t="shared" si="42"/>
        <v>3.1722830933990712E-4</v>
      </c>
      <c r="S184" s="2"/>
      <c r="T184" s="2">
        <v>1065.32</v>
      </c>
      <c r="U184" s="2"/>
      <c r="V184" s="19">
        <f t="shared" si="43"/>
        <v>9.2925526348042824E-5</v>
      </c>
      <c r="W184" s="2"/>
      <c r="X184" s="2">
        <f t="shared" si="44"/>
        <v>1403.34</v>
      </c>
      <c r="Y184" s="2"/>
      <c r="Z184" s="19">
        <f t="shared" si="45"/>
        <v>1.3172943340967973</v>
      </c>
    </row>
    <row r="185" spans="1:26" s="23" customFormat="1" hidden="1" outlineLevel="1" x14ac:dyDescent="0.25">
      <c r="A185" s="44"/>
      <c r="B185" s="10" t="str">
        <f>CONCATENATE("          ", "5581", " - ", "FREIGHT-IN-ELECTRONICS")</f>
        <v xml:space="preserve">          5581 - FREIGHT-IN-ELECTRONICS</v>
      </c>
      <c r="C185" s="10"/>
      <c r="D185" s="2"/>
      <c r="E185" s="2"/>
      <c r="F185" s="19">
        <f t="shared" si="38"/>
        <v>0</v>
      </c>
      <c r="G185" s="2"/>
      <c r="H185" s="2">
        <v>31.25</v>
      </c>
      <c r="I185" s="2"/>
      <c r="J185" s="19">
        <f t="shared" si="39"/>
        <v>8.7002296749271279E-5</v>
      </c>
      <c r="K185" s="2"/>
      <c r="L185" s="2">
        <f t="shared" si="40"/>
        <v>-31.25</v>
      </c>
      <c r="M185" s="2"/>
      <c r="N185" s="19">
        <f t="shared" si="41"/>
        <v>-1</v>
      </c>
      <c r="O185" s="10"/>
      <c r="P185" s="2">
        <v>31</v>
      </c>
      <c r="Q185" s="2"/>
      <c r="R185" s="19">
        <f t="shared" si="42"/>
        <v>3.9835690575199183E-6</v>
      </c>
      <c r="S185" s="2"/>
      <c r="T185" s="2">
        <v>137</v>
      </c>
      <c r="U185" s="2"/>
      <c r="V185" s="19">
        <f t="shared" si="43"/>
        <v>1.1950209429731787E-5</v>
      </c>
      <c r="W185" s="2"/>
      <c r="X185" s="2">
        <f t="shared" si="44"/>
        <v>-106</v>
      </c>
      <c r="Y185" s="2"/>
      <c r="Z185" s="19">
        <f t="shared" si="45"/>
        <v>-0.77372262773722633</v>
      </c>
    </row>
    <row r="186" spans="1:26" s="23" customFormat="1" hidden="1" outlineLevel="1" x14ac:dyDescent="0.25">
      <c r="A186" s="44"/>
      <c r="B186" s="10" t="str">
        <f>CONCATENATE("          ", "5582", " - ", "FREIGHT-IN-COMPUTER HARDWARE")</f>
        <v xml:space="preserve">          5582 - FREIGHT-IN-COMPUTER HARDWARE</v>
      </c>
      <c r="C186" s="10"/>
      <c r="D186" s="2">
        <v>20</v>
      </c>
      <c r="E186" s="2"/>
      <c r="F186" s="19">
        <f t="shared" si="38"/>
        <v>3.0462592439117553E-5</v>
      </c>
      <c r="G186" s="2"/>
      <c r="H186" s="2"/>
      <c r="I186" s="2"/>
      <c r="J186" s="19">
        <f t="shared" si="39"/>
        <v>0</v>
      </c>
      <c r="K186" s="2"/>
      <c r="L186" s="2">
        <f t="shared" si="40"/>
        <v>20</v>
      </c>
      <c r="M186" s="2"/>
      <c r="N186" s="19">
        <f t="shared" si="41"/>
        <v>0</v>
      </c>
      <c r="O186" s="10"/>
      <c r="P186" s="2">
        <v>145</v>
      </c>
      <c r="Q186" s="2"/>
      <c r="R186" s="19">
        <f t="shared" si="42"/>
        <v>1.8632823010980263E-5</v>
      </c>
      <c r="S186" s="2"/>
      <c r="T186" s="2">
        <v>154.30000000000001</v>
      </c>
      <c r="U186" s="2"/>
      <c r="V186" s="19">
        <f t="shared" si="43"/>
        <v>1.3459250474508137E-5</v>
      </c>
      <c r="W186" s="2"/>
      <c r="X186" s="2">
        <f t="shared" si="44"/>
        <v>-9.3000000000000114</v>
      </c>
      <c r="Y186" s="2"/>
      <c r="Z186" s="19">
        <f t="shared" si="45"/>
        <v>-6.0272197018794625E-2</v>
      </c>
    </row>
    <row r="187" spans="1:26" s="23" customFormat="1" hidden="1" outlineLevel="1" x14ac:dyDescent="0.25">
      <c r="A187" s="44"/>
      <c r="B187" s="10" t="str">
        <f>CONCATENATE("          ", "5583", " - ", "FREIGHT-IN-COMPUTER EQUIPMENT")</f>
        <v xml:space="preserve">          5583 - FREIGHT-IN-COMPUTER EQUIPMENT</v>
      </c>
      <c r="C187" s="10"/>
      <c r="D187" s="2"/>
      <c r="E187" s="2"/>
      <c r="F187" s="19">
        <f t="shared" si="38"/>
        <v>0</v>
      </c>
      <c r="G187" s="2"/>
      <c r="H187" s="2"/>
      <c r="I187" s="2"/>
      <c r="J187" s="19">
        <f t="shared" si="39"/>
        <v>0</v>
      </c>
      <c r="K187" s="2"/>
      <c r="L187" s="2">
        <f t="shared" si="40"/>
        <v>0</v>
      </c>
      <c r="M187" s="2"/>
      <c r="N187" s="19">
        <f t="shared" si="41"/>
        <v>0</v>
      </c>
      <c r="O187" s="10"/>
      <c r="P187" s="2">
        <v>242.46</v>
      </c>
      <c r="Q187" s="2"/>
      <c r="R187" s="19">
        <f t="shared" si="42"/>
        <v>3.1156650118912241E-5</v>
      </c>
      <c r="S187" s="2"/>
      <c r="T187" s="2">
        <v>96.55</v>
      </c>
      <c r="U187" s="2"/>
      <c r="V187" s="19">
        <f t="shared" si="43"/>
        <v>8.4218446747489343E-6</v>
      </c>
      <c r="W187" s="2"/>
      <c r="X187" s="2">
        <f t="shared" si="44"/>
        <v>145.91000000000003</v>
      </c>
      <c r="Y187" s="2"/>
      <c r="Z187" s="19">
        <f t="shared" si="45"/>
        <v>1.5112377006732267</v>
      </c>
    </row>
    <row r="188" spans="1:26" s="23" customFormat="1" hidden="1" outlineLevel="1" x14ac:dyDescent="0.25">
      <c r="A188" s="44"/>
      <c r="B188" s="10" t="str">
        <f>CONCATENATE("          ", "5585", " - ", "FREIGHT-IN-SOFTWARE")</f>
        <v xml:space="preserve">          5585 - FREIGHT-IN-SOFTWARE</v>
      </c>
      <c r="C188" s="10"/>
      <c r="D188" s="2"/>
      <c r="E188" s="2"/>
      <c r="F188" s="19">
        <f t="shared" si="38"/>
        <v>0</v>
      </c>
      <c r="G188" s="2"/>
      <c r="H188" s="2">
        <v>10</v>
      </c>
      <c r="I188" s="2"/>
      <c r="J188" s="19">
        <f t="shared" si="39"/>
        <v>2.7840734959766807E-5</v>
      </c>
      <c r="K188" s="2"/>
      <c r="L188" s="2">
        <f t="shared" si="40"/>
        <v>-10</v>
      </c>
      <c r="M188" s="2"/>
      <c r="N188" s="19">
        <f t="shared" si="41"/>
        <v>-1</v>
      </c>
      <c r="O188" s="10"/>
      <c r="P188" s="2">
        <v>9.41</v>
      </c>
      <c r="Q188" s="2"/>
      <c r="R188" s="19">
        <f t="shared" si="42"/>
        <v>1.2092059622987881E-6</v>
      </c>
      <c r="S188" s="2"/>
      <c r="T188" s="2">
        <v>10</v>
      </c>
      <c r="U188" s="2"/>
      <c r="V188" s="19">
        <f t="shared" si="43"/>
        <v>8.72278060564364E-7</v>
      </c>
      <c r="W188" s="2"/>
      <c r="X188" s="2">
        <f t="shared" si="44"/>
        <v>-0.58999999999999986</v>
      </c>
      <c r="Y188" s="2"/>
      <c r="Z188" s="19">
        <f t="shared" si="45"/>
        <v>-5.8999999999999983E-2</v>
      </c>
    </row>
    <row r="189" spans="1:26" s="23" customFormat="1" hidden="1" outlineLevel="1" x14ac:dyDescent="0.25">
      <c r="A189" s="44"/>
      <c r="B189" s="10" t="str">
        <f>CONCATENATE("          ", "5586", " - ", "FREIGHT-IN-COMPUTER SUPPLIES")</f>
        <v xml:space="preserve">          5586 - FREIGHT-IN-COMPUTER SUPPLIES</v>
      </c>
      <c r="C189" s="10"/>
      <c r="D189" s="2"/>
      <c r="E189" s="2"/>
      <c r="F189" s="19">
        <f t="shared" si="38"/>
        <v>0</v>
      </c>
      <c r="G189" s="2"/>
      <c r="H189" s="2"/>
      <c r="I189" s="2"/>
      <c r="J189" s="19">
        <f t="shared" si="39"/>
        <v>0</v>
      </c>
      <c r="K189" s="2"/>
      <c r="L189" s="2">
        <f t="shared" si="40"/>
        <v>0</v>
      </c>
      <c r="M189" s="2"/>
      <c r="N189" s="19">
        <f t="shared" si="41"/>
        <v>0</v>
      </c>
      <c r="O189" s="10"/>
      <c r="P189" s="2">
        <v>24.12</v>
      </c>
      <c r="Q189" s="2"/>
      <c r="R189" s="19">
        <f t="shared" si="42"/>
        <v>3.0994737312058204E-6</v>
      </c>
      <c r="S189" s="2"/>
      <c r="T189" s="2">
        <v>301.27</v>
      </c>
      <c r="U189" s="2"/>
      <c r="V189" s="19">
        <f t="shared" si="43"/>
        <v>2.6279121130622592E-5</v>
      </c>
      <c r="W189" s="2"/>
      <c r="X189" s="2">
        <f t="shared" si="44"/>
        <v>-277.14999999999998</v>
      </c>
      <c r="Y189" s="2"/>
      <c r="Z189" s="19">
        <f t="shared" si="45"/>
        <v>-0.91993892521658316</v>
      </c>
    </row>
    <row r="190" spans="1:26" s="23" customFormat="1" hidden="1" outlineLevel="1" x14ac:dyDescent="0.25">
      <c r="A190" s="44"/>
      <c r="B190" s="10" t="str">
        <f>CONCATENATE("          ", "5592", " - ", "FREIGHT-IN-GRAD MERCH")</f>
        <v xml:space="preserve">          5592 - FREIGHT-IN-GRAD MERCH</v>
      </c>
      <c r="C190" s="10"/>
      <c r="D190" s="2"/>
      <c r="E190" s="2"/>
      <c r="F190" s="19">
        <f t="shared" si="38"/>
        <v>0</v>
      </c>
      <c r="G190" s="2"/>
      <c r="H190" s="2">
        <v>41.32</v>
      </c>
      <c r="I190" s="2"/>
      <c r="J190" s="19">
        <f t="shared" si="39"/>
        <v>1.1503791685375645E-4</v>
      </c>
      <c r="K190" s="2"/>
      <c r="L190" s="2">
        <f t="shared" si="40"/>
        <v>-41.32</v>
      </c>
      <c r="M190" s="2"/>
      <c r="N190" s="19">
        <f t="shared" si="41"/>
        <v>-1</v>
      </c>
      <c r="O190" s="10"/>
      <c r="P190" s="2">
        <v>0</v>
      </c>
      <c r="Q190" s="2"/>
      <c r="R190" s="19">
        <f t="shared" si="42"/>
        <v>0</v>
      </c>
      <c r="S190" s="2"/>
      <c r="T190" s="2">
        <v>160.05000000000001</v>
      </c>
      <c r="U190" s="2"/>
      <c r="V190" s="19">
        <f t="shared" si="43"/>
        <v>1.3960810359332646E-5</v>
      </c>
      <c r="W190" s="2"/>
      <c r="X190" s="2">
        <f t="shared" si="44"/>
        <v>-160.05000000000001</v>
      </c>
      <c r="Y190" s="2"/>
      <c r="Z190" s="19">
        <f t="shared" si="45"/>
        <v>-1</v>
      </c>
    </row>
    <row r="191" spans="1:26" x14ac:dyDescent="0.25">
      <c r="A191" s="9"/>
      <c r="B191" s="11"/>
      <c r="C191" s="11"/>
      <c r="D191" s="3"/>
      <c r="E191" s="3"/>
      <c r="F191" s="8"/>
      <c r="G191" s="3"/>
      <c r="H191" s="3"/>
      <c r="I191" s="3"/>
      <c r="J191" s="8"/>
      <c r="K191" s="3"/>
      <c r="L191" s="3"/>
      <c r="M191" s="3"/>
      <c r="N191" s="8"/>
      <c r="O191" s="11"/>
      <c r="P191" s="3"/>
      <c r="Q191" s="3"/>
      <c r="R191" s="8"/>
      <c r="S191" s="3"/>
      <c r="T191" s="3"/>
      <c r="U191" s="3"/>
      <c r="V191" s="8"/>
      <c r="W191" s="3"/>
      <c r="X191" s="3"/>
      <c r="Y191" s="3"/>
      <c r="Z191" s="8"/>
    </row>
    <row r="192" spans="1:26" s="24" customFormat="1" x14ac:dyDescent="0.25">
      <c r="A192" s="11"/>
      <c r="B192" s="28" t="s">
        <v>107</v>
      </c>
      <c r="C192" s="28"/>
      <c r="D192" s="20">
        <f>D12-D131</f>
        <v>351364.86999999965</v>
      </c>
      <c r="E192" s="14"/>
      <c r="F192" s="21">
        <f>IF(D$12=0,0,D192/D$12)</f>
        <v>0.53517424161167559</v>
      </c>
      <c r="G192" s="14"/>
      <c r="H192" s="20">
        <f>H12-H131</f>
        <v>113368.93999999983</v>
      </c>
      <c r="I192" s="14"/>
      <c r="J192" s="21">
        <f>IF(H$12=0,0,H192/H$12)</f>
        <v>0.31562746112097007</v>
      </c>
      <c r="K192" s="15"/>
      <c r="L192" s="20">
        <f>+D192-H192</f>
        <v>237995.92999999982</v>
      </c>
      <c r="M192" s="15"/>
      <c r="N192" s="21">
        <f>IF(H192=0,0,L192/H192)</f>
        <v>2.0993045361454397</v>
      </c>
      <c r="O192" s="29"/>
      <c r="P192" s="20">
        <f>P12-P131</f>
        <v>2298695.5999999978</v>
      </c>
      <c r="Q192" s="14"/>
      <c r="R192" s="21">
        <f>IF(P$12=0,0,P192/P$12)</f>
        <v>0.29538750531668306</v>
      </c>
      <c r="S192" s="14"/>
      <c r="T192" s="20">
        <f>T12-T131</f>
        <v>4093769.0900000064</v>
      </c>
      <c r="U192" s="14"/>
      <c r="V192" s="21">
        <f>IF(T$12=0,0,T192/T$12)</f>
        <v>0.35709049622235467</v>
      </c>
      <c r="W192" s="15"/>
      <c r="X192" s="20">
        <f>+P192-T192</f>
        <v>-1795073.4900000086</v>
      </c>
      <c r="Y192" s="15"/>
      <c r="Z192" s="21">
        <f>IF(T192=0,0,X192/T192)</f>
        <v>-0.43848918943300874</v>
      </c>
    </row>
    <row r="193" spans="1:26" x14ac:dyDescent="0.25">
      <c r="A193" s="9"/>
      <c r="B193" s="11"/>
      <c r="C193" s="9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7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4" customFormat="1" x14ac:dyDescent="0.25">
      <c r="A194" s="11"/>
      <c r="B194" s="29" t="s">
        <v>294</v>
      </c>
      <c r="C194" s="11"/>
      <c r="D194" s="22">
        <f>SUM(OSRRefD22x_0)</f>
        <v>244482.82999999993</v>
      </c>
      <c r="E194" s="22"/>
      <c r="F194" s="32">
        <f t="shared" ref="F194:F205" si="46">IF(D$12=0,0,D194/D$12)</f>
        <v>0.372379040432603</v>
      </c>
      <c r="G194" s="22"/>
      <c r="H194" s="22">
        <f>SUM(OSRRefH22x_0)</f>
        <v>258340.22</v>
      </c>
      <c r="I194" s="22"/>
      <c r="J194" s="32">
        <f t="shared" ref="J194:J205" si="47">IF(H$12=0,0,H194/H$12)</f>
        <v>0.71923815944678482</v>
      </c>
      <c r="K194" s="4"/>
      <c r="L194" s="22">
        <f t="shared" ref="L194:L205" si="48">+D194-H194</f>
        <v>-13857.390000000072</v>
      </c>
      <c r="M194" s="4"/>
      <c r="N194" s="32">
        <f t="shared" ref="N194:N205" si="49">IF(H194=0,0,L194/H194)</f>
        <v>-5.3640079736713364E-2</v>
      </c>
      <c r="O194" s="11"/>
      <c r="P194" s="22">
        <f>SUM(OSRRefP22x_0)</f>
        <v>3020510.2600000007</v>
      </c>
      <c r="Q194" s="22"/>
      <c r="R194" s="32">
        <f t="shared" ref="R194:R205" si="50">IF(P$12=0,0,P194/P$12)</f>
        <v>0.38814229708572406</v>
      </c>
      <c r="S194" s="22"/>
      <c r="T194" s="22">
        <f>SUM(OSRRefT22x_0)</f>
        <v>4105023.53</v>
      </c>
      <c r="U194" s="22"/>
      <c r="V194" s="32">
        <f t="shared" ref="V194:V205" si="51">IF(T$12=0,0,T194/T$12)</f>
        <v>0.35807219633194792</v>
      </c>
      <c r="W194" s="4"/>
      <c r="X194" s="22">
        <f t="shared" ref="X194:X205" si="52">+P194-T194</f>
        <v>-1084513.2699999991</v>
      </c>
      <c r="Y194" s="4"/>
      <c r="Z194" s="32">
        <f t="shared" ref="Z194:Z205" si="53">IF(T194=0,0,X194/T194)</f>
        <v>-0.26419173046737665</v>
      </c>
    </row>
    <row r="195" spans="1:26" s="26" customFormat="1" outlineLevel="1" collapsed="1" x14ac:dyDescent="0.25">
      <c r="A195" s="25"/>
      <c r="B195" s="12" t="str">
        <f>CONCATENATE("     ","*Benefits                                         ")</f>
        <v xml:space="preserve">     *Benefits                                         </v>
      </c>
      <c r="C195" s="12"/>
      <c r="D195" s="1">
        <f>SUM(OSRRefD22_0x_0)</f>
        <v>50551.65</v>
      </c>
      <c r="E195" s="1"/>
      <c r="F195" s="5">
        <f t="shared" si="46"/>
        <v>7.6996715553745848E-2</v>
      </c>
      <c r="G195" s="1"/>
      <c r="H195" s="1">
        <f>SUM(OSRRefH22_0x_0)</f>
        <v>37027.909999999996</v>
      </c>
      <c r="I195" s="1"/>
      <c r="J195" s="5">
        <f t="shared" si="47"/>
        <v>0.10308842284240989</v>
      </c>
      <c r="K195" s="1"/>
      <c r="L195" s="1">
        <f t="shared" si="48"/>
        <v>13523.740000000005</v>
      </c>
      <c r="M195" s="1"/>
      <c r="N195" s="5">
        <f t="shared" si="49"/>
        <v>0.36523098387135561</v>
      </c>
      <c r="O195" s="12"/>
      <c r="P195" s="1">
        <f>SUM(OSRRefP22_0x_0)</f>
        <v>543992.03999999992</v>
      </c>
      <c r="Q195" s="1"/>
      <c r="R195" s="5">
        <f t="shared" si="50"/>
        <v>6.9904188970359271E-2</v>
      </c>
      <c r="S195" s="1"/>
      <c r="T195" s="1">
        <f>SUM(OSRRefT22_0x_0)</f>
        <v>512054.92</v>
      </c>
      <c r="U195" s="1"/>
      <c r="V195" s="5">
        <f t="shared" si="51"/>
        <v>4.4665427252004057E-2</v>
      </c>
      <c r="W195" s="1"/>
      <c r="X195" s="1">
        <f t="shared" si="52"/>
        <v>31937.119999999937</v>
      </c>
      <c r="Y195" s="1"/>
      <c r="Z195" s="5">
        <f t="shared" si="53"/>
        <v>6.2370497289626549E-2</v>
      </c>
    </row>
    <row r="196" spans="1:26" s="23" customFormat="1" hidden="1" outlineLevel="2" x14ac:dyDescent="0.25">
      <c r="A196" s="27"/>
      <c r="B196" s="10" t="str">
        <f>CONCATENATE("          ", "6111", " - ", "F.I.C.A.")</f>
        <v xml:space="preserve">          6111 - F.I.C.A.</v>
      </c>
      <c r="C196" s="10"/>
      <c r="D196" s="6">
        <v>8783.1299999999992</v>
      </c>
      <c r="E196" s="2"/>
      <c r="F196" s="7">
        <f t="shared" si="46"/>
        <v>1.3377845476489326E-2</v>
      </c>
      <c r="G196" s="2"/>
      <c r="H196" s="6">
        <v>6460.84</v>
      </c>
      <c r="I196" s="2"/>
      <c r="J196" s="7">
        <f t="shared" si="47"/>
        <v>1.7987453405745979E-2</v>
      </c>
      <c r="K196" s="2"/>
      <c r="L196" s="6">
        <f t="shared" si="48"/>
        <v>2322.2899999999991</v>
      </c>
      <c r="M196" s="2"/>
      <c r="N196" s="7">
        <f t="shared" si="49"/>
        <v>0.35944087765677513</v>
      </c>
      <c r="O196" s="10"/>
      <c r="P196" s="6">
        <v>103415.14</v>
      </c>
      <c r="Q196" s="2"/>
      <c r="R196" s="7">
        <f t="shared" si="50"/>
        <v>1.3289075863970658E-2</v>
      </c>
      <c r="S196" s="2"/>
      <c r="T196" s="6">
        <v>107459.35</v>
      </c>
      <c r="U196" s="2"/>
      <c r="V196" s="7">
        <f t="shared" si="51"/>
        <v>9.3734433407507197E-3</v>
      </c>
      <c r="W196" s="2"/>
      <c r="X196" s="6">
        <f t="shared" si="52"/>
        <v>-4044.2100000000064</v>
      </c>
      <c r="Y196" s="2"/>
      <c r="Z196" s="7">
        <f t="shared" si="53"/>
        <v>-3.7634789341271895E-2</v>
      </c>
    </row>
    <row r="197" spans="1:26" s="23" customFormat="1" hidden="1" outlineLevel="2" x14ac:dyDescent="0.25">
      <c r="A197" s="27"/>
      <c r="B197" s="10" t="str">
        <f>CONCATENATE("          ", "6112", " - ", "COMPENSATION INSURANCE")</f>
        <v xml:space="preserve">          6112 - COMPENSATION INSURANCE</v>
      </c>
      <c r="C197" s="10"/>
      <c r="D197" s="6">
        <v>2914.54</v>
      </c>
      <c r="E197" s="2"/>
      <c r="F197" s="7">
        <f t="shared" si="46"/>
        <v>4.4392222083752837E-3</v>
      </c>
      <c r="G197" s="2"/>
      <c r="H197" s="6">
        <v>2012.72</v>
      </c>
      <c r="I197" s="2"/>
      <c r="J197" s="7">
        <f t="shared" si="47"/>
        <v>5.6035604068221849E-3</v>
      </c>
      <c r="K197" s="2"/>
      <c r="L197" s="6">
        <f t="shared" si="48"/>
        <v>901.81999999999994</v>
      </c>
      <c r="M197" s="2"/>
      <c r="N197" s="7">
        <f t="shared" si="49"/>
        <v>0.44806033626137759</v>
      </c>
      <c r="O197" s="10"/>
      <c r="P197" s="6">
        <v>26027.3</v>
      </c>
      <c r="Q197" s="2"/>
      <c r="R197" s="7">
        <f t="shared" si="50"/>
        <v>3.3445660300254251E-3</v>
      </c>
      <c r="S197" s="2"/>
      <c r="T197" s="6">
        <v>28304.49</v>
      </c>
      <c r="U197" s="2"/>
      <c r="V197" s="7">
        <f t="shared" si="51"/>
        <v>2.4689385642463436E-3</v>
      </c>
      <c r="W197" s="2"/>
      <c r="X197" s="6">
        <f t="shared" si="52"/>
        <v>-2277.1900000000023</v>
      </c>
      <c r="Y197" s="2"/>
      <c r="Z197" s="7">
        <f t="shared" si="53"/>
        <v>-8.0453313237581814E-2</v>
      </c>
    </row>
    <row r="198" spans="1:26" s="23" customFormat="1" hidden="1" outlineLevel="2" x14ac:dyDescent="0.25">
      <c r="A198" s="27"/>
      <c r="B198" s="10" t="str">
        <f>CONCATENATE("          ", "6113", " - ", "GROUP INSURANCE")</f>
        <v xml:space="preserve">          6113 - GROUP INSURANCE</v>
      </c>
      <c r="C198" s="10"/>
      <c r="D198" s="6">
        <v>19337.900000000001</v>
      </c>
      <c r="E198" s="2"/>
      <c r="F198" s="7">
        <f t="shared" si="46"/>
        <v>2.9454128316420566E-2</v>
      </c>
      <c r="G198" s="2"/>
      <c r="H198" s="6">
        <v>14448.96</v>
      </c>
      <c r="I198" s="2"/>
      <c r="J198" s="7">
        <f t="shared" si="47"/>
        <v>4.0226966580427216E-2</v>
      </c>
      <c r="K198" s="2"/>
      <c r="L198" s="6">
        <f t="shared" si="48"/>
        <v>4888.9400000000023</v>
      </c>
      <c r="M198" s="2"/>
      <c r="N198" s="7">
        <f t="shared" si="49"/>
        <v>0.33835930060018177</v>
      </c>
      <c r="O198" s="10"/>
      <c r="P198" s="6">
        <v>194638.22</v>
      </c>
      <c r="Q198" s="2"/>
      <c r="R198" s="7">
        <f t="shared" si="50"/>
        <v>2.5011444858153372E-2</v>
      </c>
      <c r="S198" s="2"/>
      <c r="T198" s="6">
        <v>202620.76</v>
      </c>
      <c r="U198" s="2"/>
      <c r="V198" s="7">
        <f t="shared" si="51"/>
        <v>1.7674164356287748E-2</v>
      </c>
      <c r="W198" s="2"/>
      <c r="X198" s="6">
        <f t="shared" si="52"/>
        <v>-7982.5400000000081</v>
      </c>
      <c r="Y198" s="2"/>
      <c r="Z198" s="7">
        <f t="shared" si="53"/>
        <v>-3.9396456710556249E-2</v>
      </c>
    </row>
    <row r="199" spans="1:26" s="23" customFormat="1" hidden="1" outlineLevel="2" x14ac:dyDescent="0.25">
      <c r="A199" s="27"/>
      <c r="B199" s="10" t="str">
        <f>CONCATENATE("          ", "6114", " - ", "STATE UNEMPLOYMENT INSURANCE")</f>
        <v xml:space="preserve">          6114 - STATE UNEMPLOYMENT INSURANCE</v>
      </c>
      <c r="C199" s="10"/>
      <c r="D199" s="6">
        <v>509.8</v>
      </c>
      <c r="E199" s="2"/>
      <c r="F199" s="7">
        <f t="shared" si="46"/>
        <v>7.7649148127310647E-4</v>
      </c>
      <c r="G199" s="2"/>
      <c r="H199" s="6">
        <v>358.02</v>
      </c>
      <c r="I199" s="2"/>
      <c r="J199" s="7">
        <f t="shared" si="47"/>
        <v>9.9675399302957129E-4</v>
      </c>
      <c r="K199" s="2"/>
      <c r="L199" s="6">
        <f t="shared" si="48"/>
        <v>151.78000000000003</v>
      </c>
      <c r="M199" s="2"/>
      <c r="N199" s="7">
        <f t="shared" si="49"/>
        <v>0.42394279649181621</v>
      </c>
      <c r="O199" s="10"/>
      <c r="P199" s="6">
        <v>4273.58</v>
      </c>
      <c r="Q199" s="2"/>
      <c r="R199" s="7">
        <f t="shared" si="50"/>
        <v>5.4916455009148299E-4</v>
      </c>
      <c r="S199" s="2"/>
      <c r="T199" s="6">
        <v>5426.32</v>
      </c>
      <c r="U199" s="2"/>
      <c r="V199" s="7">
        <f t="shared" si="51"/>
        <v>4.7332598856016192E-4</v>
      </c>
      <c r="W199" s="2"/>
      <c r="X199" s="6">
        <f t="shared" si="52"/>
        <v>-1152.7399999999998</v>
      </c>
      <c r="Y199" s="2"/>
      <c r="Z199" s="7">
        <f t="shared" si="53"/>
        <v>-0.21243494670421204</v>
      </c>
    </row>
    <row r="200" spans="1:26" s="23" customFormat="1" hidden="1" outlineLevel="2" x14ac:dyDescent="0.25">
      <c r="A200" s="27"/>
      <c r="B200" s="10" t="str">
        <f>CONCATENATE("          ", "6115", " - ", "P.E.R.S.")</f>
        <v xml:space="preserve">          6115 - P.E.R.S.</v>
      </c>
      <c r="C200" s="10"/>
      <c r="D200" s="6">
        <v>6531.81</v>
      </c>
      <c r="E200" s="2"/>
      <c r="F200" s="7">
        <f t="shared" si="46"/>
        <v>9.9487932959876207E-3</v>
      </c>
      <c r="G200" s="2"/>
      <c r="H200" s="6">
        <v>4823.4799999999996</v>
      </c>
      <c r="I200" s="2"/>
      <c r="J200" s="7">
        <f t="shared" si="47"/>
        <v>1.3428922826373599E-2</v>
      </c>
      <c r="K200" s="2"/>
      <c r="L200" s="6">
        <f t="shared" si="48"/>
        <v>1708.3300000000008</v>
      </c>
      <c r="M200" s="2"/>
      <c r="N200" s="7">
        <f t="shared" si="49"/>
        <v>0.35416960368862338</v>
      </c>
      <c r="O200" s="10"/>
      <c r="P200" s="6">
        <v>76817.48</v>
      </c>
      <c r="Q200" s="2"/>
      <c r="R200" s="7">
        <f t="shared" si="50"/>
        <v>9.8712173033759735E-3</v>
      </c>
      <c r="S200" s="2"/>
      <c r="T200" s="6">
        <v>77108.89</v>
      </c>
      <c r="U200" s="2"/>
      <c r="V200" s="7">
        <f t="shared" si="51"/>
        <v>6.7260393021470882E-3</v>
      </c>
      <c r="W200" s="2"/>
      <c r="X200" s="6">
        <f t="shared" si="52"/>
        <v>-291.41000000000349</v>
      </c>
      <c r="Y200" s="2"/>
      <c r="Z200" s="7">
        <f t="shared" si="53"/>
        <v>-3.7792010752586828E-3</v>
      </c>
    </row>
    <row r="201" spans="1:26" s="23" customFormat="1" hidden="1" outlineLevel="2" x14ac:dyDescent="0.25">
      <c r="A201" s="27"/>
      <c r="B201" s="10" t="str">
        <f>CONCATENATE("          ", "6116", " - ", "EDUCATIONAL BENEFITS")</f>
        <v xml:space="preserve">          6116 - EDUCATIONAL BENEFITS</v>
      </c>
      <c r="C201" s="10"/>
      <c r="D201" s="6"/>
      <c r="E201" s="2"/>
      <c r="F201" s="7">
        <f t="shared" si="46"/>
        <v>0</v>
      </c>
      <c r="G201" s="2"/>
      <c r="H201" s="6"/>
      <c r="I201" s="2"/>
      <c r="J201" s="7">
        <f t="shared" si="47"/>
        <v>0</v>
      </c>
      <c r="K201" s="2"/>
      <c r="L201" s="6">
        <f t="shared" si="48"/>
        <v>0</v>
      </c>
      <c r="M201" s="2"/>
      <c r="N201" s="7">
        <f t="shared" si="49"/>
        <v>0</v>
      </c>
      <c r="O201" s="10"/>
      <c r="P201" s="6">
        <v>0</v>
      </c>
      <c r="Q201" s="2"/>
      <c r="R201" s="7">
        <f t="shared" si="50"/>
        <v>0</v>
      </c>
      <c r="S201" s="2"/>
      <c r="T201" s="6"/>
      <c r="U201" s="2"/>
      <c r="V201" s="7">
        <f t="shared" si="51"/>
        <v>0</v>
      </c>
      <c r="W201" s="2"/>
      <c r="X201" s="6">
        <f t="shared" si="52"/>
        <v>0</v>
      </c>
      <c r="Y201" s="2"/>
      <c r="Z201" s="7">
        <f t="shared" si="53"/>
        <v>0</v>
      </c>
    </row>
    <row r="202" spans="1:26" s="23" customFormat="1" hidden="1" outlineLevel="2" x14ac:dyDescent="0.25">
      <c r="A202" s="27"/>
      <c r="B202" s="10" t="str">
        <f>CONCATENATE("          ", "6117", " - ", "RETIREMENT STAFF HOURLY")</f>
        <v xml:space="preserve">          6117 - RETIREMENT STAFF HOURLY</v>
      </c>
      <c r="C202" s="10"/>
      <c r="D202" s="6">
        <v>654.14</v>
      </c>
      <c r="E202" s="2"/>
      <c r="F202" s="7">
        <f t="shared" si="46"/>
        <v>9.9634001090621784E-4</v>
      </c>
      <c r="G202" s="2"/>
      <c r="H202" s="6">
        <v>349.85</v>
      </c>
      <c r="I202" s="2"/>
      <c r="J202" s="7">
        <f t="shared" si="47"/>
        <v>9.7400811256744186E-4</v>
      </c>
      <c r="K202" s="2"/>
      <c r="L202" s="6">
        <f t="shared" si="48"/>
        <v>304.28999999999996</v>
      </c>
      <c r="M202" s="2"/>
      <c r="N202" s="7">
        <f t="shared" si="49"/>
        <v>0.86977275975418022</v>
      </c>
      <c r="O202" s="10"/>
      <c r="P202" s="6">
        <v>6311.05</v>
      </c>
      <c r="Q202" s="2"/>
      <c r="R202" s="7">
        <f t="shared" si="50"/>
        <v>8.1098398388584133E-4</v>
      </c>
      <c r="S202" s="2"/>
      <c r="T202" s="6">
        <v>3739.96</v>
      </c>
      <c r="U202" s="2"/>
      <c r="V202" s="7">
        <f t="shared" si="51"/>
        <v>3.2622850553882989E-4</v>
      </c>
      <c r="W202" s="2"/>
      <c r="X202" s="6">
        <f t="shared" si="52"/>
        <v>2571.09</v>
      </c>
      <c r="Y202" s="2"/>
      <c r="Z202" s="7">
        <f t="shared" si="53"/>
        <v>0.68746457181360232</v>
      </c>
    </row>
    <row r="203" spans="1:26" s="23" customFormat="1" hidden="1" outlineLevel="2" x14ac:dyDescent="0.25">
      <c r="A203" s="27"/>
      <c r="B203" s="10" t="str">
        <f>CONCATENATE("          ", "6118", " - ", "VACATION")</f>
        <v xml:space="preserve">          6118 - VACATION</v>
      </c>
      <c r="C203" s="10"/>
      <c r="D203" s="6">
        <v>5837.16</v>
      </c>
      <c r="E203" s="2"/>
      <c r="F203" s="7">
        <f t="shared" si="46"/>
        <v>8.8907513040959712E-3</v>
      </c>
      <c r="G203" s="2"/>
      <c r="H203" s="6">
        <v>4751.04</v>
      </c>
      <c r="I203" s="2"/>
      <c r="J203" s="7">
        <f t="shared" si="47"/>
        <v>1.3227244542325049E-2</v>
      </c>
      <c r="K203" s="2"/>
      <c r="L203" s="6">
        <f t="shared" si="48"/>
        <v>1086.1199999999999</v>
      </c>
      <c r="M203" s="2"/>
      <c r="N203" s="7">
        <f t="shared" si="49"/>
        <v>0.22860678925035358</v>
      </c>
      <c r="O203" s="10"/>
      <c r="P203" s="6">
        <v>66282.990000000005</v>
      </c>
      <c r="Q203" s="2"/>
      <c r="R203" s="7">
        <f t="shared" si="50"/>
        <v>8.5175118710936193E-3</v>
      </c>
      <c r="S203" s="2"/>
      <c r="T203" s="6">
        <v>65758</v>
      </c>
      <c r="U203" s="2"/>
      <c r="V203" s="7">
        <f t="shared" si="51"/>
        <v>5.7359260706591449E-3</v>
      </c>
      <c r="W203" s="2"/>
      <c r="X203" s="6">
        <f t="shared" si="52"/>
        <v>524.99000000000524</v>
      </c>
      <c r="Y203" s="2"/>
      <c r="Z203" s="7">
        <f t="shared" si="53"/>
        <v>7.9836673864777698E-3</v>
      </c>
    </row>
    <row r="204" spans="1:26" s="23" customFormat="1" hidden="1" outlineLevel="2" x14ac:dyDescent="0.25">
      <c r="A204" s="27"/>
      <c r="B204" s="10" t="str">
        <f>CONCATENATE("          ", "6119", " - ", "SICK LEAVE")</f>
        <v xml:space="preserve">          6119 - SICK LEAVE</v>
      </c>
      <c r="C204" s="10"/>
      <c r="D204" s="6">
        <v>4091.66</v>
      </c>
      <c r="E204" s="2"/>
      <c r="F204" s="7">
        <f t="shared" si="46"/>
        <v>6.2321285489719859E-3</v>
      </c>
      <c r="G204" s="2"/>
      <c r="H204" s="6">
        <v>3114.01</v>
      </c>
      <c r="I204" s="2"/>
      <c r="J204" s="7">
        <f t="shared" si="47"/>
        <v>8.6696327072063439E-3</v>
      </c>
      <c r="K204" s="2"/>
      <c r="L204" s="6">
        <f t="shared" si="48"/>
        <v>977.64999999999964</v>
      </c>
      <c r="M204" s="2"/>
      <c r="N204" s="7">
        <f t="shared" si="49"/>
        <v>0.31395210676908536</v>
      </c>
      <c r="O204" s="10"/>
      <c r="P204" s="6">
        <v>47684.84</v>
      </c>
      <c r="Q204" s="2"/>
      <c r="R204" s="7">
        <f t="shared" si="50"/>
        <v>6.1276081657028417E-3</v>
      </c>
      <c r="S204" s="2"/>
      <c r="T204" s="6">
        <v>952.98</v>
      </c>
      <c r="U204" s="2"/>
      <c r="V204" s="7">
        <f t="shared" si="51"/>
        <v>8.3126354615662765E-5</v>
      </c>
      <c r="W204" s="2"/>
      <c r="X204" s="6">
        <f t="shared" si="52"/>
        <v>46731.859999999993</v>
      </c>
      <c r="Y204" s="2"/>
      <c r="Z204" s="7">
        <f t="shared" si="53"/>
        <v>49.037608344351398</v>
      </c>
    </row>
    <row r="205" spans="1:26" s="23" customFormat="1" hidden="1" outlineLevel="2" x14ac:dyDescent="0.25">
      <c r="A205" s="27"/>
      <c r="B205" s="10" t="str">
        <f>CONCATENATE("          ", "6156", " - ", "EMPLOYEE MEALS")</f>
        <v xml:space="preserve">          6156 - EMPLOYEE MEALS</v>
      </c>
      <c r="C205" s="10"/>
      <c r="D205" s="6">
        <v>1891.51</v>
      </c>
      <c r="E205" s="2"/>
      <c r="F205" s="7">
        <f t="shared" si="46"/>
        <v>2.8810149112257623E-3</v>
      </c>
      <c r="G205" s="2"/>
      <c r="H205" s="6">
        <v>708.99</v>
      </c>
      <c r="I205" s="2"/>
      <c r="J205" s="7">
        <f t="shared" si="47"/>
        <v>1.9738802679125068E-3</v>
      </c>
      <c r="K205" s="2"/>
      <c r="L205" s="6">
        <f t="shared" si="48"/>
        <v>1182.52</v>
      </c>
      <c r="M205" s="2"/>
      <c r="N205" s="7">
        <f t="shared" si="49"/>
        <v>1.6678937643690319</v>
      </c>
      <c r="O205" s="10"/>
      <c r="P205" s="6">
        <v>18541.439999999999</v>
      </c>
      <c r="Q205" s="2"/>
      <c r="R205" s="7">
        <f t="shared" si="50"/>
        <v>2.3826163440600679E-3</v>
      </c>
      <c r="S205" s="2"/>
      <c r="T205" s="6">
        <v>20684.169999999998</v>
      </c>
      <c r="U205" s="2"/>
      <c r="V205" s="7">
        <f t="shared" si="51"/>
        <v>1.80423476919836E-3</v>
      </c>
      <c r="W205" s="2"/>
      <c r="X205" s="6">
        <f t="shared" si="52"/>
        <v>-2142.7299999999996</v>
      </c>
      <c r="Y205" s="2"/>
      <c r="Z205" s="7">
        <f t="shared" si="53"/>
        <v>-0.10359274749724064</v>
      </c>
    </row>
    <row r="206" spans="1:26" s="26" customFormat="1" outlineLevel="1" collapsed="1" x14ac:dyDescent="0.25">
      <c r="A206" s="25"/>
      <c r="B206" s="12" t="str">
        <f>CONCATENATE("     ","*Payroll                                          ")</f>
        <v xml:space="preserve">     *Payroll                                          </v>
      </c>
      <c r="C206" s="12"/>
      <c r="D206" s="1">
        <f>SUM(OSRRefD22_1x_0)</f>
        <v>129825.17000000003</v>
      </c>
      <c r="E206" s="1"/>
      <c r="F206" s="5">
        <f t="shared" ref="F206:F213" si="54">IF(D$12=0,0,D206/D$12)</f>
        <v>0.19774056210245758</v>
      </c>
      <c r="G206" s="1"/>
      <c r="H206" s="1">
        <f>SUM(OSRRefH22_1x_0)</f>
        <v>89064.640000000014</v>
      </c>
      <c r="I206" s="1"/>
      <c r="J206" s="5">
        <f t="shared" ref="J206:J213" si="55">IF(H$12=0,0,H206/H$12)</f>
        <v>0.24796250365270456</v>
      </c>
      <c r="K206" s="1"/>
      <c r="L206" s="1">
        <f t="shared" ref="L206:L213" si="56">+D206-H206</f>
        <v>40760.530000000013</v>
      </c>
      <c r="M206" s="1"/>
      <c r="N206" s="5">
        <f t="shared" ref="N206:N213" si="57">IF(H206=0,0,L206/H206)</f>
        <v>0.45765109475544963</v>
      </c>
      <c r="O206" s="12"/>
      <c r="P206" s="1">
        <f>SUM(OSRRefP22_1x_0)</f>
        <v>1460759.89</v>
      </c>
      <c r="Q206" s="1"/>
      <c r="R206" s="5">
        <f t="shared" ref="R206:R213" si="58">IF(P$12=0,0,P206/P$12)</f>
        <v>0.18771089994419998</v>
      </c>
      <c r="S206" s="1"/>
      <c r="T206" s="1">
        <f>SUM(OSRRefT22_1x_0)</f>
        <v>1895731.99</v>
      </c>
      <c r="U206" s="1"/>
      <c r="V206" s="5">
        <f t="shared" ref="V206:V213" si="59">IF(T$12=0,0,T206/T$12)</f>
        <v>0.16536054235870223</v>
      </c>
      <c r="W206" s="1"/>
      <c r="X206" s="1">
        <f t="shared" ref="X206:X213" si="60">+P206-T206</f>
        <v>-434972.10000000009</v>
      </c>
      <c r="Y206" s="1"/>
      <c r="Z206" s="5">
        <f t="shared" ref="Z206:Z213" si="61">IF(T206=0,0,X206/T206)</f>
        <v>-0.22944809830423343</v>
      </c>
    </row>
    <row r="207" spans="1:26" s="23" customFormat="1" hidden="1" outlineLevel="2" x14ac:dyDescent="0.25">
      <c r="A207" s="27"/>
      <c r="B207" s="10" t="str">
        <f>CONCATENATE("          ", "6001", " - ", "ADMINISTRATIVE SALARIES")</f>
        <v xml:space="preserve">          6001 - ADMINISTRATIVE SALARIES</v>
      </c>
      <c r="C207" s="10"/>
      <c r="D207" s="6">
        <v>4205.74</v>
      </c>
      <c r="E207" s="2"/>
      <c r="F207" s="7">
        <f t="shared" si="54"/>
        <v>6.4058871762447123E-3</v>
      </c>
      <c r="G207" s="2"/>
      <c r="H207" s="6"/>
      <c r="I207" s="2"/>
      <c r="J207" s="7">
        <f t="shared" si="55"/>
        <v>0</v>
      </c>
      <c r="K207" s="2"/>
      <c r="L207" s="6">
        <f t="shared" si="56"/>
        <v>4205.74</v>
      </c>
      <c r="M207" s="2"/>
      <c r="N207" s="7">
        <f t="shared" si="57"/>
        <v>0</v>
      </c>
      <c r="O207" s="10"/>
      <c r="P207" s="6">
        <v>47398.53</v>
      </c>
      <c r="Q207" s="2"/>
      <c r="R207" s="7">
        <f t="shared" si="58"/>
        <v>6.0908166929009543E-3</v>
      </c>
      <c r="S207" s="2"/>
      <c r="T207" s="6">
        <v>93238.31</v>
      </c>
      <c r="U207" s="2"/>
      <c r="V207" s="7">
        <f t="shared" si="59"/>
        <v>8.1329732217098934E-3</v>
      </c>
      <c r="W207" s="2"/>
      <c r="X207" s="6">
        <f t="shared" si="60"/>
        <v>-45839.78</v>
      </c>
      <c r="Y207" s="2"/>
      <c r="Z207" s="7">
        <f t="shared" si="61"/>
        <v>-0.49164104325786256</v>
      </c>
    </row>
    <row r="208" spans="1:26" s="23" customFormat="1" hidden="1" outlineLevel="2" x14ac:dyDescent="0.25">
      <c r="A208" s="27"/>
      <c r="B208" s="10" t="str">
        <f>CONCATENATE("          ", "6002", " - ", "STAFF SALARIES")</f>
        <v xml:space="preserve">          6002 - STAFF SALARIES</v>
      </c>
      <c r="C208" s="10"/>
      <c r="D208" s="6">
        <v>65838.14</v>
      </c>
      <c r="E208" s="2"/>
      <c r="F208" s="7">
        <f t="shared" si="54"/>
        <v>0.10028002128847814</v>
      </c>
      <c r="G208" s="2"/>
      <c r="H208" s="6">
        <v>47195.77</v>
      </c>
      <c r="I208" s="2"/>
      <c r="J208" s="7">
        <f t="shared" si="55"/>
        <v>0.13139649237921133</v>
      </c>
      <c r="K208" s="2"/>
      <c r="L208" s="6">
        <f t="shared" si="56"/>
        <v>18642.370000000003</v>
      </c>
      <c r="M208" s="2"/>
      <c r="N208" s="7">
        <f t="shared" si="57"/>
        <v>0.39500086554367064</v>
      </c>
      <c r="O208" s="10"/>
      <c r="P208" s="6">
        <v>692289.26</v>
      </c>
      <c r="Q208" s="2"/>
      <c r="R208" s="7">
        <f t="shared" si="58"/>
        <v>8.8960712096431027E-2</v>
      </c>
      <c r="S208" s="2"/>
      <c r="T208" s="6">
        <v>645340.99</v>
      </c>
      <c r="U208" s="2"/>
      <c r="V208" s="7">
        <f t="shared" si="59"/>
        <v>5.6291678715988662E-2</v>
      </c>
      <c r="W208" s="2"/>
      <c r="X208" s="6">
        <f t="shared" si="60"/>
        <v>46948.270000000019</v>
      </c>
      <c r="Y208" s="2"/>
      <c r="Z208" s="7">
        <f t="shared" si="61"/>
        <v>7.2749555239006308E-2</v>
      </c>
    </row>
    <row r="209" spans="1:26" s="23" customFormat="1" hidden="1" outlineLevel="2" x14ac:dyDescent="0.25">
      <c r="A209" s="27"/>
      <c r="B209" s="10" t="str">
        <f>CONCATENATE("          ", "6004", " - ", "STAFF HOURLY")</f>
        <v xml:space="preserve">          6004 - STAFF HOURLY</v>
      </c>
      <c r="C209" s="10"/>
      <c r="D209" s="6">
        <v>16277.07</v>
      </c>
      <c r="E209" s="2"/>
      <c r="F209" s="7">
        <f t="shared" si="54"/>
        <v>2.4792087475649358E-2</v>
      </c>
      <c r="G209" s="2"/>
      <c r="H209" s="6">
        <v>13803.95</v>
      </c>
      <c r="I209" s="2"/>
      <c r="J209" s="7">
        <f t="shared" si="55"/>
        <v>3.8431211334787302E-2</v>
      </c>
      <c r="K209" s="2"/>
      <c r="L209" s="6">
        <f t="shared" si="56"/>
        <v>2473.119999999999</v>
      </c>
      <c r="M209" s="2"/>
      <c r="N209" s="7">
        <f t="shared" si="57"/>
        <v>0.17916031280901473</v>
      </c>
      <c r="O209" s="10"/>
      <c r="P209" s="6">
        <v>208079.7</v>
      </c>
      <c r="Q209" s="2"/>
      <c r="R209" s="7">
        <f t="shared" si="58"/>
        <v>2.6738704981226692E-2</v>
      </c>
      <c r="S209" s="2"/>
      <c r="T209" s="6">
        <v>71412.13</v>
      </c>
      <c r="U209" s="2"/>
      <c r="V209" s="7">
        <f t="shared" si="59"/>
        <v>6.2291234257170237E-3</v>
      </c>
      <c r="W209" s="2"/>
      <c r="X209" s="6">
        <f t="shared" si="60"/>
        <v>136667.57</v>
      </c>
      <c r="Y209" s="2"/>
      <c r="Z209" s="7">
        <f t="shared" si="61"/>
        <v>1.9137864953755055</v>
      </c>
    </row>
    <row r="210" spans="1:26" s="23" customFormat="1" hidden="1" outlineLevel="2" x14ac:dyDescent="0.25">
      <c r="A210" s="27"/>
      <c r="B210" s="10" t="str">
        <f>CONCATENATE("          ", "6005", " - ", "TEMPORARY WAGES-HOURLY")</f>
        <v xml:space="preserve">          6005 - TEMPORARY WAGES-HOURLY</v>
      </c>
      <c r="C210" s="10"/>
      <c r="D210" s="6">
        <v>7607.71</v>
      </c>
      <c r="E210" s="2"/>
      <c r="F210" s="7">
        <f t="shared" si="54"/>
        <v>1.1587528456249949E-2</v>
      </c>
      <c r="G210" s="2"/>
      <c r="H210" s="6">
        <v>8052.32</v>
      </c>
      <c r="I210" s="2"/>
      <c r="J210" s="7">
        <f t="shared" si="55"/>
        <v>2.2418250693122945E-2</v>
      </c>
      <c r="K210" s="2"/>
      <c r="L210" s="6">
        <f t="shared" si="56"/>
        <v>-444.60999999999967</v>
      </c>
      <c r="M210" s="2"/>
      <c r="N210" s="7">
        <f t="shared" si="57"/>
        <v>-5.5215142965008804E-2</v>
      </c>
      <c r="O210" s="10"/>
      <c r="P210" s="6">
        <v>159839.76</v>
      </c>
      <c r="Q210" s="2"/>
      <c r="R210" s="7">
        <f t="shared" si="58"/>
        <v>2.0539765228948709E-2</v>
      </c>
      <c r="S210" s="2"/>
      <c r="T210" s="6">
        <v>218308.79</v>
      </c>
      <c r="U210" s="2"/>
      <c r="V210" s="7">
        <f t="shared" si="59"/>
        <v>1.9042596794535304E-2</v>
      </c>
      <c r="W210" s="2"/>
      <c r="X210" s="6">
        <f t="shared" si="60"/>
        <v>-58469.03</v>
      </c>
      <c r="Y210" s="2"/>
      <c r="Z210" s="7">
        <f t="shared" si="61"/>
        <v>-0.26782719101690772</v>
      </c>
    </row>
    <row r="211" spans="1:26" s="23" customFormat="1" hidden="1" outlineLevel="2" x14ac:dyDescent="0.25">
      <c r="A211" s="27"/>
      <c r="B211" s="10" t="str">
        <f>CONCATENATE("          ", "6006", " - ", "TEMPORARY PART TIME")</f>
        <v xml:space="preserve">          6006 - TEMPORARY PART TIME</v>
      </c>
      <c r="C211" s="10"/>
      <c r="D211" s="6">
        <v>2769.97</v>
      </c>
      <c r="E211" s="2"/>
      <c r="F211" s="7">
        <f t="shared" si="54"/>
        <v>4.2190233589291222E-3</v>
      </c>
      <c r="G211" s="2"/>
      <c r="H211" s="6">
        <v>1929.14</v>
      </c>
      <c r="I211" s="2"/>
      <c r="J211" s="7">
        <f t="shared" si="55"/>
        <v>5.3708675440284539E-3</v>
      </c>
      <c r="K211" s="2"/>
      <c r="L211" s="6">
        <f t="shared" si="56"/>
        <v>840.8299999999997</v>
      </c>
      <c r="M211" s="2"/>
      <c r="N211" s="7">
        <f t="shared" si="57"/>
        <v>0.43585742869879823</v>
      </c>
      <c r="O211" s="10"/>
      <c r="P211" s="6">
        <v>19716.73</v>
      </c>
      <c r="Q211" s="2"/>
      <c r="R211" s="7">
        <f t="shared" si="58"/>
        <v>2.5336437272088612E-3</v>
      </c>
      <c r="S211" s="2"/>
      <c r="T211" s="6">
        <v>44094.39</v>
      </c>
      <c r="U211" s="2"/>
      <c r="V211" s="7">
        <f t="shared" si="59"/>
        <v>3.8462568990968687E-3</v>
      </c>
      <c r="W211" s="2"/>
      <c r="X211" s="6">
        <f t="shared" si="60"/>
        <v>-24377.66</v>
      </c>
      <c r="Y211" s="2"/>
      <c r="Z211" s="7">
        <f t="shared" si="61"/>
        <v>-0.55285173465377346</v>
      </c>
    </row>
    <row r="212" spans="1:26" s="23" customFormat="1" hidden="1" outlineLevel="2" x14ac:dyDescent="0.25">
      <c r="A212" s="27"/>
      <c r="B212" s="10" t="str">
        <f>CONCATENATE("          ", "6007", " - ", "STUDENT HOURLY")</f>
        <v xml:space="preserve">          6007 - STUDENT HOURLY</v>
      </c>
      <c r="C212" s="10"/>
      <c r="D212" s="6">
        <v>30587.08</v>
      </c>
      <c r="E212" s="2"/>
      <c r="F212" s="7">
        <f t="shared" si="54"/>
        <v>4.658808759713419E-2</v>
      </c>
      <c r="G212" s="2"/>
      <c r="H212" s="6">
        <v>18083.46</v>
      </c>
      <c r="I212" s="2"/>
      <c r="J212" s="7">
        <f t="shared" si="55"/>
        <v>5.0345681701554464E-2</v>
      </c>
      <c r="K212" s="2"/>
      <c r="L212" s="6">
        <f t="shared" si="56"/>
        <v>12503.620000000003</v>
      </c>
      <c r="M212" s="2"/>
      <c r="N212" s="7">
        <f t="shared" si="57"/>
        <v>0.69143958069971145</v>
      </c>
      <c r="O212" s="10"/>
      <c r="P212" s="6">
        <v>320894.5</v>
      </c>
      <c r="Q212" s="2"/>
      <c r="R212" s="7">
        <f t="shared" si="58"/>
        <v>4.1235658094462113E-2</v>
      </c>
      <c r="S212" s="2"/>
      <c r="T212" s="6">
        <v>807857.46</v>
      </c>
      <c r="U212" s="2"/>
      <c r="V212" s="7">
        <f t="shared" si="59"/>
        <v>7.0467633842125316E-2</v>
      </c>
      <c r="W212" s="2"/>
      <c r="X212" s="6">
        <f t="shared" si="60"/>
        <v>-486962.95999999996</v>
      </c>
      <c r="Y212" s="2"/>
      <c r="Z212" s="7">
        <f t="shared" si="61"/>
        <v>-0.60278326822655071</v>
      </c>
    </row>
    <row r="213" spans="1:26" s="23" customFormat="1" hidden="1" outlineLevel="2" x14ac:dyDescent="0.25">
      <c r="A213" s="27"/>
      <c r="B213" s="10" t="str">
        <f>CONCATENATE("          ", "6008", " - ", "STUDENT HOURLY-FICA EXEMPT")</f>
        <v xml:space="preserve">          6008 - STUDENT HOURLY-FICA EXEMPT</v>
      </c>
      <c r="C213" s="10"/>
      <c r="D213" s="6">
        <v>2539.46</v>
      </c>
      <c r="E213" s="2"/>
      <c r="F213" s="7">
        <f t="shared" si="54"/>
        <v>3.8679267497720728E-3</v>
      </c>
      <c r="G213" s="2"/>
      <c r="H213" s="6"/>
      <c r="I213" s="2"/>
      <c r="J213" s="7">
        <f t="shared" si="55"/>
        <v>0</v>
      </c>
      <c r="K213" s="2"/>
      <c r="L213" s="6">
        <f t="shared" si="56"/>
        <v>2539.46</v>
      </c>
      <c r="M213" s="2"/>
      <c r="N213" s="7">
        <f t="shared" si="57"/>
        <v>0</v>
      </c>
      <c r="O213" s="10"/>
      <c r="P213" s="6">
        <v>12541.41</v>
      </c>
      <c r="Q213" s="2"/>
      <c r="R213" s="7">
        <f t="shared" si="58"/>
        <v>1.6115991230216413E-3</v>
      </c>
      <c r="S213" s="2"/>
      <c r="T213" s="6">
        <v>15479.92</v>
      </c>
      <c r="U213" s="2"/>
      <c r="V213" s="7">
        <f t="shared" si="59"/>
        <v>1.3502794595291509E-3</v>
      </c>
      <c r="W213" s="2"/>
      <c r="X213" s="6">
        <f t="shared" si="60"/>
        <v>-2938.51</v>
      </c>
      <c r="Y213" s="2"/>
      <c r="Z213" s="7">
        <f t="shared" si="61"/>
        <v>-0.1898272084093458</v>
      </c>
    </row>
    <row r="214" spans="1:26" s="26" customFormat="1" outlineLevel="1" collapsed="1" x14ac:dyDescent="0.25">
      <c r="A214" s="25"/>
      <c r="B214" s="12" t="str">
        <f>CONCATENATE("     ","Advertising/Promo                                 ")</f>
        <v xml:space="preserve">     Advertising/Promo                                 </v>
      </c>
      <c r="C214" s="12"/>
      <c r="D214" s="1">
        <f>SUM(OSRRefD22_2x_0)</f>
        <v>74.709999999999994</v>
      </c>
      <c r="E214" s="1"/>
      <c r="F214" s="5">
        <f t="shared" ref="F214:F218" si="62">IF(D$12=0,0,D214/D$12)</f>
        <v>1.1379301405632361E-4</v>
      </c>
      <c r="G214" s="1"/>
      <c r="H214" s="1">
        <f>SUM(OSRRefH22_2x_0)</f>
        <v>1029</v>
      </c>
      <c r="I214" s="1"/>
      <c r="J214" s="5">
        <f t="shared" ref="J214:J218" si="63">IF(H$12=0,0,H214/H$12)</f>
        <v>2.8648116273600043E-3</v>
      </c>
      <c r="K214" s="1"/>
      <c r="L214" s="1">
        <f t="shared" ref="L214:L218" si="64">+D214-H214</f>
        <v>-954.29</v>
      </c>
      <c r="M214" s="1"/>
      <c r="N214" s="5">
        <f t="shared" ref="N214:N218" si="65">IF(H214=0,0,L214/H214)</f>
        <v>-0.9273955296404276</v>
      </c>
      <c r="O214" s="12"/>
      <c r="P214" s="1">
        <f>SUM(OSRRefP22_2x_0)</f>
        <v>18236.150000000001</v>
      </c>
      <c r="Q214" s="1"/>
      <c r="R214" s="5">
        <f t="shared" ref="R214:R218" si="66">IF(P$12=0,0,P214/P$12)</f>
        <v>2.343385898977157E-3</v>
      </c>
      <c r="S214" s="1"/>
      <c r="T214" s="1">
        <f>SUM(OSRRefT22_2x_0)</f>
        <v>47217.41</v>
      </c>
      <c r="U214" s="1"/>
      <c r="V214" s="5">
        <f t="shared" ref="V214:V218" si="67">IF(T$12=0,0,T214/T$12)</f>
        <v>4.1186710819672411E-3</v>
      </c>
      <c r="W214" s="1"/>
      <c r="X214" s="1">
        <f t="shared" ref="X214:X218" si="68">+P214-T214</f>
        <v>-28981.260000000002</v>
      </c>
      <c r="Y214" s="1"/>
      <c r="Z214" s="5">
        <f t="shared" ref="Z214:Z218" si="69">IF(T214=0,0,X214/T214)</f>
        <v>-0.61378334813366509</v>
      </c>
    </row>
    <row r="215" spans="1:26" s="23" customFormat="1" hidden="1" outlineLevel="2" x14ac:dyDescent="0.25">
      <c r="A215" s="27"/>
      <c r="B215" s="10" t="str">
        <f>CONCATENATE("          ", "6362", " - ", "ADVERTISING EXPENSE")</f>
        <v xml:space="preserve">          6362 - ADVERTISING EXPENSE</v>
      </c>
      <c r="C215" s="10"/>
      <c r="D215" s="6">
        <v>74.709999999999994</v>
      </c>
      <c r="E215" s="2"/>
      <c r="F215" s="7">
        <f t="shared" si="62"/>
        <v>1.1379301405632361E-4</v>
      </c>
      <c r="G215" s="2"/>
      <c r="H215" s="6">
        <v>1029</v>
      </c>
      <c r="I215" s="2"/>
      <c r="J215" s="7">
        <f t="shared" si="63"/>
        <v>2.8648116273600043E-3</v>
      </c>
      <c r="K215" s="2"/>
      <c r="L215" s="6">
        <f t="shared" si="64"/>
        <v>-954.29</v>
      </c>
      <c r="M215" s="2"/>
      <c r="N215" s="7">
        <f t="shared" si="65"/>
        <v>-0.9273955296404276</v>
      </c>
      <c r="O215" s="10"/>
      <c r="P215" s="6">
        <v>18236.150000000001</v>
      </c>
      <c r="Q215" s="2"/>
      <c r="R215" s="7">
        <f t="shared" si="66"/>
        <v>2.343385898977157E-3</v>
      </c>
      <c r="S215" s="2"/>
      <c r="T215" s="6">
        <v>47217.41</v>
      </c>
      <c r="U215" s="2"/>
      <c r="V215" s="7">
        <f t="shared" si="67"/>
        <v>4.1186710819672411E-3</v>
      </c>
      <c r="W215" s="2"/>
      <c r="X215" s="6">
        <f t="shared" si="68"/>
        <v>-28981.260000000002</v>
      </c>
      <c r="Y215" s="2"/>
      <c r="Z215" s="7">
        <f t="shared" si="69"/>
        <v>-0.61378334813366509</v>
      </c>
    </row>
    <row r="216" spans="1:26" s="26" customFormat="1" outlineLevel="1" collapsed="1" x14ac:dyDescent="0.25">
      <c r="A216" s="25"/>
      <c r="B216" s="12" t="str">
        <f>CONCATENATE("     ","Bad Debts/Over/Short                              ")</f>
        <v xml:space="preserve">     Bad Debts/Over/Short                              </v>
      </c>
      <c r="C216" s="12"/>
      <c r="D216" s="1">
        <f>SUM(OSRRefD22_3x_0)</f>
        <v>21.56</v>
      </c>
      <c r="E216" s="1"/>
      <c r="F216" s="5">
        <f t="shared" si="62"/>
        <v>3.2838674649368719E-5</v>
      </c>
      <c r="G216" s="1"/>
      <c r="H216" s="1">
        <f>SUM(OSRRefH22_3x_0)</f>
        <v>-4.55</v>
      </c>
      <c r="I216" s="1"/>
      <c r="J216" s="5">
        <f t="shared" si="63"/>
        <v>-1.2667534406693896E-5</v>
      </c>
      <c r="K216" s="1"/>
      <c r="L216" s="1">
        <f t="shared" si="64"/>
        <v>26.11</v>
      </c>
      <c r="M216" s="1"/>
      <c r="N216" s="5">
        <f t="shared" si="65"/>
        <v>-5.7384615384615385</v>
      </c>
      <c r="O216" s="12"/>
      <c r="P216" s="1">
        <f>SUM(OSRRefP22_3x_0)</f>
        <v>5204.26</v>
      </c>
      <c r="Q216" s="1"/>
      <c r="R216" s="5">
        <f t="shared" si="66"/>
        <v>6.6875900333189075E-4</v>
      </c>
      <c r="S216" s="1"/>
      <c r="T216" s="1">
        <f>SUM(OSRRefT22_3x_0)</f>
        <v>-30.92</v>
      </c>
      <c r="U216" s="1"/>
      <c r="V216" s="5">
        <f t="shared" si="67"/>
        <v>-2.6970837632650138E-6</v>
      </c>
      <c r="W216" s="1"/>
      <c r="X216" s="1">
        <f t="shared" si="68"/>
        <v>5235.18</v>
      </c>
      <c r="Y216" s="1"/>
      <c r="Z216" s="5">
        <f t="shared" si="69"/>
        <v>-169.31371280724451</v>
      </c>
    </row>
    <row r="217" spans="1:26" s="23" customFormat="1" hidden="1" outlineLevel="2" x14ac:dyDescent="0.25">
      <c r="A217" s="27"/>
      <c r="B217" s="10" t="str">
        <f>CONCATENATE("          ", "6272", " - ", "CASH (OVER/SHORT)")</f>
        <v xml:space="preserve">          6272 - CASH (OVER/SHORT)</v>
      </c>
      <c r="C217" s="10"/>
      <c r="D217" s="6">
        <v>21.56</v>
      </c>
      <c r="E217" s="2"/>
      <c r="F217" s="7">
        <f t="shared" si="62"/>
        <v>3.2838674649368719E-5</v>
      </c>
      <c r="G217" s="2"/>
      <c r="H217" s="6">
        <v>-4.55</v>
      </c>
      <c r="I217" s="2"/>
      <c r="J217" s="7">
        <f t="shared" si="63"/>
        <v>-1.2667534406693896E-5</v>
      </c>
      <c r="K217" s="2"/>
      <c r="L217" s="6">
        <f t="shared" si="64"/>
        <v>26.11</v>
      </c>
      <c r="M217" s="2"/>
      <c r="N217" s="7">
        <f t="shared" si="65"/>
        <v>-5.7384615384615385</v>
      </c>
      <c r="O217" s="10"/>
      <c r="P217" s="6">
        <v>-145.16</v>
      </c>
      <c r="Q217" s="2"/>
      <c r="R217" s="7">
        <f t="shared" si="66"/>
        <v>-1.8653383367406172E-5</v>
      </c>
      <c r="S217" s="2"/>
      <c r="T217" s="6">
        <v>-75.72</v>
      </c>
      <c r="U217" s="2"/>
      <c r="V217" s="7">
        <f t="shared" si="67"/>
        <v>-6.6048894745933642E-6</v>
      </c>
      <c r="W217" s="2"/>
      <c r="X217" s="6">
        <f t="shared" si="68"/>
        <v>-69.44</v>
      </c>
      <c r="Y217" s="2"/>
      <c r="Z217" s="7">
        <f t="shared" si="69"/>
        <v>0.9170628631801373</v>
      </c>
    </row>
    <row r="218" spans="1:26" s="23" customFormat="1" hidden="1" outlineLevel="2" x14ac:dyDescent="0.25">
      <c r="A218" s="27"/>
      <c r="B218" s="10" t="str">
        <f>CONCATENATE("          ", "6342", " - ", "BAD DEBT")</f>
        <v xml:space="preserve">          6342 - BAD DEBT</v>
      </c>
      <c r="C218" s="10"/>
      <c r="D218" s="6"/>
      <c r="E218" s="2"/>
      <c r="F218" s="7">
        <f t="shared" si="62"/>
        <v>0</v>
      </c>
      <c r="G218" s="2"/>
      <c r="H218" s="6"/>
      <c r="I218" s="2"/>
      <c r="J218" s="7">
        <f t="shared" si="63"/>
        <v>0</v>
      </c>
      <c r="K218" s="2"/>
      <c r="L218" s="6">
        <f t="shared" si="64"/>
        <v>0</v>
      </c>
      <c r="M218" s="2"/>
      <c r="N218" s="7">
        <f t="shared" si="65"/>
        <v>0</v>
      </c>
      <c r="O218" s="10"/>
      <c r="P218" s="6">
        <v>5349.42</v>
      </c>
      <c r="Q218" s="2"/>
      <c r="R218" s="7">
        <f t="shared" si="66"/>
        <v>6.8741238669929681E-4</v>
      </c>
      <c r="S218" s="2"/>
      <c r="T218" s="6">
        <v>44.8</v>
      </c>
      <c r="U218" s="2"/>
      <c r="V218" s="7">
        <f t="shared" si="67"/>
        <v>3.9078057113283508E-6</v>
      </c>
      <c r="W218" s="2"/>
      <c r="X218" s="6">
        <f t="shared" si="68"/>
        <v>5304.62</v>
      </c>
      <c r="Y218" s="2"/>
      <c r="Z218" s="7">
        <f t="shared" si="69"/>
        <v>118.40669642857144</v>
      </c>
    </row>
    <row r="219" spans="1:26" s="26" customFormat="1" outlineLevel="1" collapsed="1" x14ac:dyDescent="0.25">
      <c r="A219" s="25"/>
      <c r="B219" s="12" t="str">
        <f>CONCATENATE("     ","Bank/card Fees                                    ")</f>
        <v xml:space="preserve">     Bank/card Fees                                    </v>
      </c>
      <c r="C219" s="12"/>
      <c r="D219" s="1">
        <f>SUM(OSRRefD22_4x_0)</f>
        <v>3967.68</v>
      </c>
      <c r="E219" s="1"/>
      <c r="F219" s="5">
        <f t="shared" ref="F219:F224" si="70">IF(D$12=0,0,D219/D$12)</f>
        <v>6.043290938441896E-3</v>
      </c>
      <c r="G219" s="1"/>
      <c r="H219" s="1">
        <f>SUM(OSRRefH22_4x_0)</f>
        <v>5413.34</v>
      </c>
      <c r="I219" s="1"/>
      <c r="J219" s="5">
        <f t="shared" ref="J219:J224" si="71">IF(H$12=0,0,H219/H$12)</f>
        <v>1.5071136418710405E-2</v>
      </c>
      <c r="K219" s="1"/>
      <c r="L219" s="1">
        <f t="shared" ref="L219:L224" si="72">+D219-H219</f>
        <v>-1445.6600000000003</v>
      </c>
      <c r="M219" s="1"/>
      <c r="N219" s="5">
        <f t="shared" ref="N219:N224" si="73">IF(H219=0,0,L219/H219)</f>
        <v>-0.26705508983363324</v>
      </c>
      <c r="O219" s="12"/>
      <c r="P219" s="1">
        <f>SUM(OSRRefP22_4x_0)</f>
        <v>78603.539999999994</v>
      </c>
      <c r="Q219" s="1"/>
      <c r="R219" s="5">
        <f t="shared" ref="R219:R224" si="74">IF(P$12=0,0,P219/P$12)</f>
        <v>1.0100729992113845E-2</v>
      </c>
      <c r="S219" s="1"/>
      <c r="T219" s="1">
        <f>SUM(OSRRefT22_4x_0)</f>
        <v>145245.03</v>
      </c>
      <c r="U219" s="1"/>
      <c r="V219" s="5">
        <f t="shared" ref="V219:V224" si="75">IF(T$12=0,0,T219/T$12)</f>
        <v>1.2669405307501286E-2</v>
      </c>
      <c r="W219" s="1"/>
      <c r="X219" s="1">
        <f t="shared" ref="X219:X224" si="76">+P219-T219</f>
        <v>-66641.490000000005</v>
      </c>
      <c r="Y219" s="1"/>
      <c r="Z219" s="5">
        <f t="shared" ref="Z219:Z224" si="77">IF(T219=0,0,X219/T219)</f>
        <v>-0.45882113832053328</v>
      </c>
    </row>
    <row r="220" spans="1:26" s="23" customFormat="1" hidden="1" outlineLevel="2" x14ac:dyDescent="0.25">
      <c r="A220" s="27"/>
      <c r="B220" s="10" t="str">
        <f>CONCATENATE("          ", "6381", " - ", "BANK/CREDIT CARD FEES")</f>
        <v xml:space="preserve">          6381 - BANK/CREDIT CARD FEES</v>
      </c>
      <c r="C220" s="10"/>
      <c r="D220" s="6">
        <v>3967.68</v>
      </c>
      <c r="E220" s="2"/>
      <c r="F220" s="7">
        <f t="shared" si="70"/>
        <v>6.043290938441896E-3</v>
      </c>
      <c r="G220" s="2"/>
      <c r="H220" s="6">
        <v>5413.34</v>
      </c>
      <c r="I220" s="2"/>
      <c r="J220" s="7">
        <f t="shared" si="71"/>
        <v>1.5071136418710405E-2</v>
      </c>
      <c r="K220" s="2"/>
      <c r="L220" s="6">
        <f t="shared" si="72"/>
        <v>-1445.6600000000003</v>
      </c>
      <c r="M220" s="2"/>
      <c r="N220" s="7">
        <f t="shared" si="73"/>
        <v>-0.26705508983363324</v>
      </c>
      <c r="O220" s="10"/>
      <c r="P220" s="6">
        <v>78603.539999999994</v>
      </c>
      <c r="Q220" s="2"/>
      <c r="R220" s="7">
        <f t="shared" si="74"/>
        <v>1.0100729992113845E-2</v>
      </c>
      <c r="S220" s="2"/>
      <c r="T220" s="6">
        <v>145245.03</v>
      </c>
      <c r="U220" s="2"/>
      <c r="V220" s="7">
        <f t="shared" si="75"/>
        <v>1.2669405307501286E-2</v>
      </c>
      <c r="W220" s="2"/>
      <c r="X220" s="6">
        <f t="shared" si="76"/>
        <v>-66641.490000000005</v>
      </c>
      <c r="Y220" s="2"/>
      <c r="Z220" s="7">
        <f t="shared" si="77"/>
        <v>-0.45882113832053328</v>
      </c>
    </row>
    <row r="221" spans="1:26" s="26" customFormat="1" outlineLevel="1" collapsed="1" x14ac:dyDescent="0.25">
      <c r="A221" s="25"/>
      <c r="B221" s="12" t="str">
        <f>CONCATENATE("     ","Depreciation                                      ")</f>
        <v xml:space="preserve">     Depreciation                                      </v>
      </c>
      <c r="C221" s="12"/>
      <c r="D221" s="1">
        <f>SUM(OSRRefD22_5x_0)</f>
        <v>31016.29</v>
      </c>
      <c r="E221" s="1"/>
      <c r="F221" s="5">
        <f t="shared" si="70"/>
        <v>4.7241830062173869E-2</v>
      </c>
      <c r="G221" s="1"/>
      <c r="H221" s="1">
        <f>SUM(OSRRefH22_5x_0)</f>
        <v>30629.919999999998</v>
      </c>
      <c r="I221" s="1"/>
      <c r="J221" s="5">
        <f t="shared" si="71"/>
        <v>8.5275948455886041E-2</v>
      </c>
      <c r="K221" s="1"/>
      <c r="L221" s="1">
        <f t="shared" si="72"/>
        <v>386.37000000000262</v>
      </c>
      <c r="M221" s="1"/>
      <c r="N221" s="5">
        <f t="shared" si="73"/>
        <v>1.2614136765620107E-2</v>
      </c>
      <c r="O221" s="12"/>
      <c r="P221" s="1">
        <f>SUM(OSRRefP22_5x_0)</f>
        <v>341474.68</v>
      </c>
      <c r="Q221" s="1"/>
      <c r="R221" s="5">
        <f t="shared" si="74"/>
        <v>4.3880257070145666E-2</v>
      </c>
      <c r="S221" s="1"/>
      <c r="T221" s="1">
        <f>SUM(OSRRefT22_5x_0)</f>
        <v>332117.26</v>
      </c>
      <c r="U221" s="1"/>
      <c r="V221" s="5">
        <f t="shared" si="75"/>
        <v>2.8969859943275063E-2</v>
      </c>
      <c r="W221" s="1"/>
      <c r="X221" s="1">
        <f t="shared" si="76"/>
        <v>9357.4199999999837</v>
      </c>
      <c r="Y221" s="1"/>
      <c r="Z221" s="5">
        <f t="shared" si="77"/>
        <v>2.8175048776447161E-2</v>
      </c>
    </row>
    <row r="222" spans="1:26" s="23" customFormat="1" hidden="1" outlineLevel="2" x14ac:dyDescent="0.25">
      <c r="A222" s="27"/>
      <c r="B222" s="10" t="str">
        <f>CONCATENATE("          ", "6321", " - ", "BUILDING DEPRECIATION")</f>
        <v xml:space="preserve">          6321 - BUILDING DEPRECIATION</v>
      </c>
      <c r="C222" s="10"/>
      <c r="D222" s="6">
        <v>16396.52</v>
      </c>
      <c r="E222" s="2"/>
      <c r="F222" s="7">
        <f t="shared" si="70"/>
        <v>2.4974025308991989E-2</v>
      </c>
      <c r="G222" s="2"/>
      <c r="H222" s="6">
        <v>16396.52</v>
      </c>
      <c r="I222" s="2"/>
      <c r="J222" s="7">
        <f t="shared" si="71"/>
        <v>4.5649116758251569E-2</v>
      </c>
      <c r="K222" s="2"/>
      <c r="L222" s="6">
        <f t="shared" si="72"/>
        <v>0</v>
      </c>
      <c r="M222" s="2"/>
      <c r="N222" s="7">
        <f t="shared" si="73"/>
        <v>0</v>
      </c>
      <c r="O222" s="10"/>
      <c r="P222" s="6">
        <v>180361.72</v>
      </c>
      <c r="Q222" s="2"/>
      <c r="R222" s="7">
        <f t="shared" si="74"/>
        <v>2.3176882804937789E-2</v>
      </c>
      <c r="S222" s="2"/>
      <c r="T222" s="6">
        <v>180361.72</v>
      </c>
      <c r="U222" s="2"/>
      <c r="V222" s="7">
        <f t="shared" si="75"/>
        <v>1.5732557132165287E-2</v>
      </c>
      <c r="W222" s="2"/>
      <c r="X222" s="6">
        <f t="shared" si="76"/>
        <v>0</v>
      </c>
      <c r="Y222" s="2"/>
      <c r="Z222" s="7">
        <f t="shared" si="77"/>
        <v>0</v>
      </c>
    </row>
    <row r="223" spans="1:26" s="23" customFormat="1" hidden="1" outlineLevel="2" x14ac:dyDescent="0.25">
      <c r="A223" s="27"/>
      <c r="B223" s="10" t="str">
        <f>CONCATENATE("          ", "6322", " - ", "EQUIPMENT DEPRECIATION EXPENSE")</f>
        <v xml:space="preserve">          6322 - EQUIPMENT DEPRECIATION EXPENSE</v>
      </c>
      <c r="C223" s="10"/>
      <c r="D223" s="6">
        <v>14619.77</v>
      </c>
      <c r="E223" s="2"/>
      <c r="F223" s="7">
        <f t="shared" si="70"/>
        <v>2.226780475318188E-2</v>
      </c>
      <c r="G223" s="2"/>
      <c r="H223" s="6">
        <v>14233.4</v>
      </c>
      <c r="I223" s="2"/>
      <c r="J223" s="7">
        <f t="shared" si="71"/>
        <v>3.9626831697634486E-2</v>
      </c>
      <c r="K223" s="2"/>
      <c r="L223" s="6">
        <f t="shared" si="72"/>
        <v>386.3700000000008</v>
      </c>
      <c r="M223" s="2"/>
      <c r="N223" s="7">
        <f t="shared" si="73"/>
        <v>2.714530611097846E-2</v>
      </c>
      <c r="O223" s="10"/>
      <c r="P223" s="6">
        <v>161112.95999999999</v>
      </c>
      <c r="Q223" s="2"/>
      <c r="R223" s="7">
        <f t="shared" si="74"/>
        <v>2.070337426520788E-2</v>
      </c>
      <c r="S223" s="2"/>
      <c r="T223" s="6">
        <v>151755.54</v>
      </c>
      <c r="U223" s="2"/>
      <c r="V223" s="7">
        <f t="shared" si="75"/>
        <v>1.3237302811109778E-2</v>
      </c>
      <c r="W223" s="2"/>
      <c r="X223" s="6">
        <f t="shared" si="76"/>
        <v>9357.4199999999837</v>
      </c>
      <c r="Y223" s="2"/>
      <c r="Z223" s="7">
        <f t="shared" si="77"/>
        <v>6.1661142650871151E-2</v>
      </c>
    </row>
    <row r="224" spans="1:26" s="23" customFormat="1" hidden="1" outlineLevel="2" x14ac:dyDescent="0.25">
      <c r="A224" s="27"/>
      <c r="B224" s="10" t="str">
        <f>CONCATENATE("          ", "6324", " - ", "FURNITURE + FIXT DEPRECIATION")</f>
        <v xml:space="preserve">          6324 - FURNITURE + FIXT DEPRECIATION</v>
      </c>
      <c r="C224" s="10"/>
      <c r="D224" s="6"/>
      <c r="E224" s="2"/>
      <c r="F224" s="7">
        <f t="shared" si="70"/>
        <v>0</v>
      </c>
      <c r="G224" s="2"/>
      <c r="H224" s="6"/>
      <c r="I224" s="2"/>
      <c r="J224" s="7">
        <f t="shared" si="71"/>
        <v>0</v>
      </c>
      <c r="K224" s="2"/>
      <c r="L224" s="6">
        <f t="shared" si="72"/>
        <v>0</v>
      </c>
      <c r="M224" s="2"/>
      <c r="N224" s="7">
        <f t="shared" si="73"/>
        <v>0</v>
      </c>
      <c r="O224" s="10"/>
      <c r="P224" s="6"/>
      <c r="Q224" s="2"/>
      <c r="R224" s="7">
        <f t="shared" si="74"/>
        <v>0</v>
      </c>
      <c r="S224" s="2"/>
      <c r="T224" s="6">
        <v>0</v>
      </c>
      <c r="U224" s="2"/>
      <c r="V224" s="7">
        <f t="shared" si="75"/>
        <v>0</v>
      </c>
      <c r="W224" s="2"/>
      <c r="X224" s="6">
        <f t="shared" si="76"/>
        <v>0</v>
      </c>
      <c r="Y224" s="2"/>
      <c r="Z224" s="7">
        <f t="shared" si="77"/>
        <v>0</v>
      </c>
    </row>
    <row r="225" spans="1:26" s="26" customFormat="1" outlineLevel="1" collapsed="1" x14ac:dyDescent="0.25">
      <c r="A225" s="25"/>
      <c r="B225" s="12" t="str">
        <f>CONCATENATE("     ","Discounts and Markdowns                           ")</f>
        <v xml:space="preserve">     Discounts and Markdowns                           </v>
      </c>
      <c r="C225" s="12"/>
      <c r="D225" s="1">
        <f>SUM(OSRRefD22_6x_0)</f>
        <v>0</v>
      </c>
      <c r="E225" s="1"/>
      <c r="F225" s="5">
        <f t="shared" ref="F225:F227" si="78">IF(D$12=0,0,D225/D$12)</f>
        <v>0</v>
      </c>
      <c r="G225" s="1"/>
      <c r="H225" s="1">
        <f>SUM(OSRRefH22_6x_0)</f>
        <v>48114.67</v>
      </c>
      <c r="I225" s="1"/>
      <c r="J225" s="5">
        <f t="shared" ref="J225:J227" si="79">IF(H$12=0,0,H225/H$12)</f>
        <v>0.13395477751466431</v>
      </c>
      <c r="K225" s="1"/>
      <c r="L225" s="1">
        <f t="shared" ref="L225:L227" si="80">+D225-H225</f>
        <v>-48114.67</v>
      </c>
      <c r="M225" s="1"/>
      <c r="N225" s="5">
        <f t="shared" ref="N225:N227" si="81">IF(H225=0,0,L225/H225)</f>
        <v>-1</v>
      </c>
      <c r="O225" s="12"/>
      <c r="P225" s="1">
        <f>SUM(OSRRefP22_6x_0)</f>
        <v>-15.43</v>
      </c>
      <c r="Q225" s="1"/>
      <c r="R225" s="5">
        <f t="shared" ref="R225:R227" si="82">IF(P$12=0,0,P225/P$12)</f>
        <v>-1.9827893728236238E-6</v>
      </c>
      <c r="S225" s="1"/>
      <c r="T225" s="1">
        <f>SUM(OSRRefT22_6x_0)</f>
        <v>421769.48</v>
      </c>
      <c r="U225" s="1"/>
      <c r="V225" s="5">
        <f t="shared" ref="V225:V227" si="83">IF(T$12=0,0,T225/T$12)</f>
        <v>3.6790026401964028E-2</v>
      </c>
      <c r="W225" s="1"/>
      <c r="X225" s="1">
        <f t="shared" ref="X225:X227" si="84">+P225-T225</f>
        <v>-421784.91</v>
      </c>
      <c r="Y225" s="1"/>
      <c r="Z225" s="5">
        <f t="shared" ref="Z225:Z227" si="85">IF(T225=0,0,X225/T225)</f>
        <v>-1.0000365839652503</v>
      </c>
    </row>
    <row r="226" spans="1:26" s="23" customFormat="1" hidden="1" outlineLevel="2" x14ac:dyDescent="0.25">
      <c r="A226" s="27"/>
      <c r="B226" s="10" t="str">
        <f>CONCATENATE("          ", "6382", " - ", "DISCOUNTS/MARK DOWNS")</f>
        <v xml:space="preserve">          6382 - DISCOUNTS/MARK DOWNS</v>
      </c>
      <c r="C226" s="10"/>
      <c r="D226" s="6">
        <v>0</v>
      </c>
      <c r="E226" s="2"/>
      <c r="F226" s="7">
        <f t="shared" si="78"/>
        <v>0</v>
      </c>
      <c r="G226" s="2"/>
      <c r="H226" s="6">
        <v>48114.67</v>
      </c>
      <c r="I226" s="2"/>
      <c r="J226" s="7">
        <f t="shared" si="79"/>
        <v>0.13395477751466431</v>
      </c>
      <c r="K226" s="2"/>
      <c r="L226" s="6">
        <f t="shared" si="80"/>
        <v>-48114.67</v>
      </c>
      <c r="M226" s="2"/>
      <c r="N226" s="7">
        <f t="shared" si="81"/>
        <v>-1</v>
      </c>
      <c r="O226" s="10"/>
      <c r="P226" s="6">
        <v>0</v>
      </c>
      <c r="Q226" s="2"/>
      <c r="R226" s="7">
        <f t="shared" si="82"/>
        <v>0</v>
      </c>
      <c r="S226" s="2"/>
      <c r="T226" s="6">
        <v>425001.1</v>
      </c>
      <c r="U226" s="2"/>
      <c r="V226" s="7">
        <f t="shared" si="83"/>
        <v>3.7071913524572127E-2</v>
      </c>
      <c r="W226" s="2"/>
      <c r="X226" s="6">
        <f t="shared" si="84"/>
        <v>-425001.1</v>
      </c>
      <c r="Y226" s="2"/>
      <c r="Z226" s="7">
        <f t="shared" si="85"/>
        <v>-1</v>
      </c>
    </row>
    <row r="227" spans="1:26" s="23" customFormat="1" hidden="1" outlineLevel="2" x14ac:dyDescent="0.25">
      <c r="A227" s="27"/>
      <c r="B227" s="10" t="str">
        <f>CONCATENATE("          ", "9175", " - ", "EARNED DISCOUNTS")</f>
        <v xml:space="preserve">          9175 - EARNED DISCOUNTS</v>
      </c>
      <c r="C227" s="10"/>
      <c r="D227" s="6">
        <v>0</v>
      </c>
      <c r="E227" s="2"/>
      <c r="F227" s="7">
        <f t="shared" si="78"/>
        <v>0</v>
      </c>
      <c r="G227" s="2"/>
      <c r="H227" s="6"/>
      <c r="I227" s="2"/>
      <c r="J227" s="7">
        <f t="shared" si="79"/>
        <v>0</v>
      </c>
      <c r="K227" s="2"/>
      <c r="L227" s="6">
        <f t="shared" si="80"/>
        <v>0</v>
      </c>
      <c r="M227" s="2"/>
      <c r="N227" s="7">
        <f t="shared" si="81"/>
        <v>0</v>
      </c>
      <c r="O227" s="10"/>
      <c r="P227" s="6">
        <v>-15.43</v>
      </c>
      <c r="Q227" s="2"/>
      <c r="R227" s="7">
        <f t="shared" si="82"/>
        <v>-1.9827893728236238E-6</v>
      </c>
      <c r="S227" s="2"/>
      <c r="T227" s="6">
        <v>-3231.62</v>
      </c>
      <c r="U227" s="2"/>
      <c r="V227" s="7">
        <f t="shared" si="83"/>
        <v>-2.8188712260810101E-4</v>
      </c>
      <c r="W227" s="2"/>
      <c r="X227" s="6">
        <f t="shared" si="84"/>
        <v>3216.19</v>
      </c>
      <c r="Y227" s="2"/>
      <c r="Z227" s="7">
        <f t="shared" si="85"/>
        <v>-0.9952253049554094</v>
      </c>
    </row>
    <row r="228" spans="1:26" s="26" customFormat="1" outlineLevel="1" collapsed="1" x14ac:dyDescent="0.25">
      <c r="A228" s="25"/>
      <c r="B228" s="12" t="str">
        <f>CONCATENATE("     ","Donations                                         ")</f>
        <v xml:space="preserve">     Donations                                         </v>
      </c>
      <c r="C228" s="12"/>
      <c r="D228" s="1">
        <f>SUM(OSRRefD22_7x_0)</f>
        <v>0</v>
      </c>
      <c r="E228" s="1"/>
      <c r="F228" s="5">
        <f t="shared" ref="F228:F236" si="86">IF(D$12=0,0,D228/D$12)</f>
        <v>0</v>
      </c>
      <c r="G228" s="1"/>
      <c r="H228" s="1">
        <f>SUM(OSRRefH22_7x_0)</f>
        <v>-1385.81</v>
      </c>
      <c r="I228" s="1"/>
      <c r="J228" s="5">
        <f t="shared" ref="J228:J236" si="87">IF(H$12=0,0,H228/H$12)</f>
        <v>-3.858196891459444E-3</v>
      </c>
      <c r="K228" s="1"/>
      <c r="L228" s="1">
        <f t="shared" ref="L228:L236" si="88">+D228-H228</f>
        <v>1385.81</v>
      </c>
      <c r="M228" s="1"/>
      <c r="N228" s="5">
        <f t="shared" ref="N228:N236" si="89">IF(H228=0,0,L228/H228)</f>
        <v>-1</v>
      </c>
      <c r="O228" s="12"/>
      <c r="P228" s="1">
        <f>SUM(OSRRefP22_7x_0)</f>
        <v>360.9</v>
      </c>
      <c r="Q228" s="1"/>
      <c r="R228" s="5">
        <f t="shared" ref="R228:R236" si="90">IF(P$12=0,0,P228/P$12)</f>
        <v>4.6376453963191566E-5</v>
      </c>
      <c r="S228" s="1"/>
      <c r="T228" s="1">
        <f>SUM(OSRRefT22_7x_0)</f>
        <v>10985.64</v>
      </c>
      <c r="U228" s="1"/>
      <c r="V228" s="5">
        <f t="shared" ref="V228:V236" si="91">IF(T$12=0,0,T228/T$12)</f>
        <v>9.582532753258299E-4</v>
      </c>
      <c r="W228" s="1"/>
      <c r="X228" s="1">
        <f t="shared" ref="X228:X236" si="92">+P228-T228</f>
        <v>-10624.74</v>
      </c>
      <c r="Y228" s="1"/>
      <c r="Z228" s="5">
        <f t="shared" ref="Z228:Z236" si="93">IF(T228=0,0,X228/T228)</f>
        <v>-0.96714802232732922</v>
      </c>
    </row>
    <row r="229" spans="1:26" s="23" customFormat="1" hidden="1" outlineLevel="2" x14ac:dyDescent="0.25">
      <c r="A229" s="27"/>
      <c r="B229" s="10" t="str">
        <f>CONCATENATE("          ", "6399", " - ", "DONATION-ON CAMPUS")</f>
        <v xml:space="preserve">          6399 - DONATION-ON CAMPUS</v>
      </c>
      <c r="C229" s="10"/>
      <c r="D229" s="6"/>
      <c r="E229" s="2"/>
      <c r="F229" s="7">
        <f t="shared" si="86"/>
        <v>0</v>
      </c>
      <c r="G229" s="2"/>
      <c r="H229" s="6">
        <v>-1385.81</v>
      </c>
      <c r="I229" s="2"/>
      <c r="J229" s="7">
        <f t="shared" si="87"/>
        <v>-3.858196891459444E-3</v>
      </c>
      <c r="K229" s="2"/>
      <c r="L229" s="6">
        <f t="shared" si="88"/>
        <v>1385.81</v>
      </c>
      <c r="M229" s="2"/>
      <c r="N229" s="7">
        <f t="shared" si="89"/>
        <v>-1</v>
      </c>
      <c r="O229" s="10"/>
      <c r="P229" s="6">
        <v>360.9</v>
      </c>
      <c r="Q229" s="2"/>
      <c r="R229" s="7">
        <f t="shared" si="90"/>
        <v>4.6376453963191566E-5</v>
      </c>
      <c r="S229" s="2"/>
      <c r="T229" s="6">
        <v>10985.64</v>
      </c>
      <c r="U229" s="2"/>
      <c r="V229" s="7">
        <f t="shared" si="91"/>
        <v>9.582532753258299E-4</v>
      </c>
      <c r="W229" s="2"/>
      <c r="X229" s="6">
        <f t="shared" si="92"/>
        <v>-10624.74</v>
      </c>
      <c r="Y229" s="2"/>
      <c r="Z229" s="7">
        <f t="shared" si="93"/>
        <v>-0.96714802232732922</v>
      </c>
    </row>
    <row r="230" spans="1:26" s="26" customFormat="1" outlineLevel="1" collapsed="1" x14ac:dyDescent="0.25">
      <c r="A230" s="25"/>
      <c r="B230" s="12" t="str">
        <f>CONCATENATE("     ","Employees' Appreciation                           ")</f>
        <v xml:space="preserve">     Employees' Appreciation                           </v>
      </c>
      <c r="C230" s="12"/>
      <c r="D230" s="1">
        <f>SUM(OSRRefD22_8x_0)</f>
        <v>0</v>
      </c>
      <c r="E230" s="1"/>
      <c r="F230" s="5">
        <f t="shared" si="86"/>
        <v>0</v>
      </c>
      <c r="G230" s="1"/>
      <c r="H230" s="1">
        <f>SUM(OSRRefH22_8x_0)</f>
        <v>0</v>
      </c>
      <c r="I230" s="1"/>
      <c r="J230" s="5">
        <f t="shared" si="87"/>
        <v>0</v>
      </c>
      <c r="K230" s="1"/>
      <c r="L230" s="1">
        <f t="shared" si="88"/>
        <v>0</v>
      </c>
      <c r="M230" s="1"/>
      <c r="N230" s="5">
        <f t="shared" si="89"/>
        <v>0</v>
      </c>
      <c r="O230" s="12"/>
      <c r="P230" s="1">
        <f>SUM(OSRRefP22_8x_0)</f>
        <v>186.03</v>
      </c>
      <c r="Q230" s="1"/>
      <c r="R230" s="5">
        <f t="shared" si="90"/>
        <v>2.390526941194937E-5</v>
      </c>
      <c r="S230" s="1"/>
      <c r="T230" s="1">
        <f>SUM(OSRRefT22_8x_0)</f>
        <v>1554.27</v>
      </c>
      <c r="U230" s="1"/>
      <c r="V230" s="5">
        <f t="shared" si="91"/>
        <v>1.3557556211933741E-4</v>
      </c>
      <c r="W230" s="1"/>
      <c r="X230" s="1">
        <f t="shared" si="92"/>
        <v>-1368.24</v>
      </c>
      <c r="Y230" s="1"/>
      <c r="Z230" s="5">
        <f t="shared" si="93"/>
        <v>-0.88031037078499874</v>
      </c>
    </row>
    <row r="231" spans="1:26" s="23" customFormat="1" hidden="1" outlineLevel="2" x14ac:dyDescent="0.25">
      <c r="A231" s="27"/>
      <c r="B231" s="10" t="str">
        <f>CONCATENATE("          ", "6277", " - ", "EMPLOYEE APPRECIATION")</f>
        <v xml:space="preserve">          6277 - EMPLOYEE APPRECIATION</v>
      </c>
      <c r="C231" s="10"/>
      <c r="D231" s="6"/>
      <c r="E231" s="2"/>
      <c r="F231" s="7">
        <f t="shared" si="86"/>
        <v>0</v>
      </c>
      <c r="G231" s="2"/>
      <c r="H231" s="6"/>
      <c r="I231" s="2"/>
      <c r="J231" s="7">
        <f t="shared" si="87"/>
        <v>0</v>
      </c>
      <c r="K231" s="2"/>
      <c r="L231" s="6">
        <f t="shared" si="88"/>
        <v>0</v>
      </c>
      <c r="M231" s="2"/>
      <c r="N231" s="7">
        <f t="shared" si="89"/>
        <v>0</v>
      </c>
      <c r="O231" s="10"/>
      <c r="P231" s="6">
        <v>186.03</v>
      </c>
      <c r="Q231" s="2"/>
      <c r="R231" s="7">
        <f t="shared" si="90"/>
        <v>2.390526941194937E-5</v>
      </c>
      <c r="S231" s="2"/>
      <c r="T231" s="6">
        <v>1554.27</v>
      </c>
      <c r="U231" s="2"/>
      <c r="V231" s="7">
        <f t="shared" si="91"/>
        <v>1.3557556211933741E-4</v>
      </c>
      <c r="W231" s="2"/>
      <c r="X231" s="6">
        <f t="shared" si="92"/>
        <v>-1368.24</v>
      </c>
      <c r="Y231" s="2"/>
      <c r="Z231" s="7">
        <f t="shared" si="93"/>
        <v>-0.88031037078499874</v>
      </c>
    </row>
    <row r="232" spans="1:26" s="26" customFormat="1" outlineLevel="1" collapsed="1" x14ac:dyDescent="0.25">
      <c r="A232" s="25"/>
      <c r="B232" s="12" t="str">
        <f>CONCATENATE("     ","Equipment Rental                                  ")</f>
        <v xml:space="preserve">     Equipment Rental                                  </v>
      </c>
      <c r="C232" s="12"/>
      <c r="D232" s="1">
        <f>SUM(OSRRefD22_9x_0)</f>
        <v>1712.05</v>
      </c>
      <c r="E232" s="1"/>
      <c r="F232" s="5">
        <f t="shared" si="86"/>
        <v>2.6076740692695601E-3</v>
      </c>
      <c r="G232" s="1"/>
      <c r="H232" s="1">
        <f>SUM(OSRRefH22_9x_0)</f>
        <v>1687.5</v>
      </c>
      <c r="I232" s="1"/>
      <c r="J232" s="5">
        <f t="shared" si="87"/>
        <v>4.6981240244606485E-3</v>
      </c>
      <c r="K232" s="1"/>
      <c r="L232" s="1">
        <f t="shared" si="88"/>
        <v>24.549999999999955</v>
      </c>
      <c r="M232" s="1"/>
      <c r="N232" s="5">
        <f t="shared" si="89"/>
        <v>1.4548148148148121E-2</v>
      </c>
      <c r="O232" s="12"/>
      <c r="P232" s="1">
        <f>SUM(OSRRefP22_9x_0)</f>
        <v>16546.22</v>
      </c>
      <c r="Q232" s="1"/>
      <c r="R232" s="5">
        <f t="shared" si="90"/>
        <v>2.1262261293844269E-3</v>
      </c>
      <c r="S232" s="1"/>
      <c r="T232" s="1">
        <f>SUM(OSRRefT22_9x_0)</f>
        <v>18451.63</v>
      </c>
      <c r="U232" s="1"/>
      <c r="V232" s="5">
        <f t="shared" si="91"/>
        <v>1.6094952030651236E-3</v>
      </c>
      <c r="W232" s="1"/>
      <c r="X232" s="1">
        <f t="shared" si="92"/>
        <v>-1905.4099999999999</v>
      </c>
      <c r="Y232" s="1"/>
      <c r="Z232" s="5">
        <f t="shared" si="93"/>
        <v>-0.10326513159000043</v>
      </c>
    </row>
    <row r="233" spans="1:26" s="23" customFormat="1" hidden="1" outlineLevel="2" x14ac:dyDescent="0.25">
      <c r="A233" s="27"/>
      <c r="B233" s="10" t="str">
        <f>CONCATENATE("          ", "6351", " - ", "EQUIPMENT RENTAL")</f>
        <v xml:space="preserve">          6351 - EQUIPMENT RENTAL</v>
      </c>
      <c r="C233" s="10"/>
      <c r="D233" s="6">
        <v>1712.05</v>
      </c>
      <c r="E233" s="2"/>
      <c r="F233" s="7">
        <f t="shared" si="86"/>
        <v>2.6076740692695601E-3</v>
      </c>
      <c r="G233" s="2"/>
      <c r="H233" s="6">
        <v>1687.5</v>
      </c>
      <c r="I233" s="2"/>
      <c r="J233" s="7">
        <f t="shared" si="87"/>
        <v>4.6981240244606485E-3</v>
      </c>
      <c r="K233" s="2"/>
      <c r="L233" s="6">
        <f t="shared" si="88"/>
        <v>24.549999999999955</v>
      </c>
      <c r="M233" s="2"/>
      <c r="N233" s="7">
        <f t="shared" si="89"/>
        <v>1.4548148148148121E-2</v>
      </c>
      <c r="O233" s="10"/>
      <c r="P233" s="6">
        <v>16546.22</v>
      </c>
      <c r="Q233" s="2"/>
      <c r="R233" s="7">
        <f t="shared" si="90"/>
        <v>2.1262261293844269E-3</v>
      </c>
      <c r="S233" s="2"/>
      <c r="T233" s="6">
        <v>18451.63</v>
      </c>
      <c r="U233" s="2"/>
      <c r="V233" s="7">
        <f t="shared" si="91"/>
        <v>1.6094952030651236E-3</v>
      </c>
      <c r="W233" s="2"/>
      <c r="X233" s="6">
        <f t="shared" si="92"/>
        <v>-1905.4099999999999</v>
      </c>
      <c r="Y233" s="2"/>
      <c r="Z233" s="7">
        <f t="shared" si="93"/>
        <v>-0.10326513159000043</v>
      </c>
    </row>
    <row r="234" spans="1:26" s="26" customFormat="1" outlineLevel="1" collapsed="1" x14ac:dyDescent="0.25">
      <c r="A234" s="25"/>
      <c r="B234" s="12" t="str">
        <f>CONCATENATE("     ","Freight out/Postage                               ")</f>
        <v xml:space="preserve">     Freight out/Postage                               </v>
      </c>
      <c r="C234" s="12"/>
      <c r="D234" s="1">
        <f>SUM(OSRRefD22_10x_0)</f>
        <v>-19807.939999999999</v>
      </c>
      <c r="E234" s="1"/>
      <c r="F234" s="5">
        <f t="shared" si="86"/>
        <v>-3.0170060163924706E-2</v>
      </c>
      <c r="G234" s="1"/>
      <c r="H234" s="1">
        <f>SUM(OSRRefH22_10x_0)</f>
        <v>6098.17</v>
      </c>
      <c r="I234" s="1"/>
      <c r="J234" s="5">
        <f t="shared" si="87"/>
        <v>1.6977753470960116E-2</v>
      </c>
      <c r="K234" s="1"/>
      <c r="L234" s="1">
        <f t="shared" si="88"/>
        <v>-25906.11</v>
      </c>
      <c r="M234" s="1"/>
      <c r="N234" s="5">
        <f t="shared" si="89"/>
        <v>-4.2481777320081271</v>
      </c>
      <c r="O234" s="12"/>
      <c r="P234" s="1">
        <f>SUM(OSRRefP22_10x_0)</f>
        <v>-65188.209999999992</v>
      </c>
      <c r="Q234" s="1"/>
      <c r="R234" s="5">
        <f t="shared" si="90"/>
        <v>-8.3768302022938865E-3</v>
      </c>
      <c r="S234" s="1"/>
      <c r="T234" s="1">
        <f>SUM(OSRRefT22_10x_0)</f>
        <v>16112.96</v>
      </c>
      <c r="U234" s="1"/>
      <c r="V234" s="5">
        <f t="shared" si="91"/>
        <v>1.4054981498751173E-3</v>
      </c>
      <c r="W234" s="1"/>
      <c r="X234" s="1">
        <f t="shared" si="92"/>
        <v>-81301.169999999984</v>
      </c>
      <c r="Y234" s="1"/>
      <c r="Z234" s="5">
        <f t="shared" si="93"/>
        <v>-5.0457004796139246</v>
      </c>
    </row>
    <row r="235" spans="1:26" s="23" customFormat="1" hidden="1" outlineLevel="2" x14ac:dyDescent="0.25">
      <c r="A235" s="27"/>
      <c r="B235" s="10" t="str">
        <f>CONCATENATE("          ", "6305", " - ", "FREIGHT OUT")</f>
        <v xml:space="preserve">          6305 - FREIGHT OUT</v>
      </c>
      <c r="C235" s="10"/>
      <c r="D235" s="6">
        <v>23540.09</v>
      </c>
      <c r="E235" s="2"/>
      <c r="F235" s="7">
        <f t="shared" si="86"/>
        <v>3.5854608382507334E-2</v>
      </c>
      <c r="G235" s="2"/>
      <c r="H235" s="6">
        <v>7586</v>
      </c>
      <c r="I235" s="2"/>
      <c r="J235" s="7">
        <f t="shared" si="87"/>
        <v>2.1119981540479098E-2</v>
      </c>
      <c r="K235" s="2"/>
      <c r="L235" s="6">
        <f t="shared" si="88"/>
        <v>15954.09</v>
      </c>
      <c r="M235" s="2"/>
      <c r="N235" s="7">
        <f t="shared" si="89"/>
        <v>2.103096493540733</v>
      </c>
      <c r="O235" s="10"/>
      <c r="P235" s="6">
        <v>227069.6</v>
      </c>
      <c r="Q235" s="2"/>
      <c r="R235" s="7">
        <f t="shared" si="90"/>
        <v>2.9178949434304029E-2</v>
      </c>
      <c r="S235" s="2"/>
      <c r="T235" s="6">
        <v>70031.78</v>
      </c>
      <c r="U235" s="2"/>
      <c r="V235" s="7">
        <f t="shared" si="91"/>
        <v>6.108718523627021E-3</v>
      </c>
      <c r="W235" s="2"/>
      <c r="X235" s="6">
        <f t="shared" si="92"/>
        <v>157037.82</v>
      </c>
      <c r="Y235" s="2"/>
      <c r="Z235" s="7">
        <f t="shared" si="93"/>
        <v>2.2423793883291272</v>
      </c>
    </row>
    <row r="236" spans="1:26" s="23" customFormat="1" hidden="1" outlineLevel="2" x14ac:dyDescent="0.25">
      <c r="A236" s="27"/>
      <c r="B236" s="10" t="str">
        <f>CONCATENATE("          ", "6307", " - ", "POSTAGE")</f>
        <v xml:space="preserve">          6307 - POSTAGE</v>
      </c>
      <c r="C236" s="10"/>
      <c r="D236" s="6">
        <v>-43348.03</v>
      </c>
      <c r="E236" s="2"/>
      <c r="F236" s="7">
        <f t="shared" si="86"/>
        <v>-6.6024668546432033E-2</v>
      </c>
      <c r="G236" s="2"/>
      <c r="H236" s="6">
        <v>-1487.83</v>
      </c>
      <c r="I236" s="2"/>
      <c r="J236" s="7">
        <f t="shared" si="87"/>
        <v>-4.1422280695189847E-3</v>
      </c>
      <c r="K236" s="2"/>
      <c r="L236" s="6">
        <f t="shared" si="88"/>
        <v>-41860.199999999997</v>
      </c>
      <c r="M236" s="2"/>
      <c r="N236" s="7">
        <f t="shared" si="89"/>
        <v>28.135069194733269</v>
      </c>
      <c r="O236" s="10"/>
      <c r="P236" s="6">
        <v>-292257.81</v>
      </c>
      <c r="Q236" s="2"/>
      <c r="R236" s="7">
        <f t="shared" si="90"/>
        <v>-3.7555779636597918E-2</v>
      </c>
      <c r="S236" s="2"/>
      <c r="T236" s="6">
        <v>-53918.82</v>
      </c>
      <c r="U236" s="2"/>
      <c r="V236" s="7">
        <f t="shared" si="91"/>
        <v>-4.7032203737519037E-3</v>
      </c>
      <c r="W236" s="2"/>
      <c r="X236" s="6">
        <f t="shared" si="92"/>
        <v>-238338.99</v>
      </c>
      <c r="Y236" s="2"/>
      <c r="Z236" s="7">
        <f t="shared" si="93"/>
        <v>4.4203302297787674</v>
      </c>
    </row>
    <row r="237" spans="1:26" s="26" customFormat="1" outlineLevel="1" collapsed="1" x14ac:dyDescent="0.25">
      <c r="A237" s="25"/>
      <c r="B237" s="12" t="str">
        <f>CONCATENATE("     ","General                                           ")</f>
        <v xml:space="preserve">     General                                           </v>
      </c>
      <c r="C237" s="12"/>
      <c r="D237" s="1">
        <f>SUM(OSRRefD22_11x_0)</f>
        <v>285</v>
      </c>
      <c r="E237" s="1"/>
      <c r="F237" s="5">
        <f t="shared" ref="F237:F244" si="94">IF(D$12=0,0,D237/D$12)</f>
        <v>4.3409194225742514E-4</v>
      </c>
      <c r="G237" s="1"/>
      <c r="H237" s="1">
        <f>SUM(OSRRefH22_11x_0)</f>
        <v>40.99</v>
      </c>
      <c r="I237" s="1"/>
      <c r="J237" s="5">
        <f t="shared" ref="J237:J244" si="95">IF(H$12=0,0,H237/H$12)</f>
        <v>1.1411917260008415E-4</v>
      </c>
      <c r="K237" s="1"/>
      <c r="L237" s="1">
        <f t="shared" ref="L237:L244" si="96">+D237-H237</f>
        <v>244.01</v>
      </c>
      <c r="M237" s="1"/>
      <c r="N237" s="5">
        <f t="shared" ref="N237:N244" si="97">IF(H237=0,0,L237/H237)</f>
        <v>5.9529153452061472</v>
      </c>
      <c r="O237" s="12"/>
      <c r="P237" s="1">
        <f>SUM(OSRRefP22_11x_0)</f>
        <v>2858.48</v>
      </c>
      <c r="Q237" s="1"/>
      <c r="R237" s="5">
        <f t="shared" ref="R237:R244" si="98">IF(P$12=0,0,P237/P$12)</f>
        <v>3.6732104772708182E-4</v>
      </c>
      <c r="S237" s="1"/>
      <c r="T237" s="1">
        <f>SUM(OSRRefT22_11x_0)</f>
        <v>-1365.63</v>
      </c>
      <c r="U237" s="1"/>
      <c r="V237" s="5">
        <f t="shared" ref="V237:V244" si="99">IF(T$12=0,0,T237/T$12)</f>
        <v>-1.1912090878485124E-4</v>
      </c>
      <c r="W237" s="1"/>
      <c r="X237" s="1">
        <f t="shared" ref="X237:X244" si="100">+P237-T237</f>
        <v>4224.1100000000006</v>
      </c>
      <c r="Y237" s="1"/>
      <c r="Z237" s="5">
        <f t="shared" ref="Z237:Z244" si="101">IF(T237=0,0,X237/T237)</f>
        <v>-3.0931584689850107</v>
      </c>
    </row>
    <row r="238" spans="1:26" s="23" customFormat="1" hidden="1" outlineLevel="2" x14ac:dyDescent="0.25">
      <c r="A238" s="27"/>
      <c r="B238" s="10" t="str">
        <f>CONCATENATE("          ", "6279", " - ", "GENERAL EXPENSE")</f>
        <v xml:space="preserve">          6279 - GENERAL EXPENSE</v>
      </c>
      <c r="C238" s="10"/>
      <c r="D238" s="6">
        <v>285</v>
      </c>
      <c r="E238" s="2"/>
      <c r="F238" s="7">
        <f t="shared" si="94"/>
        <v>4.3409194225742514E-4</v>
      </c>
      <c r="G238" s="2"/>
      <c r="H238" s="6">
        <v>40.99</v>
      </c>
      <c r="I238" s="2"/>
      <c r="J238" s="7">
        <f t="shared" si="95"/>
        <v>1.1411917260008415E-4</v>
      </c>
      <c r="K238" s="2"/>
      <c r="L238" s="6">
        <f t="shared" si="96"/>
        <v>244.01</v>
      </c>
      <c r="M238" s="2"/>
      <c r="N238" s="7">
        <f t="shared" si="97"/>
        <v>5.9529153452061472</v>
      </c>
      <c r="O238" s="10"/>
      <c r="P238" s="6">
        <v>2858.48</v>
      </c>
      <c r="Q238" s="2"/>
      <c r="R238" s="7">
        <f t="shared" si="98"/>
        <v>3.6732104772708182E-4</v>
      </c>
      <c r="S238" s="2"/>
      <c r="T238" s="6">
        <v>-1365.63</v>
      </c>
      <c r="U238" s="2"/>
      <c r="V238" s="7">
        <f t="shared" si="99"/>
        <v>-1.1912090878485124E-4</v>
      </c>
      <c r="W238" s="2"/>
      <c r="X238" s="6">
        <f t="shared" si="100"/>
        <v>4224.1100000000006</v>
      </c>
      <c r="Y238" s="2"/>
      <c r="Z238" s="7">
        <f t="shared" si="101"/>
        <v>-3.0931584689850107</v>
      </c>
    </row>
    <row r="239" spans="1:26" s="26" customFormat="1" outlineLevel="1" collapsed="1" x14ac:dyDescent="0.25">
      <c r="A239" s="25"/>
      <c r="B239" s="12" t="str">
        <f>CONCATENATE("     ","Insurance                                         ")</f>
        <v xml:space="preserve">     Insurance                                         </v>
      </c>
      <c r="C239" s="12"/>
      <c r="D239" s="1">
        <f>SUM(OSRRefD22_12x_0)</f>
        <v>4044.74</v>
      </c>
      <c r="E239" s="1"/>
      <c r="F239" s="5">
        <f t="shared" si="94"/>
        <v>6.1606633071098161E-3</v>
      </c>
      <c r="G239" s="1"/>
      <c r="H239" s="1">
        <f>SUM(OSRRefH22_12x_0)</f>
        <v>4044.74</v>
      </c>
      <c r="I239" s="1"/>
      <c r="J239" s="5">
        <f t="shared" si="95"/>
        <v>1.1260853432116719E-2</v>
      </c>
      <c r="K239" s="1"/>
      <c r="L239" s="1">
        <f t="shared" si="96"/>
        <v>0</v>
      </c>
      <c r="M239" s="1"/>
      <c r="N239" s="5">
        <f t="shared" si="97"/>
        <v>0</v>
      </c>
      <c r="O239" s="12"/>
      <c r="P239" s="1">
        <f>SUM(OSRRefP22_12x_0)</f>
        <v>44492.14</v>
      </c>
      <c r="Q239" s="1"/>
      <c r="R239" s="5">
        <f t="shared" si="98"/>
        <v>5.7173391034465891E-3</v>
      </c>
      <c r="S239" s="1"/>
      <c r="T239" s="1">
        <f>SUM(OSRRefT22_12x_0)</f>
        <v>44492.14</v>
      </c>
      <c r="U239" s="1"/>
      <c r="V239" s="5">
        <f t="shared" si="99"/>
        <v>3.8809517589558163E-3</v>
      </c>
      <c r="W239" s="1"/>
      <c r="X239" s="1">
        <f t="shared" si="100"/>
        <v>0</v>
      </c>
      <c r="Y239" s="1"/>
      <c r="Z239" s="5">
        <f t="shared" si="101"/>
        <v>0</v>
      </c>
    </row>
    <row r="240" spans="1:26" s="23" customFormat="1" hidden="1" outlineLevel="2" x14ac:dyDescent="0.25">
      <c r="A240" s="27"/>
      <c r="B240" s="10" t="str">
        <f>CONCATENATE("          ", "6314", " - ", "LIABILITY INSURANCE")</f>
        <v xml:space="preserve">          6314 - LIABILITY INSURANCE</v>
      </c>
      <c r="C240" s="10"/>
      <c r="D240" s="6">
        <v>4044.74</v>
      </c>
      <c r="E240" s="2"/>
      <c r="F240" s="7">
        <f t="shared" si="94"/>
        <v>6.1606633071098161E-3</v>
      </c>
      <c r="G240" s="2"/>
      <c r="H240" s="6">
        <v>4044.74</v>
      </c>
      <c r="I240" s="2"/>
      <c r="J240" s="7">
        <f t="shared" si="95"/>
        <v>1.1260853432116719E-2</v>
      </c>
      <c r="K240" s="2"/>
      <c r="L240" s="6">
        <f t="shared" si="96"/>
        <v>0</v>
      </c>
      <c r="M240" s="2"/>
      <c r="N240" s="7">
        <f t="shared" si="97"/>
        <v>0</v>
      </c>
      <c r="O240" s="10"/>
      <c r="P240" s="6">
        <v>44492.14</v>
      </c>
      <c r="Q240" s="2"/>
      <c r="R240" s="7">
        <f t="shared" si="98"/>
        <v>5.7173391034465891E-3</v>
      </c>
      <c r="S240" s="2"/>
      <c r="T240" s="6">
        <v>44492.14</v>
      </c>
      <c r="U240" s="2"/>
      <c r="V240" s="7">
        <f t="shared" si="99"/>
        <v>3.8809517589558163E-3</v>
      </c>
      <c r="W240" s="2"/>
      <c r="X240" s="6">
        <f t="shared" si="100"/>
        <v>0</v>
      </c>
      <c r="Y240" s="2"/>
      <c r="Z240" s="7">
        <f t="shared" si="101"/>
        <v>0</v>
      </c>
    </row>
    <row r="241" spans="1:26" s="26" customFormat="1" outlineLevel="1" collapsed="1" x14ac:dyDescent="0.25">
      <c r="A241" s="25"/>
      <c r="B241" s="12" t="str">
        <f>CONCATENATE("     ","Inventory Adjustment                              ")</f>
        <v xml:space="preserve">     Inventory Adjustment                              </v>
      </c>
      <c r="C241" s="12"/>
      <c r="D241" s="1">
        <f>SUM(OSRRefD22_13x_0)</f>
        <v>3350</v>
      </c>
      <c r="E241" s="1"/>
      <c r="F241" s="5">
        <f t="shared" si="94"/>
        <v>5.1024842335521898E-3</v>
      </c>
      <c r="G241" s="1"/>
      <c r="H241" s="1">
        <f>SUM(OSRRefH22_13x_0)</f>
        <v>4550</v>
      </c>
      <c r="I241" s="1"/>
      <c r="J241" s="5">
        <f t="shared" si="95"/>
        <v>1.2667534406693897E-2</v>
      </c>
      <c r="K241" s="1"/>
      <c r="L241" s="1">
        <f t="shared" si="96"/>
        <v>-1200</v>
      </c>
      <c r="M241" s="1"/>
      <c r="N241" s="5">
        <f t="shared" si="97"/>
        <v>-0.26373626373626374</v>
      </c>
      <c r="O241" s="12"/>
      <c r="P241" s="1">
        <f>SUM(OSRRefP22_13x_0)</f>
        <v>41850</v>
      </c>
      <c r="Q241" s="1"/>
      <c r="R241" s="5">
        <f t="shared" si="98"/>
        <v>5.3778182276518899E-3</v>
      </c>
      <c r="S241" s="1"/>
      <c r="T241" s="1">
        <f>SUM(OSRRefT22_13x_0)</f>
        <v>53350</v>
      </c>
      <c r="U241" s="1"/>
      <c r="V241" s="5">
        <f t="shared" si="99"/>
        <v>4.6536034531108822E-3</v>
      </c>
      <c r="W241" s="1"/>
      <c r="X241" s="1">
        <f t="shared" si="100"/>
        <v>-11500</v>
      </c>
      <c r="Y241" s="1"/>
      <c r="Z241" s="5">
        <f t="shared" si="101"/>
        <v>-0.2155576382380506</v>
      </c>
    </row>
    <row r="242" spans="1:26" s="23" customFormat="1" hidden="1" outlineLevel="2" x14ac:dyDescent="0.25">
      <c r="A242" s="27"/>
      <c r="B242" s="10" t="str">
        <f>CONCATENATE("          ", "6408", " - ", "INVENTORY ADJUSTMENT")</f>
        <v xml:space="preserve">          6408 - INVENTORY ADJUSTMENT</v>
      </c>
      <c r="C242" s="10"/>
      <c r="D242" s="6">
        <v>3350</v>
      </c>
      <c r="E242" s="2"/>
      <c r="F242" s="7">
        <f t="shared" si="94"/>
        <v>5.1024842335521898E-3</v>
      </c>
      <c r="G242" s="2"/>
      <c r="H242" s="6">
        <v>4550</v>
      </c>
      <c r="I242" s="2"/>
      <c r="J242" s="7">
        <f t="shared" si="95"/>
        <v>1.2667534406693897E-2</v>
      </c>
      <c r="K242" s="2"/>
      <c r="L242" s="6">
        <f t="shared" si="96"/>
        <v>-1200</v>
      </c>
      <c r="M242" s="2"/>
      <c r="N242" s="7">
        <f t="shared" si="97"/>
        <v>-0.26373626373626374</v>
      </c>
      <c r="O242" s="10"/>
      <c r="P242" s="6">
        <v>41850</v>
      </c>
      <c r="Q242" s="2"/>
      <c r="R242" s="7">
        <f t="shared" si="98"/>
        <v>5.3778182276518899E-3</v>
      </c>
      <c r="S242" s="2"/>
      <c r="T242" s="6">
        <v>53350</v>
      </c>
      <c r="U242" s="2"/>
      <c r="V242" s="7">
        <f t="shared" si="99"/>
        <v>4.6536034531108822E-3</v>
      </c>
      <c r="W242" s="2"/>
      <c r="X242" s="6">
        <f t="shared" si="100"/>
        <v>-11500</v>
      </c>
      <c r="Y242" s="2"/>
      <c r="Z242" s="7">
        <f t="shared" si="101"/>
        <v>-0.2155576382380506</v>
      </c>
    </row>
    <row r="243" spans="1:26" s="23" customFormat="1" hidden="1" outlineLevel="2" x14ac:dyDescent="0.25">
      <c r="A243" s="27"/>
      <c r="B243" s="10" t="str">
        <f>CONCATENATE("          ", "7701", " - ", "INV. SHRINKAGE-NEW TEXT")</f>
        <v xml:space="preserve">          7701 - INV. SHRINKAGE-NEW TEXT</v>
      </c>
      <c r="C243" s="10"/>
      <c r="D243" s="6"/>
      <c r="E243" s="2"/>
      <c r="F243" s="7">
        <f t="shared" si="94"/>
        <v>0</v>
      </c>
      <c r="G243" s="2"/>
      <c r="H243" s="6"/>
      <c r="I243" s="2"/>
      <c r="J243" s="7">
        <f t="shared" si="95"/>
        <v>0</v>
      </c>
      <c r="K243" s="2"/>
      <c r="L243" s="6">
        <f t="shared" si="96"/>
        <v>0</v>
      </c>
      <c r="M243" s="2"/>
      <c r="N243" s="7">
        <f t="shared" si="97"/>
        <v>0</v>
      </c>
      <c r="O243" s="10"/>
      <c r="P243" s="6"/>
      <c r="Q243" s="2"/>
      <c r="R243" s="7">
        <f t="shared" si="98"/>
        <v>0</v>
      </c>
      <c r="S243" s="2"/>
      <c r="T243" s="6">
        <v>0</v>
      </c>
      <c r="U243" s="2"/>
      <c r="V243" s="7">
        <f t="shared" si="99"/>
        <v>0</v>
      </c>
      <c r="W243" s="2"/>
      <c r="X243" s="6">
        <f t="shared" si="100"/>
        <v>0</v>
      </c>
      <c r="Y243" s="2"/>
      <c r="Z243" s="7">
        <f t="shared" si="101"/>
        <v>0</v>
      </c>
    </row>
    <row r="244" spans="1:26" s="23" customFormat="1" hidden="1" outlineLevel="2" x14ac:dyDescent="0.25">
      <c r="A244" s="27"/>
      <c r="B244" s="10" t="str">
        <f>CONCATENATE("          ", "7741", " - ", "INV. SHRINKAGE-LOGO GIFTS")</f>
        <v xml:space="preserve">          7741 - INV. SHRINKAGE-LOGO GIFTS</v>
      </c>
      <c r="C244" s="10"/>
      <c r="D244" s="6"/>
      <c r="E244" s="2"/>
      <c r="F244" s="7">
        <f t="shared" si="94"/>
        <v>0</v>
      </c>
      <c r="G244" s="2"/>
      <c r="H244" s="6"/>
      <c r="I244" s="2"/>
      <c r="J244" s="7">
        <f t="shared" si="95"/>
        <v>0</v>
      </c>
      <c r="K244" s="2"/>
      <c r="L244" s="6">
        <f t="shared" si="96"/>
        <v>0</v>
      </c>
      <c r="M244" s="2"/>
      <c r="N244" s="7">
        <f t="shared" si="97"/>
        <v>0</v>
      </c>
      <c r="O244" s="10"/>
      <c r="P244" s="6">
        <v>0</v>
      </c>
      <c r="Q244" s="2"/>
      <c r="R244" s="7">
        <f t="shared" si="98"/>
        <v>0</v>
      </c>
      <c r="S244" s="2"/>
      <c r="T244" s="6"/>
      <c r="U244" s="2"/>
      <c r="V244" s="7">
        <f t="shared" si="99"/>
        <v>0</v>
      </c>
      <c r="W244" s="2"/>
      <c r="X244" s="6">
        <f t="shared" si="100"/>
        <v>0</v>
      </c>
      <c r="Y244" s="2"/>
      <c r="Z244" s="7">
        <f t="shared" si="101"/>
        <v>0</v>
      </c>
    </row>
    <row r="245" spans="1:26" s="26" customFormat="1" outlineLevel="1" collapsed="1" x14ac:dyDescent="0.25">
      <c r="A245" s="25"/>
      <c r="B245" s="12" t="str">
        <f>CONCATENATE("     ","Professional Services                             ")</f>
        <v xml:space="preserve">     Professional Services                             </v>
      </c>
      <c r="C245" s="12"/>
      <c r="D245" s="1">
        <f>SUM(OSRRefD22_14x_0)</f>
        <v>0</v>
      </c>
      <c r="E245" s="1"/>
      <c r="F245" s="5">
        <f t="shared" ref="F245:F253" si="102">IF(D$12=0,0,D245/D$12)</f>
        <v>0</v>
      </c>
      <c r="G245" s="1"/>
      <c r="H245" s="1">
        <f>SUM(OSRRefH22_14x_0)</f>
        <v>0</v>
      </c>
      <c r="I245" s="1"/>
      <c r="J245" s="5">
        <f t="shared" ref="J245:J253" si="103">IF(H$12=0,0,H245/H$12)</f>
        <v>0</v>
      </c>
      <c r="K245" s="1"/>
      <c r="L245" s="1">
        <f t="shared" ref="L245:L253" si="104">+D245-H245</f>
        <v>0</v>
      </c>
      <c r="M245" s="1"/>
      <c r="N245" s="5">
        <f t="shared" ref="N245:N253" si="105">IF(H245=0,0,L245/H245)</f>
        <v>0</v>
      </c>
      <c r="O245" s="12"/>
      <c r="P245" s="1">
        <f>SUM(OSRRefP22_14x_0)</f>
        <v>0</v>
      </c>
      <c r="Q245" s="1"/>
      <c r="R245" s="5">
        <f t="shared" ref="R245:R253" si="106">IF(P$12=0,0,P245/P$12)</f>
        <v>0</v>
      </c>
      <c r="S245" s="1"/>
      <c r="T245" s="1">
        <f>SUM(OSRRefT22_14x_0)</f>
        <v>9129.56</v>
      </c>
      <c r="U245" s="1"/>
      <c r="V245" s="5">
        <f t="shared" ref="V245:V253" si="107">IF(T$12=0,0,T245/T$12)</f>
        <v>7.9635148906059946E-4</v>
      </c>
      <c r="W245" s="1"/>
      <c r="X245" s="1">
        <f t="shared" ref="X245:X253" si="108">+P245-T245</f>
        <v>-9129.56</v>
      </c>
      <c r="Y245" s="1"/>
      <c r="Z245" s="5">
        <f t="shared" ref="Z245:Z253" si="109">IF(T245=0,0,X245/T245)</f>
        <v>-1</v>
      </c>
    </row>
    <row r="246" spans="1:26" s="23" customFormat="1" hidden="1" outlineLevel="2" x14ac:dyDescent="0.25">
      <c r="A246" s="27"/>
      <c r="B246" s="10" t="str">
        <f>CONCATENATE("          ", "6336", " - ", "PROFESSIONAL SERVICES")</f>
        <v xml:space="preserve">          6336 - PROFESSIONAL SERVICES</v>
      </c>
      <c r="C246" s="10"/>
      <c r="D246" s="6"/>
      <c r="E246" s="2"/>
      <c r="F246" s="7">
        <f t="shared" si="102"/>
        <v>0</v>
      </c>
      <c r="G246" s="2"/>
      <c r="H246" s="6"/>
      <c r="I246" s="2"/>
      <c r="J246" s="7">
        <f t="shared" si="103"/>
        <v>0</v>
      </c>
      <c r="K246" s="2"/>
      <c r="L246" s="6">
        <f t="shared" si="104"/>
        <v>0</v>
      </c>
      <c r="M246" s="2"/>
      <c r="N246" s="7">
        <f t="shared" si="105"/>
        <v>0</v>
      </c>
      <c r="O246" s="10"/>
      <c r="P246" s="6"/>
      <c r="Q246" s="2"/>
      <c r="R246" s="7">
        <f t="shared" si="106"/>
        <v>0</v>
      </c>
      <c r="S246" s="2"/>
      <c r="T246" s="6">
        <v>9129.56</v>
      </c>
      <c r="U246" s="2"/>
      <c r="V246" s="7">
        <f t="shared" si="107"/>
        <v>7.9635148906059946E-4</v>
      </c>
      <c r="W246" s="2"/>
      <c r="X246" s="6">
        <f t="shared" si="108"/>
        <v>-9129.56</v>
      </c>
      <c r="Y246" s="2"/>
      <c r="Z246" s="7">
        <f t="shared" si="109"/>
        <v>-1</v>
      </c>
    </row>
    <row r="247" spans="1:26" s="26" customFormat="1" outlineLevel="1" collapsed="1" x14ac:dyDescent="0.25">
      <c r="A247" s="25"/>
      <c r="B247" s="12" t="str">
        <f>CONCATENATE("     ","Rent                                              ")</f>
        <v xml:space="preserve">     Rent                                              </v>
      </c>
      <c r="C247" s="12"/>
      <c r="D247" s="1">
        <f>SUM(OSRRefD22_15x_0)</f>
        <v>6100</v>
      </c>
      <c r="E247" s="1"/>
      <c r="F247" s="5">
        <f t="shared" si="102"/>
        <v>9.2910906939308539E-3</v>
      </c>
      <c r="G247" s="1"/>
      <c r="H247" s="1">
        <f>SUM(OSRRefH22_15x_0)</f>
        <v>6100</v>
      </c>
      <c r="I247" s="1"/>
      <c r="J247" s="5">
        <f t="shared" si="103"/>
        <v>1.6982848325457753E-2</v>
      </c>
      <c r="K247" s="1"/>
      <c r="L247" s="1">
        <f t="shared" si="104"/>
        <v>0</v>
      </c>
      <c r="M247" s="1"/>
      <c r="N247" s="5">
        <f t="shared" si="105"/>
        <v>0</v>
      </c>
      <c r="O247" s="12"/>
      <c r="P247" s="1">
        <f>SUM(OSRRefP22_15x_0)</f>
        <v>67100</v>
      </c>
      <c r="Q247" s="1"/>
      <c r="R247" s="5">
        <f t="shared" si="106"/>
        <v>8.6224994761156942E-3</v>
      </c>
      <c r="S247" s="1"/>
      <c r="T247" s="1">
        <f>SUM(OSRRefT22_15x_0)</f>
        <v>68700</v>
      </c>
      <c r="U247" s="1"/>
      <c r="V247" s="5">
        <f t="shared" si="107"/>
        <v>5.9925502760771803E-3</v>
      </c>
      <c r="W247" s="1"/>
      <c r="X247" s="1">
        <f t="shared" si="108"/>
        <v>-1600</v>
      </c>
      <c r="Y247" s="1"/>
      <c r="Z247" s="5">
        <f t="shared" si="109"/>
        <v>-2.3289665211062592E-2</v>
      </c>
    </row>
    <row r="248" spans="1:26" s="23" customFormat="1" hidden="1" outlineLevel="2" x14ac:dyDescent="0.25">
      <c r="A248" s="27"/>
      <c r="B248" s="10" t="str">
        <f>CONCATENATE("          ", "6273", " - ", "RENT")</f>
        <v xml:space="preserve">          6273 - RENT</v>
      </c>
      <c r="C248" s="10"/>
      <c r="D248" s="6">
        <v>6100</v>
      </c>
      <c r="E248" s="2"/>
      <c r="F248" s="7">
        <f t="shared" si="102"/>
        <v>9.2910906939308539E-3</v>
      </c>
      <c r="G248" s="2"/>
      <c r="H248" s="6">
        <v>6100</v>
      </c>
      <c r="I248" s="2"/>
      <c r="J248" s="7">
        <f t="shared" si="103"/>
        <v>1.6982848325457753E-2</v>
      </c>
      <c r="K248" s="2"/>
      <c r="L248" s="6">
        <f t="shared" si="104"/>
        <v>0</v>
      </c>
      <c r="M248" s="2"/>
      <c r="N248" s="7">
        <f t="shared" si="105"/>
        <v>0</v>
      </c>
      <c r="O248" s="10"/>
      <c r="P248" s="6">
        <v>67100</v>
      </c>
      <c r="Q248" s="2"/>
      <c r="R248" s="7">
        <f t="shared" si="106"/>
        <v>8.6224994761156942E-3</v>
      </c>
      <c r="S248" s="2"/>
      <c r="T248" s="6">
        <v>68700</v>
      </c>
      <c r="U248" s="2"/>
      <c r="V248" s="7">
        <f t="shared" si="107"/>
        <v>5.9925502760771803E-3</v>
      </c>
      <c r="W248" s="2"/>
      <c r="X248" s="6">
        <f t="shared" si="108"/>
        <v>-1600</v>
      </c>
      <c r="Y248" s="2"/>
      <c r="Z248" s="7">
        <f t="shared" si="109"/>
        <v>-2.3289665211062592E-2</v>
      </c>
    </row>
    <row r="249" spans="1:26" s="26" customFormat="1" outlineLevel="1" collapsed="1" x14ac:dyDescent="0.25">
      <c r="A249" s="25"/>
      <c r="B249" s="12" t="str">
        <f>CONCATENATE("     ","Repair and Maintenance                            ")</f>
        <v xml:space="preserve">     Repair and Maintenance                            </v>
      </c>
      <c r="C249" s="12"/>
      <c r="D249" s="1">
        <f>SUM(OSRRefD22_16x_0)</f>
        <v>9239.2199999999993</v>
      </c>
      <c r="E249" s="1"/>
      <c r="F249" s="5">
        <f t="shared" si="102"/>
        <v>1.4072529665767183E-2</v>
      </c>
      <c r="G249" s="1"/>
      <c r="H249" s="1">
        <f>SUM(OSRRefH22_16x_0)</f>
        <v>5285.57</v>
      </c>
      <c r="I249" s="1"/>
      <c r="J249" s="5">
        <f t="shared" si="103"/>
        <v>1.4715415348129464E-2</v>
      </c>
      <c r="K249" s="1"/>
      <c r="L249" s="1">
        <f t="shared" si="104"/>
        <v>3953.6499999999996</v>
      </c>
      <c r="M249" s="1"/>
      <c r="N249" s="5">
        <f t="shared" si="105"/>
        <v>0.74800825644159474</v>
      </c>
      <c r="O249" s="12"/>
      <c r="P249" s="1">
        <f>SUM(OSRRefP22_16x_0)</f>
        <v>143704.91</v>
      </c>
      <c r="Q249" s="1"/>
      <c r="R249" s="5">
        <f t="shared" si="106"/>
        <v>1.8466401060957573E-2</v>
      </c>
      <c r="S249" s="1"/>
      <c r="T249" s="1">
        <f>SUM(OSRRefT22_16x_0)</f>
        <v>133836.76999999999</v>
      </c>
      <c r="U249" s="1"/>
      <c r="V249" s="5">
        <f t="shared" si="107"/>
        <v>1.1674287816779885E-2</v>
      </c>
      <c r="W249" s="1"/>
      <c r="X249" s="1">
        <f t="shared" si="108"/>
        <v>9868.140000000014</v>
      </c>
      <c r="Y249" s="1"/>
      <c r="Z249" s="5">
        <f t="shared" si="109"/>
        <v>7.373265209553409E-2</v>
      </c>
    </row>
    <row r="250" spans="1:26" s="23" customFormat="1" hidden="1" outlineLevel="2" x14ac:dyDescent="0.25">
      <c r="A250" s="27"/>
      <c r="B250" s="10" t="str">
        <f>CONCATENATE("          ", "6371", " - ", "COMPUTER SOFTWARE MAINTENANCE")</f>
        <v xml:space="preserve">          6371 - COMPUTER SOFTWARE MAINTENANCE</v>
      </c>
      <c r="C250" s="10"/>
      <c r="D250" s="6"/>
      <c r="E250" s="2"/>
      <c r="F250" s="7">
        <f t="shared" si="102"/>
        <v>0</v>
      </c>
      <c r="G250" s="2"/>
      <c r="H250" s="6"/>
      <c r="I250" s="2"/>
      <c r="J250" s="7">
        <f t="shared" si="103"/>
        <v>0</v>
      </c>
      <c r="K250" s="2"/>
      <c r="L250" s="6">
        <f t="shared" si="104"/>
        <v>0</v>
      </c>
      <c r="M250" s="2"/>
      <c r="N250" s="7">
        <f t="shared" si="105"/>
        <v>0</v>
      </c>
      <c r="O250" s="10"/>
      <c r="P250" s="6">
        <v>61317.72</v>
      </c>
      <c r="Q250" s="2"/>
      <c r="R250" s="7">
        <f t="shared" si="106"/>
        <v>7.8794636151506541E-3</v>
      </c>
      <c r="S250" s="2"/>
      <c r="T250" s="6">
        <v>16417.5</v>
      </c>
      <c r="U250" s="2"/>
      <c r="V250" s="7">
        <f t="shared" si="107"/>
        <v>1.4320625059315445E-3</v>
      </c>
      <c r="W250" s="2"/>
      <c r="X250" s="6">
        <f t="shared" si="108"/>
        <v>44900.22</v>
      </c>
      <c r="Y250" s="2"/>
      <c r="Z250" s="7">
        <f t="shared" si="109"/>
        <v>2.73489995431704</v>
      </c>
    </row>
    <row r="251" spans="1:26" s="23" customFormat="1" hidden="1" outlineLevel="2" x14ac:dyDescent="0.25">
      <c r="A251" s="27"/>
      <c r="B251" s="10" t="str">
        <f>CONCATENATE("          ", "6372", " - ", "COMPUTER HARDWARE MAINTENANCE")</f>
        <v xml:space="preserve">          6372 - COMPUTER HARDWARE MAINTENANCE</v>
      </c>
      <c r="C251" s="10"/>
      <c r="D251" s="6"/>
      <c r="E251" s="2"/>
      <c r="F251" s="7">
        <f t="shared" si="102"/>
        <v>0</v>
      </c>
      <c r="G251" s="2"/>
      <c r="H251" s="6"/>
      <c r="I251" s="2"/>
      <c r="J251" s="7">
        <f t="shared" si="103"/>
        <v>0</v>
      </c>
      <c r="K251" s="2"/>
      <c r="L251" s="6">
        <f t="shared" si="104"/>
        <v>0</v>
      </c>
      <c r="M251" s="2"/>
      <c r="N251" s="7">
        <f t="shared" si="105"/>
        <v>0</v>
      </c>
      <c r="O251" s="10"/>
      <c r="P251" s="6">
        <v>-1.1499999999999999</v>
      </c>
      <c r="Q251" s="2"/>
      <c r="R251" s="7">
        <f t="shared" si="106"/>
        <v>-1.4777756181122276E-7</v>
      </c>
      <c r="S251" s="2"/>
      <c r="T251" s="6">
        <v>52.32</v>
      </c>
      <c r="U251" s="2"/>
      <c r="V251" s="7">
        <f t="shared" si="107"/>
        <v>4.5637588128727526E-6</v>
      </c>
      <c r="W251" s="2"/>
      <c r="X251" s="6">
        <f t="shared" si="108"/>
        <v>-53.47</v>
      </c>
      <c r="Y251" s="2"/>
      <c r="Z251" s="7">
        <f t="shared" si="109"/>
        <v>-1.0219801223241589</v>
      </c>
    </row>
    <row r="252" spans="1:26" s="23" customFormat="1" hidden="1" outlineLevel="2" x14ac:dyDescent="0.25">
      <c r="A252" s="27"/>
      <c r="B252" s="10" t="str">
        <f>CONCATENATE("          ", "6373", " - ", "MAINTENANCE CONTRACTS")</f>
        <v xml:space="preserve">          6373 - MAINTENANCE CONTRACTS</v>
      </c>
      <c r="C252" s="10"/>
      <c r="D252" s="6">
        <v>3187.44</v>
      </c>
      <c r="E252" s="2"/>
      <c r="F252" s="7">
        <f t="shared" si="102"/>
        <v>4.8548842822070427E-3</v>
      </c>
      <c r="G252" s="2"/>
      <c r="H252" s="6">
        <v>3743.93</v>
      </c>
      <c r="I252" s="2"/>
      <c r="J252" s="7">
        <f t="shared" si="103"/>
        <v>1.0423376283791974E-2</v>
      </c>
      <c r="K252" s="2"/>
      <c r="L252" s="6">
        <f t="shared" si="104"/>
        <v>-556.48999999999978</v>
      </c>
      <c r="M252" s="2"/>
      <c r="N252" s="7">
        <f t="shared" si="105"/>
        <v>-0.14863792859375036</v>
      </c>
      <c r="O252" s="10"/>
      <c r="P252" s="6">
        <v>49306.02</v>
      </c>
      <c r="Q252" s="2"/>
      <c r="R252" s="7">
        <f t="shared" si="106"/>
        <v>6.3359334071438136E-3</v>
      </c>
      <c r="S252" s="2"/>
      <c r="T252" s="6">
        <v>78674.05</v>
      </c>
      <c r="U252" s="2"/>
      <c r="V252" s="7">
        <f t="shared" si="107"/>
        <v>6.8625647750743804E-3</v>
      </c>
      <c r="W252" s="2"/>
      <c r="X252" s="6">
        <f t="shared" si="108"/>
        <v>-29368.030000000006</v>
      </c>
      <c r="Y252" s="2"/>
      <c r="Z252" s="7">
        <f t="shared" si="109"/>
        <v>-0.37328738001920586</v>
      </c>
    </row>
    <row r="253" spans="1:26" s="23" customFormat="1" hidden="1" outlineLevel="2" x14ac:dyDescent="0.25">
      <c r="A253" s="27"/>
      <c r="B253" s="10" t="str">
        <f>CONCATENATE("          ", "6375", " - ", "OUTSIDE REPAIRS &amp; MAINTENANCE")</f>
        <v xml:space="preserve">          6375 - OUTSIDE REPAIRS &amp; MAINTENANCE</v>
      </c>
      <c r="C253" s="10"/>
      <c r="D253" s="6">
        <v>6051.78</v>
      </c>
      <c r="E253" s="2"/>
      <c r="F253" s="7">
        <f t="shared" si="102"/>
        <v>9.2176453835601403E-3</v>
      </c>
      <c r="G253" s="2"/>
      <c r="H253" s="6">
        <v>1541.64</v>
      </c>
      <c r="I253" s="2"/>
      <c r="J253" s="7">
        <f t="shared" si="103"/>
        <v>4.2920390643374903E-3</v>
      </c>
      <c r="K253" s="2"/>
      <c r="L253" s="6">
        <f t="shared" si="104"/>
        <v>4510.1399999999994</v>
      </c>
      <c r="M253" s="2"/>
      <c r="N253" s="7">
        <f t="shared" si="105"/>
        <v>2.9255468202693229</v>
      </c>
      <c r="O253" s="10"/>
      <c r="P253" s="6">
        <v>33082.32</v>
      </c>
      <c r="Q253" s="2"/>
      <c r="R253" s="7">
        <f t="shared" si="106"/>
        <v>4.2511518162249148E-3</v>
      </c>
      <c r="S253" s="2"/>
      <c r="T253" s="6">
        <v>38692.9</v>
      </c>
      <c r="U253" s="2"/>
      <c r="V253" s="7">
        <f t="shared" si="107"/>
        <v>3.3750967769610881E-3</v>
      </c>
      <c r="W253" s="2"/>
      <c r="X253" s="6">
        <f t="shared" si="108"/>
        <v>-5610.5800000000017</v>
      </c>
      <c r="Y253" s="2"/>
      <c r="Z253" s="7">
        <f t="shared" si="109"/>
        <v>-0.14500282997655906</v>
      </c>
    </row>
    <row r="254" spans="1:26" s="26" customFormat="1" outlineLevel="1" collapsed="1" x14ac:dyDescent="0.25">
      <c r="A254" s="25"/>
      <c r="B254" s="12" t="str">
        <f>CONCATENATE("     ","Royalty &amp; Commissions                             ")</f>
        <v xml:space="preserve">     Royalty &amp; Commissions                             </v>
      </c>
      <c r="C254" s="12"/>
      <c r="D254" s="1">
        <f>SUM(OSRRefD22_17x_0)</f>
        <v>393.98</v>
      </c>
      <c r="E254" s="1"/>
      <c r="F254" s="5">
        <f t="shared" ref="F254:F257" si="110">IF(D$12=0,0,D254/D$12)</f>
        <v>6.0008260845817668E-4</v>
      </c>
      <c r="G254" s="1"/>
      <c r="H254" s="1">
        <f>SUM(OSRRefH22_17x_0)</f>
        <v>0</v>
      </c>
      <c r="I254" s="1"/>
      <c r="J254" s="5">
        <f t="shared" ref="J254:J257" si="111">IF(H$12=0,0,H254/H$12)</f>
        <v>0</v>
      </c>
      <c r="K254" s="1"/>
      <c r="L254" s="1">
        <f t="shared" ref="L254:L257" si="112">+D254-H254</f>
        <v>393.98</v>
      </c>
      <c r="M254" s="1"/>
      <c r="N254" s="5">
        <f t="shared" ref="N254:N257" si="113">IF(H254=0,0,L254/H254)</f>
        <v>0</v>
      </c>
      <c r="O254" s="12"/>
      <c r="P254" s="1">
        <f>SUM(OSRRefP22_17x_0)</f>
        <v>48786.93</v>
      </c>
      <c r="Q254" s="1"/>
      <c r="R254" s="5">
        <f t="shared" ref="R254:R257" si="114">IF(P$12=0,0,P254/P$12)</f>
        <v>6.2692291857867821E-3</v>
      </c>
      <c r="S254" s="1"/>
      <c r="T254" s="1">
        <f>SUM(OSRRefT22_17x_0)</f>
        <v>123449.40000000001</v>
      </c>
      <c r="U254" s="1"/>
      <c r="V254" s="5">
        <f t="shared" ref="V254:V257" si="115">IF(T$12=0,0,T254/T$12)</f>
        <v>1.076822032098344E-2</v>
      </c>
      <c r="W254" s="1"/>
      <c r="X254" s="1">
        <f t="shared" ref="X254:X257" si="116">+P254-T254</f>
        <v>-74662.47</v>
      </c>
      <c r="Y254" s="1"/>
      <c r="Z254" s="5">
        <f t="shared" ref="Z254:Z257" si="117">IF(T254=0,0,X254/T254)</f>
        <v>-0.60480221046031812</v>
      </c>
    </row>
    <row r="255" spans="1:26" s="23" customFormat="1" hidden="1" outlineLevel="2" x14ac:dyDescent="0.25">
      <c r="A255" s="27"/>
      <c r="B255" s="10" t="str">
        <f>CONCATENATE("          ", "6253", " - ", "ROYALTY DUE ATHLETICS-LRG")</f>
        <v xml:space="preserve">          6253 - ROYALTY DUE ATHLETICS-LRG</v>
      </c>
      <c r="C255" s="10"/>
      <c r="D255" s="6"/>
      <c r="E255" s="2"/>
      <c r="F255" s="7">
        <f t="shared" si="110"/>
        <v>0</v>
      </c>
      <c r="G255" s="2"/>
      <c r="H255" s="6"/>
      <c r="I255" s="2"/>
      <c r="J255" s="7">
        <f t="shared" si="111"/>
        <v>0</v>
      </c>
      <c r="K255" s="2"/>
      <c r="L255" s="6">
        <f t="shared" si="112"/>
        <v>0</v>
      </c>
      <c r="M255" s="2"/>
      <c r="N255" s="7">
        <f t="shared" si="113"/>
        <v>0</v>
      </c>
      <c r="O255" s="10"/>
      <c r="P255" s="6">
        <v>35159.06</v>
      </c>
      <c r="Q255" s="2"/>
      <c r="R255" s="7">
        <f t="shared" si="114"/>
        <v>4.5180175324995566E-3</v>
      </c>
      <c r="S255" s="2"/>
      <c r="T255" s="6">
        <v>32870.44</v>
      </c>
      <c r="U255" s="2"/>
      <c r="V255" s="7">
        <f t="shared" si="115"/>
        <v>2.8672163653097296E-3</v>
      </c>
      <c r="W255" s="2"/>
      <c r="X255" s="6">
        <f t="shared" si="116"/>
        <v>2288.6199999999953</v>
      </c>
      <c r="Y255" s="2"/>
      <c r="Z255" s="7">
        <f t="shared" si="117"/>
        <v>6.962547504688088E-2</v>
      </c>
    </row>
    <row r="256" spans="1:26" s="23" customFormat="1" hidden="1" outlineLevel="2" x14ac:dyDescent="0.25">
      <c r="A256" s="27"/>
      <c r="B256" s="10" t="str">
        <f>CONCATENATE("          ", "6254", " - ", "ROYALTY &amp; COMMISSIONS")</f>
        <v xml:space="preserve">          6254 - ROYALTY &amp; COMMISSIONS</v>
      </c>
      <c r="C256" s="10"/>
      <c r="D256" s="6"/>
      <c r="E256" s="2"/>
      <c r="F256" s="7">
        <f t="shared" si="110"/>
        <v>0</v>
      </c>
      <c r="G256" s="2"/>
      <c r="H256" s="6"/>
      <c r="I256" s="2"/>
      <c r="J256" s="7">
        <f t="shared" si="111"/>
        <v>0</v>
      </c>
      <c r="K256" s="2"/>
      <c r="L256" s="6">
        <f t="shared" si="112"/>
        <v>0</v>
      </c>
      <c r="M256" s="2"/>
      <c r="N256" s="7">
        <f t="shared" si="113"/>
        <v>0</v>
      </c>
      <c r="O256" s="10"/>
      <c r="P256" s="6"/>
      <c r="Q256" s="2"/>
      <c r="R256" s="7">
        <f t="shared" si="114"/>
        <v>0</v>
      </c>
      <c r="S256" s="2"/>
      <c r="T256" s="6">
        <v>7971.22</v>
      </c>
      <c r="U256" s="2"/>
      <c r="V256" s="7">
        <f t="shared" si="115"/>
        <v>6.9531203219318693E-4</v>
      </c>
      <c r="W256" s="2"/>
      <c r="X256" s="6">
        <f t="shared" si="116"/>
        <v>-7971.22</v>
      </c>
      <c r="Y256" s="2"/>
      <c r="Z256" s="7">
        <f t="shared" si="117"/>
        <v>-1</v>
      </c>
    </row>
    <row r="257" spans="1:26" s="23" customFormat="1" hidden="1" outlineLevel="2" x14ac:dyDescent="0.25">
      <c r="A257" s="27"/>
      <c r="B257" s="10" t="str">
        <f>CONCATENATE("          ", "6259", " - ", "ROYALTY &amp; COMMISSIONS")</f>
        <v xml:space="preserve">          6259 - ROYALTY &amp; COMMISSIONS</v>
      </c>
      <c r="C257" s="10"/>
      <c r="D257" s="6">
        <v>393.98</v>
      </c>
      <c r="E257" s="2"/>
      <c r="F257" s="7">
        <f t="shared" si="110"/>
        <v>6.0008260845817668E-4</v>
      </c>
      <c r="G257" s="2"/>
      <c r="H257" s="6"/>
      <c r="I257" s="2"/>
      <c r="J257" s="7">
        <f t="shared" si="111"/>
        <v>0</v>
      </c>
      <c r="K257" s="2"/>
      <c r="L257" s="6">
        <f t="shared" si="112"/>
        <v>393.98</v>
      </c>
      <c r="M257" s="2"/>
      <c r="N257" s="7">
        <f t="shared" si="113"/>
        <v>0</v>
      </c>
      <c r="O257" s="10"/>
      <c r="P257" s="6">
        <v>13627.87</v>
      </c>
      <c r="Q257" s="2"/>
      <c r="R257" s="7">
        <f t="shared" si="114"/>
        <v>1.751211653287225E-3</v>
      </c>
      <c r="S257" s="2"/>
      <c r="T257" s="6">
        <v>82607.740000000005</v>
      </c>
      <c r="U257" s="2"/>
      <c r="V257" s="7">
        <f t="shared" si="115"/>
        <v>7.205691923480524E-3</v>
      </c>
      <c r="W257" s="2"/>
      <c r="X257" s="6">
        <f t="shared" si="116"/>
        <v>-68979.87000000001</v>
      </c>
      <c r="Y257" s="2"/>
      <c r="Z257" s="7">
        <f t="shared" si="117"/>
        <v>-0.83502913891603869</v>
      </c>
    </row>
    <row r="258" spans="1:26" s="26" customFormat="1" outlineLevel="1" collapsed="1" x14ac:dyDescent="0.25">
      <c r="A258" s="25"/>
      <c r="B258" s="12" t="str">
        <f>CONCATENATE("     ","Services                                          ")</f>
        <v xml:space="preserve">     Services                                          </v>
      </c>
      <c r="C258" s="12"/>
      <c r="D258" s="1">
        <f>SUM(OSRRefD22_18x_0)</f>
        <v>4297.32</v>
      </c>
      <c r="E258" s="1"/>
      <c r="F258" s="5">
        <f t="shared" ref="F258:F262" si="118">IF(D$12=0,0,D258/D$12)</f>
        <v>6.5453753870234315E-3</v>
      </c>
      <c r="G258" s="1"/>
      <c r="H258" s="1">
        <f>SUM(OSRRefH22_18x_0)</f>
        <v>4376.38</v>
      </c>
      <c r="I258" s="1"/>
      <c r="J258" s="5">
        <f t="shared" ref="J258:J262" si="119">IF(H$12=0,0,H258/H$12)</f>
        <v>1.2184163566322426E-2</v>
      </c>
      <c r="K258" s="1"/>
      <c r="L258" s="1">
        <f t="shared" ref="L258:L262" si="120">+D258-H258</f>
        <v>-79.0600000000004</v>
      </c>
      <c r="M258" s="1"/>
      <c r="N258" s="5">
        <f t="shared" ref="N258:N262" si="121">IF(H258=0,0,L258/H258)</f>
        <v>-1.8065158875600472E-2</v>
      </c>
      <c r="O258" s="12"/>
      <c r="P258" s="1">
        <f>SUM(OSRRefP22_18x_0)</f>
        <v>44441.3</v>
      </c>
      <c r="Q258" s="1"/>
      <c r="R258" s="5">
        <f t="shared" ref="R258:R262" si="122">IF(P$12=0,0,P258/P$12)</f>
        <v>5.7108060501922572E-3</v>
      </c>
      <c r="S258" s="1"/>
      <c r="T258" s="1">
        <f>SUM(OSRRefT22_18x_0)</f>
        <v>50633.25</v>
      </c>
      <c r="U258" s="1"/>
      <c r="V258" s="5">
        <f t="shared" ref="V258:V262" si="123">IF(T$12=0,0,T258/T$12)</f>
        <v>4.416627311007058E-3</v>
      </c>
      <c r="W258" s="1"/>
      <c r="X258" s="1">
        <f t="shared" ref="X258:X262" si="124">+P258-T258</f>
        <v>-6191.9499999999971</v>
      </c>
      <c r="Y258" s="1"/>
      <c r="Z258" s="5">
        <f t="shared" ref="Z258:Z262" si="125">IF(T258=0,0,X258/T258)</f>
        <v>-0.12229019468432299</v>
      </c>
    </row>
    <row r="259" spans="1:26" s="23" customFormat="1" hidden="1" outlineLevel="2" x14ac:dyDescent="0.25">
      <c r="A259" s="27"/>
      <c r="B259" s="10" t="str">
        <f>CONCATENATE("          ", "6282", " - ", "JANITORIAL/EXTERMINATOR EXPENS")</f>
        <v xml:space="preserve">          6282 - JANITORIAL/EXTERMINATOR EXPENS</v>
      </c>
      <c r="C259" s="10"/>
      <c r="D259" s="6">
        <v>291</v>
      </c>
      <c r="E259" s="2"/>
      <c r="F259" s="7">
        <f t="shared" si="118"/>
        <v>4.4323071998916038E-4</v>
      </c>
      <c r="G259" s="2"/>
      <c r="H259" s="6"/>
      <c r="I259" s="2"/>
      <c r="J259" s="7">
        <f t="shared" si="119"/>
        <v>0</v>
      </c>
      <c r="K259" s="2"/>
      <c r="L259" s="6">
        <f t="shared" si="120"/>
        <v>291</v>
      </c>
      <c r="M259" s="2"/>
      <c r="N259" s="7">
        <f t="shared" si="121"/>
        <v>0</v>
      </c>
      <c r="O259" s="10"/>
      <c r="P259" s="6">
        <v>7697.12</v>
      </c>
      <c r="Q259" s="2"/>
      <c r="R259" s="7">
        <f t="shared" si="122"/>
        <v>9.8909706658121665E-4</v>
      </c>
      <c r="S259" s="2"/>
      <c r="T259" s="6">
        <v>2686.02</v>
      </c>
      <c r="U259" s="2"/>
      <c r="V259" s="7">
        <f t="shared" si="123"/>
        <v>2.3429563162370929E-4</v>
      </c>
      <c r="W259" s="2"/>
      <c r="X259" s="6">
        <f t="shared" si="124"/>
        <v>5011.1000000000004</v>
      </c>
      <c r="Y259" s="2"/>
      <c r="Z259" s="7">
        <f t="shared" si="125"/>
        <v>1.8656227429430907</v>
      </c>
    </row>
    <row r="260" spans="1:26" s="23" customFormat="1" hidden="1" outlineLevel="2" x14ac:dyDescent="0.25">
      <c r="A260" s="27"/>
      <c r="B260" s="10" t="str">
        <f>CONCATENATE("          ", "6283", " - ", "PLANT SERVICE")</f>
        <v xml:space="preserve">          6283 - PLANT SERVICE</v>
      </c>
      <c r="C260" s="10"/>
      <c r="D260" s="6"/>
      <c r="E260" s="2"/>
      <c r="F260" s="7">
        <f t="shared" si="118"/>
        <v>0</v>
      </c>
      <c r="G260" s="2"/>
      <c r="H260" s="6"/>
      <c r="I260" s="2"/>
      <c r="J260" s="7">
        <f t="shared" si="119"/>
        <v>0</v>
      </c>
      <c r="K260" s="2"/>
      <c r="L260" s="6">
        <f t="shared" si="120"/>
        <v>0</v>
      </c>
      <c r="M260" s="2"/>
      <c r="N260" s="7">
        <f t="shared" si="121"/>
        <v>0</v>
      </c>
      <c r="O260" s="10"/>
      <c r="P260" s="6">
        <v>171.31</v>
      </c>
      <c r="Q260" s="2"/>
      <c r="R260" s="7">
        <f t="shared" si="122"/>
        <v>2.2013716620765716E-5</v>
      </c>
      <c r="S260" s="2"/>
      <c r="T260" s="6">
        <v>541.98</v>
      </c>
      <c r="U260" s="2"/>
      <c r="V260" s="7">
        <f t="shared" si="123"/>
        <v>4.7275726326467399E-5</v>
      </c>
      <c r="W260" s="2"/>
      <c r="X260" s="6">
        <f t="shared" si="124"/>
        <v>-370.67</v>
      </c>
      <c r="Y260" s="2"/>
      <c r="Z260" s="7">
        <f t="shared" si="125"/>
        <v>-0.68391822576478833</v>
      </c>
    </row>
    <row r="261" spans="1:26" s="23" customFormat="1" hidden="1" outlineLevel="2" x14ac:dyDescent="0.25">
      <c r="A261" s="27"/>
      <c r="B261" s="10" t="str">
        <f>CONCATENATE("          ", "6284", " - ", "TRASH REMOVAL EXPENSE")</f>
        <v xml:space="preserve">          6284 - TRASH REMOVAL EXPENSE</v>
      </c>
      <c r="C261" s="10"/>
      <c r="D261" s="6">
        <v>142.57</v>
      </c>
      <c r="E261" s="2"/>
      <c r="F261" s="7">
        <f t="shared" si="118"/>
        <v>2.1715259020224946E-4</v>
      </c>
      <c r="G261" s="2"/>
      <c r="H261" s="6">
        <v>134.82</v>
      </c>
      <c r="I261" s="2"/>
      <c r="J261" s="7">
        <f t="shared" si="119"/>
        <v>3.753487887275761E-4</v>
      </c>
      <c r="K261" s="2"/>
      <c r="L261" s="6">
        <f t="shared" si="120"/>
        <v>7.75</v>
      </c>
      <c r="M261" s="2"/>
      <c r="N261" s="7">
        <f t="shared" si="121"/>
        <v>5.7484052811155616E-2</v>
      </c>
      <c r="O261" s="10"/>
      <c r="P261" s="6">
        <v>1583.29</v>
      </c>
      <c r="Q261" s="2"/>
      <c r="R261" s="7">
        <f t="shared" si="122"/>
        <v>2.0345629203486165E-4</v>
      </c>
      <c r="S261" s="2"/>
      <c r="T261" s="6">
        <v>1483.02</v>
      </c>
      <c r="U261" s="2"/>
      <c r="V261" s="7">
        <f t="shared" si="123"/>
        <v>1.2936058093781629E-4</v>
      </c>
      <c r="W261" s="2"/>
      <c r="X261" s="6">
        <f t="shared" si="124"/>
        <v>100.26999999999998</v>
      </c>
      <c r="Y261" s="2"/>
      <c r="Z261" s="7">
        <f t="shared" si="125"/>
        <v>6.761203490175452E-2</v>
      </c>
    </row>
    <row r="262" spans="1:26" s="23" customFormat="1" hidden="1" outlineLevel="2" x14ac:dyDescent="0.25">
      <c r="A262" s="27"/>
      <c r="B262" s="10" t="str">
        <f>CONCATENATE("          ", "6285", " - ", "JANITORIAL SERVICES")</f>
        <v xml:space="preserve">          6285 - JANITORIAL SERVICES</v>
      </c>
      <c r="C262" s="10"/>
      <c r="D262" s="6">
        <v>3863.75</v>
      </c>
      <c r="E262" s="2"/>
      <c r="F262" s="7">
        <f t="shared" si="118"/>
        <v>5.884992076832022E-3</v>
      </c>
      <c r="G262" s="2"/>
      <c r="H262" s="6">
        <v>4241.5600000000004</v>
      </c>
      <c r="I262" s="2"/>
      <c r="J262" s="7">
        <f t="shared" si="119"/>
        <v>1.180881477759485E-2</v>
      </c>
      <c r="K262" s="2"/>
      <c r="L262" s="6">
        <f t="shared" si="120"/>
        <v>-377.8100000000004</v>
      </c>
      <c r="M262" s="2"/>
      <c r="N262" s="7">
        <f t="shared" si="121"/>
        <v>-8.9073359801582527E-2</v>
      </c>
      <c r="O262" s="10"/>
      <c r="P262" s="6">
        <v>34989.58</v>
      </c>
      <c r="Q262" s="2"/>
      <c r="R262" s="7">
        <f t="shared" si="122"/>
        <v>4.4962389749554129E-3</v>
      </c>
      <c r="S262" s="2"/>
      <c r="T262" s="6">
        <v>45922.23</v>
      </c>
      <c r="U262" s="2"/>
      <c r="V262" s="7">
        <f t="shared" si="123"/>
        <v>4.0056953721190657E-3</v>
      </c>
      <c r="W262" s="2"/>
      <c r="X262" s="6">
        <f t="shared" si="124"/>
        <v>-10932.650000000001</v>
      </c>
      <c r="Y262" s="2"/>
      <c r="Z262" s="7">
        <f t="shared" si="125"/>
        <v>-0.23806879587511323</v>
      </c>
    </row>
    <row r="263" spans="1:26" s="26" customFormat="1" outlineLevel="1" collapsed="1" x14ac:dyDescent="0.25">
      <c r="A263" s="25"/>
      <c r="B263" s="12" t="str">
        <f>CONCATENATE("     ","Subscriptions &amp; Dues                              ")</f>
        <v xml:space="preserve">     Subscriptions &amp; Dues                              </v>
      </c>
      <c r="C263" s="12"/>
      <c r="D263" s="1">
        <f>SUM(OSRRefD22_19x_0)</f>
        <v>611.22</v>
      </c>
      <c r="E263" s="1"/>
      <c r="F263" s="5">
        <f t="shared" ref="F263:F265" si="126">IF(D$12=0,0,D263/D$12)</f>
        <v>9.3096728753187157E-4</v>
      </c>
      <c r="G263" s="1"/>
      <c r="H263" s="1">
        <f>SUM(OSRRefH22_19x_0)</f>
        <v>260</v>
      </c>
      <c r="I263" s="1"/>
      <c r="J263" s="5">
        <f t="shared" ref="J263:J265" si="127">IF(H$12=0,0,H263/H$12)</f>
        <v>7.23859108953937E-4</v>
      </c>
      <c r="K263" s="1"/>
      <c r="L263" s="1">
        <f t="shared" ref="L263:L265" si="128">+D263-H263</f>
        <v>351.22</v>
      </c>
      <c r="M263" s="1"/>
      <c r="N263" s="5">
        <f t="shared" ref="N263:N265" si="129">IF(H263=0,0,L263/H263)</f>
        <v>1.350846153846154</v>
      </c>
      <c r="O263" s="12"/>
      <c r="P263" s="1">
        <f>SUM(OSRRefP22_19x_0)</f>
        <v>7431.3499999999995</v>
      </c>
      <c r="Q263" s="1"/>
      <c r="R263" s="5">
        <f t="shared" ref="R263:R265" si="130">IF(P$12=0,0,P263/P$12)</f>
        <v>9.5494502953550459E-4</v>
      </c>
      <c r="S263" s="1"/>
      <c r="T263" s="1">
        <f>SUM(OSRRefT22_19x_0)</f>
        <v>2472.35</v>
      </c>
      <c r="U263" s="1"/>
      <c r="V263" s="5">
        <f t="shared" ref="V263:V265" si="131">IF(T$12=0,0,T263/T$12)</f>
        <v>2.1565766630363053E-4</v>
      </c>
      <c r="W263" s="1"/>
      <c r="X263" s="1">
        <f t="shared" ref="X263:X265" si="132">+P263-T263</f>
        <v>4959</v>
      </c>
      <c r="Y263" s="1"/>
      <c r="Z263" s="5">
        <f t="shared" ref="Z263:Z265" si="133">IF(T263=0,0,X263/T263)</f>
        <v>2.0057839707161205</v>
      </c>
    </row>
    <row r="264" spans="1:26" s="23" customFormat="1" hidden="1" outlineLevel="2" x14ac:dyDescent="0.25">
      <c r="A264" s="27"/>
      <c r="B264" s="10" t="str">
        <f>CONCATENATE("          ", "6258", " - ", "MEMBERSHIP DUES")</f>
        <v xml:space="preserve">          6258 - MEMBERSHIP DUES</v>
      </c>
      <c r="C264" s="10"/>
      <c r="D264" s="6">
        <v>611.22</v>
      </c>
      <c r="E264" s="2"/>
      <c r="F264" s="7">
        <f t="shared" si="126"/>
        <v>9.3096728753187157E-4</v>
      </c>
      <c r="G264" s="2"/>
      <c r="H264" s="6">
        <v>260</v>
      </c>
      <c r="I264" s="2"/>
      <c r="J264" s="7">
        <f t="shared" si="127"/>
        <v>7.23859108953937E-4</v>
      </c>
      <c r="K264" s="2"/>
      <c r="L264" s="6">
        <f t="shared" si="128"/>
        <v>351.22</v>
      </c>
      <c r="M264" s="2"/>
      <c r="N264" s="7">
        <f t="shared" si="129"/>
        <v>1.350846153846154</v>
      </c>
      <c r="O264" s="10"/>
      <c r="P264" s="6">
        <v>3046.45</v>
      </c>
      <c r="Q264" s="2"/>
      <c r="R264" s="7">
        <f t="shared" si="130"/>
        <v>3.914756114606953E-4</v>
      </c>
      <c r="S264" s="2"/>
      <c r="T264" s="6">
        <v>-320.08999999999997</v>
      </c>
      <c r="U264" s="2"/>
      <c r="V264" s="7">
        <f t="shared" si="131"/>
        <v>-2.7920748440604726E-5</v>
      </c>
      <c r="W264" s="2"/>
      <c r="X264" s="6">
        <f t="shared" si="132"/>
        <v>3366.54</v>
      </c>
      <c r="Y264" s="2"/>
      <c r="Z264" s="7">
        <f t="shared" si="133"/>
        <v>-10.517479458902184</v>
      </c>
    </row>
    <row r="265" spans="1:26" s="23" customFormat="1" hidden="1" outlineLevel="2" x14ac:dyDescent="0.25">
      <c r="A265" s="27"/>
      <c r="B265" s="10" t="str">
        <f>CONCATENATE("          ", "6275", " - ", "SUBSCRIPTIONS")</f>
        <v xml:space="preserve">          6275 - SUBSCRIPTIONS</v>
      </c>
      <c r="C265" s="10"/>
      <c r="D265" s="6"/>
      <c r="E265" s="2"/>
      <c r="F265" s="7">
        <f t="shared" si="126"/>
        <v>0</v>
      </c>
      <c r="G265" s="2"/>
      <c r="H265" s="6"/>
      <c r="I265" s="2"/>
      <c r="J265" s="7">
        <f t="shared" si="127"/>
        <v>0</v>
      </c>
      <c r="K265" s="2"/>
      <c r="L265" s="6">
        <f t="shared" si="128"/>
        <v>0</v>
      </c>
      <c r="M265" s="2"/>
      <c r="N265" s="7">
        <f t="shared" si="129"/>
        <v>0</v>
      </c>
      <c r="O265" s="10"/>
      <c r="P265" s="6">
        <v>4384.8999999999996</v>
      </c>
      <c r="Q265" s="2"/>
      <c r="R265" s="7">
        <f t="shared" si="130"/>
        <v>5.6346941807480929E-4</v>
      </c>
      <c r="S265" s="2"/>
      <c r="T265" s="6">
        <v>2792.44</v>
      </c>
      <c r="U265" s="2"/>
      <c r="V265" s="7">
        <f t="shared" si="131"/>
        <v>2.4357841474423526E-4</v>
      </c>
      <c r="W265" s="2"/>
      <c r="X265" s="6">
        <f t="shared" si="132"/>
        <v>1592.4599999999996</v>
      </c>
      <c r="Y265" s="2"/>
      <c r="Z265" s="7">
        <f t="shared" si="133"/>
        <v>0.57027545802237456</v>
      </c>
    </row>
    <row r="266" spans="1:26" s="26" customFormat="1" outlineLevel="1" collapsed="1" x14ac:dyDescent="0.25">
      <c r="A266" s="25"/>
      <c r="B266" s="12" t="str">
        <f>CONCATENATE("     ","Supplies                                          ")</f>
        <v xml:space="preserve">     Supplies                                          </v>
      </c>
      <c r="C266" s="12"/>
      <c r="D266" s="1">
        <f>SUM(OSRRefD22_20x_0)</f>
        <v>10402.73</v>
      </c>
      <c r="E266" s="1"/>
      <c r="F266" s="5">
        <f t="shared" ref="F266:F274" si="134">IF(D$12=0,0,D266/D$12)</f>
        <v>1.5844706212209066E-2</v>
      </c>
      <c r="G266" s="1"/>
      <c r="H266" s="1">
        <f>SUM(OSRRefH22_20x_0)</f>
        <v>4756.8600000000006</v>
      </c>
      <c r="I266" s="1"/>
      <c r="J266" s="5">
        <f t="shared" ref="J266:J274" si="135">IF(H$12=0,0,H266/H$12)</f>
        <v>1.3243447850071635E-2</v>
      </c>
      <c r="K266" s="1"/>
      <c r="L266" s="1">
        <f t="shared" ref="L266:L274" si="136">+D266-H266</f>
        <v>5645.869999999999</v>
      </c>
      <c r="M266" s="1"/>
      <c r="N266" s="5">
        <f t="shared" ref="N266:N274" si="137">IF(H266=0,0,L266/H266)</f>
        <v>1.1868900913627893</v>
      </c>
      <c r="O266" s="12"/>
      <c r="P266" s="1">
        <f>SUM(OSRRefP22_20x_0)</f>
        <v>125931.07</v>
      </c>
      <c r="Q266" s="1"/>
      <c r="R266" s="5">
        <f t="shared" ref="R266:R274" si="138">IF(P$12=0,0,P266/P$12)</f>
        <v>1.6182423026850804E-2</v>
      </c>
      <c r="S266" s="1"/>
      <c r="T266" s="1">
        <f>SUM(OSRRefT22_20x_0)</f>
        <v>96297.08</v>
      </c>
      <c r="U266" s="1"/>
      <c r="V266" s="5">
        <f t="shared" ref="V266:V274" si="139">IF(T$12=0,0,T266/T$12)</f>
        <v>8.3997830180411407E-3</v>
      </c>
      <c r="W266" s="1"/>
      <c r="X266" s="1">
        <f t="shared" ref="X266:X274" si="140">+P266-T266</f>
        <v>29633.990000000005</v>
      </c>
      <c r="Y266" s="1"/>
      <c r="Z266" s="5">
        <f t="shared" ref="Z266:Z274" si="141">IF(T266=0,0,X266/T266)</f>
        <v>0.3077350839713936</v>
      </c>
    </row>
    <row r="267" spans="1:26" s="23" customFormat="1" hidden="1" outlineLevel="2" x14ac:dyDescent="0.25">
      <c r="A267" s="27"/>
      <c r="B267" s="10" t="str">
        <f>CONCATENATE("          ", "6234", " - ", "EXPENDABLE SUPPLIES &amp; EQUIPMEN")</f>
        <v xml:space="preserve">          6234 - EXPENDABLE SUPPLIES &amp; EQUIPMEN</v>
      </c>
      <c r="C267" s="10"/>
      <c r="D267" s="6"/>
      <c r="E267" s="2"/>
      <c r="F267" s="7">
        <f t="shared" si="134"/>
        <v>0</v>
      </c>
      <c r="G267" s="2"/>
      <c r="H267" s="6">
        <v>700.76</v>
      </c>
      <c r="I267" s="2"/>
      <c r="J267" s="7">
        <f t="shared" si="135"/>
        <v>1.9509673430406188E-3</v>
      </c>
      <c r="K267" s="2"/>
      <c r="L267" s="6">
        <f t="shared" si="136"/>
        <v>-700.76</v>
      </c>
      <c r="M267" s="2"/>
      <c r="N267" s="7">
        <f t="shared" si="137"/>
        <v>-1</v>
      </c>
      <c r="O267" s="10"/>
      <c r="P267" s="6">
        <v>1733.65</v>
      </c>
      <c r="Q267" s="2"/>
      <c r="R267" s="7">
        <f t="shared" si="138"/>
        <v>2.227778869861099E-4</v>
      </c>
      <c r="S267" s="2"/>
      <c r="T267" s="6">
        <v>4142.5600000000004</v>
      </c>
      <c r="U267" s="2"/>
      <c r="V267" s="7">
        <f t="shared" si="139"/>
        <v>3.613464202571512E-4</v>
      </c>
      <c r="W267" s="2"/>
      <c r="X267" s="6">
        <f t="shared" si="140"/>
        <v>-2408.9100000000003</v>
      </c>
      <c r="Y267" s="2"/>
      <c r="Z267" s="7">
        <f t="shared" si="141"/>
        <v>-0.58150274226565213</v>
      </c>
    </row>
    <row r="268" spans="1:26" s="23" customFormat="1" hidden="1" outlineLevel="2" x14ac:dyDescent="0.25">
      <c r="A268" s="27"/>
      <c r="B268" s="10" t="str">
        <f>CONCATENATE("          ", "6235", " - ", "COVID-19 EXPENSES")</f>
        <v xml:space="preserve">          6235 - COVID-19 EXPENSES</v>
      </c>
      <c r="C268" s="10"/>
      <c r="D268" s="6">
        <v>2928.27</v>
      </c>
      <c r="E268" s="2"/>
      <c r="F268" s="7">
        <f t="shared" si="134"/>
        <v>4.4601347780847374E-3</v>
      </c>
      <c r="G268" s="2"/>
      <c r="H268" s="6">
        <v>1550</v>
      </c>
      <c r="I268" s="2"/>
      <c r="J268" s="7">
        <f t="shared" si="135"/>
        <v>4.3153139187638552E-3</v>
      </c>
      <c r="K268" s="2"/>
      <c r="L268" s="6">
        <f t="shared" si="136"/>
        <v>1378.27</v>
      </c>
      <c r="M268" s="2"/>
      <c r="N268" s="7">
        <f t="shared" si="137"/>
        <v>0.88920645161290324</v>
      </c>
      <c r="O268" s="10"/>
      <c r="P268" s="6">
        <v>44666.18</v>
      </c>
      <c r="Q268" s="2"/>
      <c r="R268" s="7">
        <f t="shared" si="138"/>
        <v>5.7397036311488724E-3</v>
      </c>
      <c r="S268" s="2"/>
      <c r="T268" s="6">
        <v>1550</v>
      </c>
      <c r="U268" s="2"/>
      <c r="V268" s="7">
        <f t="shared" si="139"/>
        <v>1.3520309938747641E-4</v>
      </c>
      <c r="W268" s="2"/>
      <c r="X268" s="6">
        <f t="shared" si="140"/>
        <v>43116.18</v>
      </c>
      <c r="Y268" s="2"/>
      <c r="Z268" s="7">
        <f t="shared" si="141"/>
        <v>27.816890322580644</v>
      </c>
    </row>
    <row r="269" spans="1:26" s="23" customFormat="1" hidden="1" outlineLevel="2" x14ac:dyDescent="0.25">
      <c r="A269" s="27"/>
      <c r="B269" s="10" t="str">
        <f>CONCATENATE("          ", "6237", " - ", "JANITORIAL SUPPLIES")</f>
        <v xml:space="preserve">          6237 - JANITORIAL SUPPLIES</v>
      </c>
      <c r="C269" s="10"/>
      <c r="D269" s="6">
        <v>390.73</v>
      </c>
      <c r="E269" s="2"/>
      <c r="F269" s="7">
        <f t="shared" si="134"/>
        <v>5.9513243718682012E-4</v>
      </c>
      <c r="G269" s="2"/>
      <c r="H269" s="6"/>
      <c r="I269" s="2"/>
      <c r="J269" s="7">
        <f t="shared" si="135"/>
        <v>0</v>
      </c>
      <c r="K269" s="2"/>
      <c r="L269" s="6">
        <f t="shared" si="136"/>
        <v>390.73</v>
      </c>
      <c r="M269" s="2"/>
      <c r="N269" s="7">
        <f t="shared" si="137"/>
        <v>0</v>
      </c>
      <c r="O269" s="10"/>
      <c r="P269" s="6">
        <v>3880.28</v>
      </c>
      <c r="Q269" s="2"/>
      <c r="R269" s="7">
        <f t="shared" si="138"/>
        <v>4.9862462395204479E-4</v>
      </c>
      <c r="S269" s="2"/>
      <c r="T269" s="6">
        <v>5305.04</v>
      </c>
      <c r="U269" s="2"/>
      <c r="V269" s="7">
        <f t="shared" si="139"/>
        <v>4.6274700024163734E-4</v>
      </c>
      <c r="W269" s="2"/>
      <c r="X269" s="6">
        <f t="shared" si="140"/>
        <v>-1424.7599999999998</v>
      </c>
      <c r="Y269" s="2"/>
      <c r="Z269" s="7">
        <f t="shared" si="141"/>
        <v>-0.26856724925731001</v>
      </c>
    </row>
    <row r="270" spans="1:26" s="23" customFormat="1" hidden="1" outlineLevel="2" x14ac:dyDescent="0.25">
      <c r="A270" s="27"/>
      <c r="B270" s="10" t="str">
        <f>CONCATENATE("          ", "6241", " - ", "OFFICE EXPENSE")</f>
        <v xml:space="preserve">          6241 - OFFICE EXPENSE</v>
      </c>
      <c r="C270" s="10"/>
      <c r="D270" s="6">
        <v>338.38</v>
      </c>
      <c r="E270" s="2"/>
      <c r="F270" s="7">
        <f t="shared" si="134"/>
        <v>5.1539660147742982E-4</v>
      </c>
      <c r="G270" s="2"/>
      <c r="H270" s="6">
        <v>1359.12</v>
      </c>
      <c r="I270" s="2"/>
      <c r="J270" s="7">
        <f t="shared" si="135"/>
        <v>3.7838899698518259E-3</v>
      </c>
      <c r="K270" s="2"/>
      <c r="L270" s="6">
        <f t="shared" si="136"/>
        <v>-1020.7399999999999</v>
      </c>
      <c r="M270" s="2"/>
      <c r="N270" s="7">
        <f t="shared" si="137"/>
        <v>-0.7510300782859497</v>
      </c>
      <c r="O270" s="10"/>
      <c r="P270" s="6">
        <v>12636.13</v>
      </c>
      <c r="Q270" s="2"/>
      <c r="R270" s="7">
        <f t="shared" si="138"/>
        <v>1.6237708540257794E-3</v>
      </c>
      <c r="S270" s="2"/>
      <c r="T270" s="6">
        <v>25565.69</v>
      </c>
      <c r="U270" s="2"/>
      <c r="V270" s="7">
        <f t="shared" si="139"/>
        <v>2.2300390490189751E-3</v>
      </c>
      <c r="W270" s="2"/>
      <c r="X270" s="6">
        <f t="shared" si="140"/>
        <v>-12929.56</v>
      </c>
      <c r="Y270" s="2"/>
      <c r="Z270" s="7">
        <f t="shared" si="141"/>
        <v>-0.50573874595209445</v>
      </c>
    </row>
    <row r="271" spans="1:26" s="23" customFormat="1" hidden="1" outlineLevel="2" x14ac:dyDescent="0.25">
      <c r="A271" s="27"/>
      <c r="B271" s="10" t="str">
        <f>CONCATENATE("          ", "6243", " - ", "PAPER SUPPLIES")</f>
        <v xml:space="preserve">          6243 - PAPER SUPPLIES</v>
      </c>
      <c r="C271" s="10"/>
      <c r="D271" s="6"/>
      <c r="E271" s="2"/>
      <c r="F271" s="7">
        <f t="shared" si="134"/>
        <v>0</v>
      </c>
      <c r="G271" s="2"/>
      <c r="H271" s="6">
        <v>50.85</v>
      </c>
      <c r="I271" s="2"/>
      <c r="J271" s="7">
        <f t="shared" si="135"/>
        <v>1.4157013727041421E-4</v>
      </c>
      <c r="K271" s="2"/>
      <c r="L271" s="6">
        <f t="shared" si="136"/>
        <v>-50.85</v>
      </c>
      <c r="M271" s="2"/>
      <c r="N271" s="7">
        <f t="shared" si="137"/>
        <v>-1</v>
      </c>
      <c r="O271" s="10"/>
      <c r="P271" s="6">
        <v>6682.58</v>
      </c>
      <c r="Q271" s="2"/>
      <c r="R271" s="7">
        <f t="shared" si="138"/>
        <v>8.5872641652907922E-4</v>
      </c>
      <c r="S271" s="2"/>
      <c r="T271" s="6">
        <v>17939.21</v>
      </c>
      <c r="U271" s="2"/>
      <c r="V271" s="7">
        <f t="shared" si="139"/>
        <v>1.5647979306856843E-3</v>
      </c>
      <c r="W271" s="2"/>
      <c r="X271" s="6">
        <f t="shared" si="140"/>
        <v>-11256.63</v>
      </c>
      <c r="Y271" s="2"/>
      <c r="Z271" s="7">
        <f t="shared" si="141"/>
        <v>-0.6274874980559344</v>
      </c>
    </row>
    <row r="272" spans="1:26" s="23" customFormat="1" hidden="1" outlineLevel="2" x14ac:dyDescent="0.25">
      <c r="A272" s="27"/>
      <c r="B272" s="10" t="str">
        <f>CONCATENATE("          ", "6245", " - ", "PRINTING")</f>
        <v xml:space="preserve">          6245 - PRINTING</v>
      </c>
      <c r="C272" s="10"/>
      <c r="D272" s="6">
        <v>5963.79</v>
      </c>
      <c r="E272" s="2"/>
      <c r="F272" s="7">
        <f t="shared" si="134"/>
        <v>9.0836252081242432E-3</v>
      </c>
      <c r="G272" s="2"/>
      <c r="H272" s="6">
        <v>66.150000000000006</v>
      </c>
      <c r="I272" s="2"/>
      <c r="J272" s="7">
        <f t="shared" si="135"/>
        <v>1.8416646175885745E-4</v>
      </c>
      <c r="K272" s="2"/>
      <c r="L272" s="6">
        <f t="shared" si="136"/>
        <v>5897.64</v>
      </c>
      <c r="M272" s="2"/>
      <c r="N272" s="7">
        <f t="shared" si="137"/>
        <v>89.155555555555551</v>
      </c>
      <c r="O272" s="10"/>
      <c r="P272" s="6">
        <v>9084.3799999999992</v>
      </c>
      <c r="Q272" s="2"/>
      <c r="R272" s="7">
        <f t="shared" si="138"/>
        <v>1.1673630669275094E-3</v>
      </c>
      <c r="S272" s="2"/>
      <c r="T272" s="6">
        <v>10627.6</v>
      </c>
      <c r="U272" s="2"/>
      <c r="V272" s="7">
        <f t="shared" si="139"/>
        <v>9.2702223164538354E-4</v>
      </c>
      <c r="W272" s="2"/>
      <c r="X272" s="6">
        <f t="shared" si="140"/>
        <v>-1543.2200000000012</v>
      </c>
      <c r="Y272" s="2"/>
      <c r="Z272" s="7">
        <f t="shared" si="141"/>
        <v>-0.14520870187060117</v>
      </c>
    </row>
    <row r="273" spans="1:26" s="23" customFormat="1" hidden="1" outlineLevel="2" x14ac:dyDescent="0.25">
      <c r="A273" s="27"/>
      <c r="B273" s="10" t="str">
        <f>CONCATENATE("          ", "6247", " - ", "STORE SUPPLIES")</f>
        <v xml:space="preserve">          6247 - STORE SUPPLIES</v>
      </c>
      <c r="C273" s="10"/>
      <c r="D273" s="6">
        <v>781.56</v>
      </c>
      <c r="E273" s="2"/>
      <c r="F273" s="7">
        <f t="shared" si="134"/>
        <v>1.1904171873358357E-3</v>
      </c>
      <c r="G273" s="2"/>
      <c r="H273" s="6">
        <v>1029.98</v>
      </c>
      <c r="I273" s="2"/>
      <c r="J273" s="7">
        <f t="shared" si="135"/>
        <v>2.8675400193860618E-3</v>
      </c>
      <c r="K273" s="2"/>
      <c r="L273" s="6">
        <f t="shared" si="136"/>
        <v>-248.42000000000007</v>
      </c>
      <c r="M273" s="2"/>
      <c r="N273" s="7">
        <f t="shared" si="137"/>
        <v>-0.24118914930387003</v>
      </c>
      <c r="O273" s="10"/>
      <c r="P273" s="6">
        <v>47247.87</v>
      </c>
      <c r="Q273" s="2"/>
      <c r="R273" s="7">
        <f t="shared" si="138"/>
        <v>6.0714565472814079E-3</v>
      </c>
      <c r="S273" s="2"/>
      <c r="T273" s="6">
        <v>31123.07</v>
      </c>
      <c r="U273" s="2"/>
      <c r="V273" s="7">
        <f t="shared" si="139"/>
        <v>2.7147971138408939E-3</v>
      </c>
      <c r="W273" s="2"/>
      <c r="X273" s="6">
        <f t="shared" si="140"/>
        <v>16124.800000000003</v>
      </c>
      <c r="Y273" s="2"/>
      <c r="Z273" s="7">
        <f t="shared" si="141"/>
        <v>0.51809798969060583</v>
      </c>
    </row>
    <row r="274" spans="1:26" s="23" customFormat="1" hidden="1" outlineLevel="2" x14ac:dyDescent="0.25">
      <c r="A274" s="27"/>
      <c r="B274" s="10" t="str">
        <f>CONCATENATE("          ", "6248", " - ", "UNIFORMS")</f>
        <v xml:space="preserve">          6248 - UNIFORMS</v>
      </c>
      <c r="C274" s="10"/>
      <c r="D274" s="6"/>
      <c r="E274" s="2"/>
      <c r="F274" s="7">
        <f t="shared" si="134"/>
        <v>0</v>
      </c>
      <c r="G274" s="2"/>
      <c r="H274" s="6"/>
      <c r="I274" s="2"/>
      <c r="J274" s="7">
        <f t="shared" si="135"/>
        <v>0</v>
      </c>
      <c r="K274" s="2"/>
      <c r="L274" s="6">
        <f t="shared" si="136"/>
        <v>0</v>
      </c>
      <c r="M274" s="2"/>
      <c r="N274" s="7">
        <f t="shared" si="137"/>
        <v>0</v>
      </c>
      <c r="O274" s="10"/>
      <c r="P274" s="6"/>
      <c r="Q274" s="2"/>
      <c r="R274" s="7">
        <f t="shared" si="138"/>
        <v>0</v>
      </c>
      <c r="S274" s="2"/>
      <c r="T274" s="6">
        <v>43.91</v>
      </c>
      <c r="U274" s="2"/>
      <c r="V274" s="7">
        <f t="shared" si="139"/>
        <v>3.8301729639381217E-6</v>
      </c>
      <c r="W274" s="2"/>
      <c r="X274" s="6">
        <f t="shared" si="140"/>
        <v>-43.91</v>
      </c>
      <c r="Y274" s="2"/>
      <c r="Z274" s="7">
        <f t="shared" si="141"/>
        <v>-1</v>
      </c>
    </row>
    <row r="275" spans="1:26" s="26" customFormat="1" outlineLevel="1" collapsed="1" x14ac:dyDescent="0.25">
      <c r="A275" s="25"/>
      <c r="B275" s="12" t="str">
        <f>CONCATENATE("     ","Telephone/Data Lines                              ")</f>
        <v xml:space="preserve">     Telephone/Data Lines                              </v>
      </c>
      <c r="C275" s="12"/>
      <c r="D275" s="1">
        <f>SUM(OSRRefD22_21x_0)</f>
        <v>2234.5500000000002</v>
      </c>
      <c r="E275" s="1"/>
      <c r="F275" s="5">
        <f t="shared" ref="F275:F277" si="142">IF(D$12=0,0,D275/D$12)</f>
        <v>3.4035092967415067E-3</v>
      </c>
      <c r="G275" s="1"/>
      <c r="H275" s="1">
        <f>SUM(OSRRefH22_21x_0)</f>
        <v>2951.33</v>
      </c>
      <c r="I275" s="1"/>
      <c r="J275" s="5">
        <f t="shared" ref="J275:J277" si="143">IF(H$12=0,0,H275/H$12)</f>
        <v>8.216719630880857E-3</v>
      </c>
      <c r="K275" s="1"/>
      <c r="L275" s="1">
        <f t="shared" ref="L275:L277" si="144">+D275-H275</f>
        <v>-716.77999999999975</v>
      </c>
      <c r="M275" s="1"/>
      <c r="N275" s="5">
        <f t="shared" ref="N275:N277" si="145">IF(H275=0,0,L275/H275)</f>
        <v>-0.24286677531824627</v>
      </c>
      <c r="O275" s="12"/>
      <c r="P275" s="1">
        <f>SUM(OSRRefP22_21x_0)</f>
        <v>26943.53</v>
      </c>
      <c r="Q275" s="1"/>
      <c r="R275" s="5">
        <f t="shared" ref="R275:R277" si="146">IF(P$12=0,0,P275/P$12)</f>
        <v>3.4623036260761175E-3</v>
      </c>
      <c r="S275" s="1"/>
      <c r="T275" s="1">
        <f>SUM(OSRRefT22_21x_0)</f>
        <v>30581.67</v>
      </c>
      <c r="U275" s="1"/>
      <c r="V275" s="5">
        <f t="shared" ref="V275:V277" si="147">IF(T$12=0,0,T275/T$12)</f>
        <v>2.6675719796419393E-3</v>
      </c>
      <c r="W275" s="1"/>
      <c r="X275" s="1">
        <f t="shared" ref="X275:X277" si="148">+P275-T275</f>
        <v>-3638.1399999999994</v>
      </c>
      <c r="Y275" s="1"/>
      <c r="Z275" s="5">
        <f t="shared" ref="Z275:Z277" si="149">IF(T275=0,0,X275/T275)</f>
        <v>-0.11896472625595658</v>
      </c>
    </row>
    <row r="276" spans="1:26" s="23" customFormat="1" hidden="1" outlineLevel="2" x14ac:dyDescent="0.25">
      <c r="A276" s="27"/>
      <c r="B276" s="10" t="str">
        <f>CONCATENATE("          ", "6303", " - ", "DATA PHONE LINES")</f>
        <v xml:space="preserve">          6303 - DATA PHONE LINES</v>
      </c>
      <c r="C276" s="10"/>
      <c r="D276" s="6"/>
      <c r="E276" s="2"/>
      <c r="F276" s="7">
        <f t="shared" si="142"/>
        <v>0</v>
      </c>
      <c r="G276" s="2"/>
      <c r="H276" s="6">
        <v>590</v>
      </c>
      <c r="I276" s="2"/>
      <c r="J276" s="7">
        <f t="shared" si="143"/>
        <v>1.6426033626262416E-3</v>
      </c>
      <c r="K276" s="2"/>
      <c r="L276" s="6">
        <f t="shared" si="144"/>
        <v>-590</v>
      </c>
      <c r="M276" s="2"/>
      <c r="N276" s="7">
        <f t="shared" si="145"/>
        <v>-1</v>
      </c>
      <c r="O276" s="10"/>
      <c r="P276" s="6">
        <v>3540</v>
      </c>
      <c r="Q276" s="2"/>
      <c r="R276" s="7">
        <f t="shared" si="146"/>
        <v>4.5489788592324232E-4</v>
      </c>
      <c r="S276" s="2"/>
      <c r="T276" s="6">
        <v>2950</v>
      </c>
      <c r="U276" s="2"/>
      <c r="V276" s="7">
        <f t="shared" si="147"/>
        <v>2.5732202786648737E-4</v>
      </c>
      <c r="W276" s="2"/>
      <c r="X276" s="6">
        <f t="shared" si="148"/>
        <v>590</v>
      </c>
      <c r="Y276" s="2"/>
      <c r="Z276" s="7">
        <f t="shared" si="149"/>
        <v>0.2</v>
      </c>
    </row>
    <row r="277" spans="1:26" s="23" customFormat="1" hidden="1" outlineLevel="2" x14ac:dyDescent="0.25">
      <c r="A277" s="27"/>
      <c r="B277" s="10" t="str">
        <f>CONCATENATE("          ", "6309", " - ", "TELEPHONE")</f>
        <v xml:space="preserve">          6309 - TELEPHONE</v>
      </c>
      <c r="C277" s="10"/>
      <c r="D277" s="6">
        <v>2234.5500000000002</v>
      </c>
      <c r="E277" s="2"/>
      <c r="F277" s="7">
        <f t="shared" si="142"/>
        <v>3.4035092967415067E-3</v>
      </c>
      <c r="G277" s="2"/>
      <c r="H277" s="6">
        <v>2361.33</v>
      </c>
      <c r="I277" s="2"/>
      <c r="J277" s="7">
        <f t="shared" si="143"/>
        <v>6.5741162682546152E-3</v>
      </c>
      <c r="K277" s="2"/>
      <c r="L277" s="6">
        <f t="shared" si="144"/>
        <v>-126.77999999999975</v>
      </c>
      <c r="M277" s="2"/>
      <c r="N277" s="7">
        <f t="shared" si="145"/>
        <v>-5.3690081437156076E-2</v>
      </c>
      <c r="O277" s="10"/>
      <c r="P277" s="6">
        <v>23403.53</v>
      </c>
      <c r="Q277" s="2"/>
      <c r="R277" s="7">
        <f t="shared" si="146"/>
        <v>3.0074057401528751E-3</v>
      </c>
      <c r="S277" s="2"/>
      <c r="T277" s="6">
        <v>27631.67</v>
      </c>
      <c r="U277" s="2"/>
      <c r="V277" s="7">
        <f t="shared" si="147"/>
        <v>2.4102499517754516E-3</v>
      </c>
      <c r="W277" s="2"/>
      <c r="X277" s="6">
        <f t="shared" si="148"/>
        <v>-4228.1399999999994</v>
      </c>
      <c r="Y277" s="2"/>
      <c r="Z277" s="7">
        <f t="shared" si="149"/>
        <v>-0.15301789576960059</v>
      </c>
    </row>
    <row r="278" spans="1:26" s="26" customFormat="1" outlineLevel="1" collapsed="1" x14ac:dyDescent="0.25">
      <c r="A278" s="25"/>
      <c r="B278" s="12" t="str">
        <f>CONCATENATE("     ","Training                                          ")</f>
        <v xml:space="preserve">     Training                                          </v>
      </c>
      <c r="C278" s="12"/>
      <c r="D278" s="1">
        <f>SUM(OSRRefD22_22x_0)</f>
        <v>0</v>
      </c>
      <c r="E278" s="1"/>
      <c r="F278" s="5">
        <f t="shared" ref="F278:F283" si="150">IF(D$12=0,0,D278/D$12)</f>
        <v>0</v>
      </c>
      <c r="G278" s="1"/>
      <c r="H278" s="1">
        <f>SUM(OSRRefH22_22x_0)</f>
        <v>2140.13</v>
      </c>
      <c r="I278" s="1"/>
      <c r="J278" s="5">
        <f t="shared" ref="J278:J283" si="151">IF(H$12=0,0,H278/H$12)</f>
        <v>5.9582792109445738E-3</v>
      </c>
      <c r="K278" s="1"/>
      <c r="L278" s="1">
        <f t="shared" ref="L278:L283" si="152">+D278-H278</f>
        <v>-2140.13</v>
      </c>
      <c r="M278" s="1"/>
      <c r="N278" s="5">
        <f t="shared" ref="N278:N283" si="153">IF(H278=0,0,L278/H278)</f>
        <v>-1</v>
      </c>
      <c r="O278" s="12"/>
      <c r="P278" s="1">
        <f>SUM(OSRRefP22_22x_0)</f>
        <v>995.63</v>
      </c>
      <c r="Q278" s="1"/>
      <c r="R278" s="5">
        <f t="shared" ref="R278:R283" si="154">IF(P$12=0,0,P278/P$12)</f>
        <v>1.2794067292705021E-4</v>
      </c>
      <c r="S278" s="1"/>
      <c r="T278" s="1">
        <f>SUM(OSRRefT22_22x_0)</f>
        <v>25732.76</v>
      </c>
      <c r="U278" s="1"/>
      <c r="V278" s="5">
        <f t="shared" ref="V278:V283" si="155">IF(T$12=0,0,T278/T$12)</f>
        <v>2.2446121985768243E-3</v>
      </c>
      <c r="W278" s="1"/>
      <c r="X278" s="1">
        <f t="shared" ref="X278:X283" si="156">+P278-T278</f>
        <v>-24737.129999999997</v>
      </c>
      <c r="Y278" s="1"/>
      <c r="Z278" s="5">
        <f t="shared" ref="Z278:Z283" si="157">IF(T278=0,0,X278/T278)</f>
        <v>-0.96130885299517033</v>
      </c>
    </row>
    <row r="279" spans="1:26" s="23" customFormat="1" hidden="1" outlineLevel="2" x14ac:dyDescent="0.25">
      <c r="A279" s="27"/>
      <c r="B279" s="10" t="str">
        <f>CONCATENATE("          ", "6376", " - ", "TRAINING")</f>
        <v xml:space="preserve">          6376 - TRAINING</v>
      </c>
      <c r="C279" s="10"/>
      <c r="D279" s="6"/>
      <c r="E279" s="2"/>
      <c r="F279" s="7">
        <f t="shared" si="150"/>
        <v>0</v>
      </c>
      <c r="G279" s="2"/>
      <c r="H279" s="6">
        <v>2140.13</v>
      </c>
      <c r="I279" s="2"/>
      <c r="J279" s="7">
        <f t="shared" si="151"/>
        <v>5.9582792109445738E-3</v>
      </c>
      <c r="K279" s="2"/>
      <c r="L279" s="6">
        <f t="shared" si="152"/>
        <v>-2140.13</v>
      </c>
      <c r="M279" s="2"/>
      <c r="N279" s="7">
        <f t="shared" si="153"/>
        <v>-1</v>
      </c>
      <c r="O279" s="10"/>
      <c r="P279" s="6">
        <v>995.63</v>
      </c>
      <c r="Q279" s="2"/>
      <c r="R279" s="7">
        <f t="shared" si="154"/>
        <v>1.2794067292705021E-4</v>
      </c>
      <c r="S279" s="2"/>
      <c r="T279" s="6">
        <v>25732.76</v>
      </c>
      <c r="U279" s="2"/>
      <c r="V279" s="7">
        <f t="shared" si="155"/>
        <v>2.2446121985768243E-3</v>
      </c>
      <c r="W279" s="2"/>
      <c r="X279" s="6">
        <f t="shared" si="156"/>
        <v>-24737.129999999997</v>
      </c>
      <c r="Y279" s="2"/>
      <c r="Z279" s="7">
        <f t="shared" si="157"/>
        <v>-0.96130885299517033</v>
      </c>
    </row>
    <row r="280" spans="1:26" s="26" customFormat="1" outlineLevel="1" collapsed="1" x14ac:dyDescent="0.25">
      <c r="A280" s="25"/>
      <c r="B280" s="12" t="str">
        <f>CONCATENATE("     ","Travel                                            ")</f>
        <v xml:space="preserve">     Travel                                            </v>
      </c>
      <c r="C280" s="12"/>
      <c r="D280" s="1">
        <f>SUM(OSRRefD22_23x_0)</f>
        <v>0</v>
      </c>
      <c r="E280" s="1"/>
      <c r="F280" s="5">
        <f t="shared" si="150"/>
        <v>0</v>
      </c>
      <c r="G280" s="1"/>
      <c r="H280" s="1">
        <f>SUM(OSRRefH22_23x_0)</f>
        <v>0</v>
      </c>
      <c r="I280" s="1"/>
      <c r="J280" s="5">
        <f t="shared" si="151"/>
        <v>0</v>
      </c>
      <c r="K280" s="1"/>
      <c r="L280" s="1">
        <f t="shared" si="152"/>
        <v>0</v>
      </c>
      <c r="M280" s="1"/>
      <c r="N280" s="5">
        <f t="shared" si="153"/>
        <v>0</v>
      </c>
      <c r="O280" s="12"/>
      <c r="P280" s="1">
        <f>SUM(OSRRefP22_23x_0)</f>
        <v>972.4</v>
      </c>
      <c r="Q280" s="1"/>
      <c r="R280" s="5">
        <f t="shared" si="154"/>
        <v>1.2495556617846351E-4</v>
      </c>
      <c r="S280" s="1"/>
      <c r="T280" s="1">
        <f>SUM(OSRRefT22_23x_0)</f>
        <v>1139.73</v>
      </c>
      <c r="U280" s="1"/>
      <c r="V280" s="5">
        <f t="shared" si="155"/>
        <v>9.9416147396702264E-5</v>
      </c>
      <c r="W280" s="1"/>
      <c r="X280" s="1">
        <f t="shared" si="156"/>
        <v>-167.33000000000004</v>
      </c>
      <c r="Y280" s="1"/>
      <c r="Z280" s="5">
        <f t="shared" si="157"/>
        <v>-0.14681547384029553</v>
      </c>
    </row>
    <row r="281" spans="1:26" s="23" customFormat="1" hidden="1" outlineLevel="2" x14ac:dyDescent="0.25">
      <c r="A281" s="27"/>
      <c r="B281" s="10" t="str">
        <f>CONCATENATE("          ", "6292", " - ", "TRAVEL/CONFERENCE")</f>
        <v xml:space="preserve">          6292 - TRAVEL/CONFERENCE</v>
      </c>
      <c r="C281" s="10"/>
      <c r="D281" s="6"/>
      <c r="E281" s="2"/>
      <c r="F281" s="7">
        <f t="shared" si="150"/>
        <v>0</v>
      </c>
      <c r="G281" s="2"/>
      <c r="H281" s="6"/>
      <c r="I281" s="2"/>
      <c r="J281" s="7">
        <f t="shared" si="151"/>
        <v>0</v>
      </c>
      <c r="K281" s="2"/>
      <c r="L281" s="6">
        <f t="shared" si="152"/>
        <v>0</v>
      </c>
      <c r="M281" s="2"/>
      <c r="N281" s="7">
        <f t="shared" si="153"/>
        <v>0</v>
      </c>
      <c r="O281" s="10"/>
      <c r="P281" s="6">
        <v>299.16000000000003</v>
      </c>
      <c r="Q281" s="2"/>
      <c r="R281" s="7">
        <f t="shared" si="154"/>
        <v>3.8442726427343838E-5</v>
      </c>
      <c r="S281" s="2"/>
      <c r="T281" s="6">
        <v>326.60000000000002</v>
      </c>
      <c r="U281" s="2"/>
      <c r="V281" s="7">
        <f t="shared" si="155"/>
        <v>2.8488601458032131E-5</v>
      </c>
      <c r="W281" s="2"/>
      <c r="X281" s="6">
        <f t="shared" si="156"/>
        <v>-27.439999999999998</v>
      </c>
      <c r="Y281" s="2"/>
      <c r="Z281" s="7">
        <f t="shared" si="157"/>
        <v>-8.4017146356399258E-2</v>
      </c>
    </row>
    <row r="282" spans="1:26" s="23" customFormat="1" hidden="1" outlineLevel="2" x14ac:dyDescent="0.25">
      <c r="A282" s="27"/>
      <c r="B282" s="10" t="str">
        <f>CONCATENATE("          ", "6294", " - ", "TRAVEL OPERATIONAL")</f>
        <v xml:space="preserve">          6294 - TRAVEL OPERATIONAL</v>
      </c>
      <c r="C282" s="10"/>
      <c r="D282" s="6"/>
      <c r="E282" s="2"/>
      <c r="F282" s="7">
        <f t="shared" si="150"/>
        <v>0</v>
      </c>
      <c r="G282" s="2"/>
      <c r="H282" s="6"/>
      <c r="I282" s="2"/>
      <c r="J282" s="7">
        <f t="shared" si="151"/>
        <v>0</v>
      </c>
      <c r="K282" s="2"/>
      <c r="L282" s="6">
        <f t="shared" si="152"/>
        <v>0</v>
      </c>
      <c r="M282" s="2"/>
      <c r="N282" s="7">
        <f t="shared" si="153"/>
        <v>0</v>
      </c>
      <c r="O282" s="10"/>
      <c r="P282" s="6">
        <v>613.35</v>
      </c>
      <c r="Q282" s="2"/>
      <c r="R282" s="7">
        <f t="shared" si="154"/>
        <v>7.8816841336446514E-5</v>
      </c>
      <c r="S282" s="2"/>
      <c r="T282" s="6">
        <v>361.61</v>
      </c>
      <c r="U282" s="2"/>
      <c r="V282" s="7">
        <f t="shared" si="155"/>
        <v>3.154244694806797E-5</v>
      </c>
      <c r="W282" s="2"/>
      <c r="X282" s="6">
        <f t="shared" si="156"/>
        <v>251.74</v>
      </c>
      <c r="Y282" s="2"/>
      <c r="Z282" s="7">
        <f t="shared" si="157"/>
        <v>0.69616437598517744</v>
      </c>
    </row>
    <row r="283" spans="1:26" s="23" customFormat="1" hidden="1" outlineLevel="2" x14ac:dyDescent="0.25">
      <c r="A283" s="27"/>
      <c r="B283" s="10" t="str">
        <f>CONCATENATE("          ", "6298", " - ", "VEHICLE MILEAGE")</f>
        <v xml:space="preserve">          6298 - VEHICLE MILEAGE</v>
      </c>
      <c r="C283" s="10"/>
      <c r="D283" s="6"/>
      <c r="E283" s="2"/>
      <c r="F283" s="7">
        <f t="shared" si="150"/>
        <v>0</v>
      </c>
      <c r="G283" s="2"/>
      <c r="H283" s="6"/>
      <c r="I283" s="2"/>
      <c r="J283" s="7">
        <f t="shared" si="151"/>
        <v>0</v>
      </c>
      <c r="K283" s="2"/>
      <c r="L283" s="6">
        <f t="shared" si="152"/>
        <v>0</v>
      </c>
      <c r="M283" s="2"/>
      <c r="N283" s="7">
        <f t="shared" si="153"/>
        <v>0</v>
      </c>
      <c r="O283" s="10"/>
      <c r="P283" s="6">
        <v>59.89</v>
      </c>
      <c r="Q283" s="2"/>
      <c r="R283" s="7">
        <f t="shared" si="154"/>
        <v>7.6959984146731583E-6</v>
      </c>
      <c r="S283" s="2"/>
      <c r="T283" s="6">
        <v>451.52</v>
      </c>
      <c r="U283" s="2"/>
      <c r="V283" s="7">
        <f t="shared" si="155"/>
        <v>3.9385098990602163E-5</v>
      </c>
      <c r="W283" s="2"/>
      <c r="X283" s="6">
        <f t="shared" si="156"/>
        <v>-391.63</v>
      </c>
      <c r="Y283" s="2"/>
      <c r="Z283" s="7">
        <f t="shared" si="157"/>
        <v>-0.86735914245216161</v>
      </c>
    </row>
    <row r="284" spans="1:26" s="26" customFormat="1" outlineLevel="1" collapsed="1" x14ac:dyDescent="0.25">
      <c r="A284" s="25"/>
      <c r="B284" s="12" t="str">
        <f>CONCATENATE("     ","Utilities                                         ")</f>
        <v xml:space="preserve">     Utilities                                         </v>
      </c>
      <c r="C284" s="12"/>
      <c r="D284" s="1">
        <f>SUM(OSRRefD22_24x_0)</f>
        <v>6162.9</v>
      </c>
      <c r="E284" s="1"/>
      <c r="F284" s="5">
        <f t="shared" ref="F284:F285" si="158">IF(D$12=0,0,D284/D$12)</f>
        <v>9.3868955471518769E-3</v>
      </c>
      <c r="G284" s="1"/>
      <c r="H284" s="1">
        <f>SUM(OSRRefH22_24x_0)</f>
        <v>6159.43</v>
      </c>
      <c r="I284" s="1"/>
      <c r="J284" s="5">
        <f t="shared" ref="J284:J285" si="159">IF(H$12=0,0,H284/H$12)</f>
        <v>1.7148305813323647E-2</v>
      </c>
      <c r="K284" s="1"/>
      <c r="L284" s="1">
        <f t="shared" ref="L284:L285" si="160">+D284-H284</f>
        <v>3.4699999999993452</v>
      </c>
      <c r="M284" s="1"/>
      <c r="N284" s="5">
        <f t="shared" ref="N284:N285" si="161">IF(H284=0,0,L284/H284)</f>
        <v>5.6336381775575742E-4</v>
      </c>
      <c r="O284" s="12"/>
      <c r="P284" s="1">
        <f>SUM(OSRRefP22_24x_0)</f>
        <v>64842.45</v>
      </c>
      <c r="Q284" s="1"/>
      <c r="R284" s="5">
        <f t="shared" ref="R284:R285" si="162">IF(P$12=0,0,P284/P$12)</f>
        <v>8.3323992720574971E-3</v>
      </c>
      <c r="S284" s="1"/>
      <c r="T284" s="1">
        <f>SUM(OSRRefT22_24x_0)</f>
        <v>65364.78</v>
      </c>
      <c r="U284" s="1"/>
      <c r="V284" s="5">
        <f t="shared" ref="V284:V285" si="163">IF(T$12=0,0,T284/T$12)</f>
        <v>5.7016263527616328E-3</v>
      </c>
      <c r="W284" s="1"/>
      <c r="X284" s="1">
        <f t="shared" ref="X284:X285" si="164">+P284-T284</f>
        <v>-522.33000000000175</v>
      </c>
      <c r="Y284" s="1"/>
      <c r="Z284" s="5">
        <f t="shared" ref="Z284:Z285" si="165">IF(T284=0,0,X284/T284)</f>
        <v>-7.9910006581526277E-3</v>
      </c>
    </row>
    <row r="285" spans="1:26" s="23" customFormat="1" hidden="1" outlineLevel="2" x14ac:dyDescent="0.25">
      <c r="A285" s="27"/>
      <c r="B285" s="10" t="str">
        <f>CONCATENATE("          ", "6274", " - ", "UTILITIES")</f>
        <v xml:space="preserve">          6274 - UTILITIES</v>
      </c>
      <c r="C285" s="10"/>
      <c r="D285" s="6">
        <v>6162.9</v>
      </c>
      <c r="E285" s="2"/>
      <c r="F285" s="7">
        <f t="shared" si="158"/>
        <v>9.3868955471518769E-3</v>
      </c>
      <c r="G285" s="2"/>
      <c r="H285" s="6">
        <v>6159.43</v>
      </c>
      <c r="I285" s="2"/>
      <c r="J285" s="7">
        <f t="shared" si="159"/>
        <v>1.7148305813323647E-2</v>
      </c>
      <c r="K285" s="2"/>
      <c r="L285" s="6">
        <f t="shared" si="160"/>
        <v>3.4699999999993452</v>
      </c>
      <c r="M285" s="2"/>
      <c r="N285" s="7">
        <f t="shared" si="161"/>
        <v>5.6336381775575742E-4</v>
      </c>
      <c r="O285" s="10"/>
      <c r="P285" s="6">
        <v>64842.45</v>
      </c>
      <c r="Q285" s="2"/>
      <c r="R285" s="7">
        <f t="shared" si="162"/>
        <v>8.3323992720574971E-3</v>
      </c>
      <c r="S285" s="2"/>
      <c r="T285" s="6">
        <v>65364.78</v>
      </c>
      <c r="U285" s="2"/>
      <c r="V285" s="7">
        <f t="shared" si="163"/>
        <v>5.7016263527616328E-3</v>
      </c>
      <c r="W285" s="2"/>
      <c r="X285" s="6">
        <f t="shared" si="164"/>
        <v>-522.33000000000175</v>
      </c>
      <c r="Y285" s="2"/>
      <c r="Z285" s="7">
        <f t="shared" si="165"/>
        <v>-7.9910006581526277E-3</v>
      </c>
    </row>
    <row r="286" spans="1:26" s="57" customFormat="1" x14ac:dyDescent="0.25">
      <c r="A286" s="37"/>
      <c r="B286" s="37"/>
      <c r="C286" s="37"/>
      <c r="D286" s="1"/>
      <c r="E286" s="1"/>
      <c r="F286" s="5"/>
      <c r="G286" s="1"/>
      <c r="H286" s="1"/>
      <c r="I286" s="1"/>
      <c r="J286" s="5"/>
      <c r="K286" s="1"/>
      <c r="L286" s="1"/>
      <c r="M286" s="1"/>
      <c r="N286" s="5"/>
      <c r="O286" s="37"/>
      <c r="P286" s="1"/>
      <c r="Q286" s="1"/>
      <c r="R286" s="5"/>
      <c r="S286" s="1"/>
      <c r="T286" s="1"/>
      <c r="U286" s="1"/>
      <c r="V286" s="5"/>
      <c r="W286" s="1"/>
      <c r="X286" s="1"/>
      <c r="Y286" s="1"/>
      <c r="Z286" s="5"/>
    </row>
    <row r="287" spans="1:26" s="24" customFormat="1" collapsed="1" x14ac:dyDescent="0.25">
      <c r="A287" s="11"/>
      <c r="B287" s="29" t="s">
        <v>292</v>
      </c>
      <c r="C287" s="11"/>
      <c r="D287" s="4">
        <f>SUM(OSRRefD25x_0)</f>
        <v>60395.18</v>
      </c>
      <c r="E287" s="4"/>
      <c r="F287" s="13">
        <f t="shared" ref="F287:F299" si="166">IF(D$12=0,0,D287/D$12)</f>
        <v>9.198968768135718E-2</v>
      </c>
      <c r="G287" s="4"/>
      <c r="H287" s="4">
        <f>SUM(OSRRefH25x_0)</f>
        <v>107782.36</v>
      </c>
      <c r="I287" s="4"/>
      <c r="J287" s="13">
        <f t="shared" ref="J287:J299" si="167">IF(H$12=0,0,H287/H$12)</f>
        <v>0.30007401180981713</v>
      </c>
      <c r="K287" s="4"/>
      <c r="L287" s="4">
        <f t="shared" ref="L287:L299" si="168">+D287-H287</f>
        <v>-47387.18</v>
      </c>
      <c r="M287" s="4"/>
      <c r="N287" s="13">
        <f t="shared" ref="N287:N299" si="169">IF(H287=0,0,L287/H287)</f>
        <v>-0.43965617379318844</v>
      </c>
      <c r="O287" s="11"/>
      <c r="P287" s="4">
        <f>SUM(OSRRefP25x_0)</f>
        <v>1057124.6099999999</v>
      </c>
      <c r="Q287" s="4"/>
      <c r="R287" s="13">
        <f t="shared" ref="R287:R299" si="170">IF(P$12=0,0,P287/P$12)</f>
        <v>0.13584286730125197</v>
      </c>
      <c r="S287" s="4"/>
      <c r="T287" s="4">
        <f>SUM(OSRRefT25x_0)</f>
        <v>1182467.73</v>
      </c>
      <c r="U287" s="4"/>
      <c r="V287" s="13">
        <f t="shared" ref="V287:V299" si="171">IF(T$12=0,0,T287/T$12)</f>
        <v>0.1031440658204346</v>
      </c>
      <c r="W287" s="4"/>
      <c r="X287" s="4">
        <f t="shared" ref="X287:X299" si="172">+P287-T287</f>
        <v>-125343.12000000011</v>
      </c>
      <c r="Y287" s="4"/>
      <c r="Z287" s="13">
        <f t="shared" ref="Z287:Z299" si="173">IF(T287=0,0,X287/T287)</f>
        <v>-0.10600130288544966</v>
      </c>
    </row>
    <row r="288" spans="1:26" s="23" customFormat="1" hidden="1" outlineLevel="1" x14ac:dyDescent="0.25">
      <c r="A288" s="44"/>
      <c r="B288" s="10" t="str">
        <f>CONCATENATE("          ", "4098", " - ", "TAXABLE SALES-GRAD RENTALS")</f>
        <v xml:space="preserve">          4098 - TAXABLE SALES-GRAD RENTALS</v>
      </c>
      <c r="C288" s="10"/>
      <c r="D288" s="2">
        <f>0</f>
        <v>0</v>
      </c>
      <c r="E288" s="2"/>
      <c r="F288" s="19">
        <f t="shared" si="166"/>
        <v>0</v>
      </c>
      <c r="G288" s="2"/>
      <c r="H288" s="2">
        <f>-152</f>
        <v>-152</v>
      </c>
      <c r="I288" s="2"/>
      <c r="J288" s="19">
        <f t="shared" si="167"/>
        <v>-4.2317917138845549E-4</v>
      </c>
      <c r="K288" s="2"/>
      <c r="L288" s="2">
        <f t="shared" si="168"/>
        <v>152</v>
      </c>
      <c r="M288" s="2"/>
      <c r="N288" s="19">
        <f t="shared" si="169"/>
        <v>-1</v>
      </c>
      <c r="O288" s="10"/>
      <c r="P288" s="2">
        <f>--49.95</f>
        <v>49.95</v>
      </c>
      <c r="Q288" s="2"/>
      <c r="R288" s="19">
        <f t="shared" si="170"/>
        <v>6.4186862717135464E-6</v>
      </c>
      <c r="S288" s="2"/>
      <c r="T288" s="2">
        <f>--1946.85</f>
        <v>1946.85</v>
      </c>
      <c r="U288" s="2"/>
      <c r="V288" s="19">
        <f t="shared" si="171"/>
        <v>1.6981945422097321E-4</v>
      </c>
      <c r="W288" s="2"/>
      <c r="X288" s="2">
        <f t="shared" si="172"/>
        <v>-1896.8999999999999</v>
      </c>
      <c r="Y288" s="2"/>
      <c r="Z288" s="19">
        <f t="shared" si="173"/>
        <v>-0.97434316973572688</v>
      </c>
    </row>
    <row r="289" spans="1:26" s="23" customFormat="1" hidden="1" outlineLevel="1" x14ac:dyDescent="0.25">
      <c r="A289" s="44"/>
      <c r="B289" s="10" t="str">
        <f>CONCATENATE("          ", "4187", " - ", "NON-TAXABLE SALES-COMPUTER REP")</f>
        <v xml:space="preserve">          4187 - NON-TAXABLE SALES-COMPUTER REP</v>
      </c>
      <c r="C289" s="10"/>
      <c r="D289" s="2">
        <f>--264.48</f>
        <v>264.48</v>
      </c>
      <c r="E289" s="2"/>
      <c r="F289" s="19">
        <f t="shared" si="166"/>
        <v>4.0283732241489054E-4</v>
      </c>
      <c r="G289" s="2"/>
      <c r="H289" s="2">
        <f>--99.99</f>
        <v>99.99</v>
      </c>
      <c r="I289" s="2"/>
      <c r="J289" s="19">
        <f t="shared" si="167"/>
        <v>2.783795088627083E-4</v>
      </c>
      <c r="K289" s="2"/>
      <c r="L289" s="2">
        <f t="shared" si="168"/>
        <v>164.49</v>
      </c>
      <c r="M289" s="2"/>
      <c r="N289" s="19">
        <f t="shared" si="169"/>
        <v>1.6450645064506453</v>
      </c>
      <c r="O289" s="10"/>
      <c r="P289" s="2">
        <f>--3580.44</f>
        <v>3580.44</v>
      </c>
      <c r="Q289" s="2"/>
      <c r="R289" s="19">
        <f t="shared" si="170"/>
        <v>4.6009451600989088E-4</v>
      </c>
      <c r="S289" s="2"/>
      <c r="T289" s="2">
        <f>--16283.19</f>
        <v>16283.19</v>
      </c>
      <c r="U289" s="2"/>
      <c r="V289" s="19">
        <f t="shared" si="171"/>
        <v>1.4203469393001046E-3</v>
      </c>
      <c r="W289" s="2"/>
      <c r="X289" s="2">
        <f t="shared" si="172"/>
        <v>-12702.75</v>
      </c>
      <c r="Y289" s="2"/>
      <c r="Z289" s="19">
        <f t="shared" si="173"/>
        <v>-0.78011433877514169</v>
      </c>
    </row>
    <row r="290" spans="1:26" s="23" customFormat="1" hidden="1" outlineLevel="1" x14ac:dyDescent="0.25">
      <c r="A290" s="44"/>
      <c r="B290" s="10" t="str">
        <f>CONCATENATE("          ", "4197", " - ", "NON-TAXABLE SALES-RETURNED CHE")</f>
        <v xml:space="preserve">          4197 - NON-TAXABLE SALES-RETURNED CHE</v>
      </c>
      <c r="C290" s="10"/>
      <c r="D290" s="2">
        <f t="shared" ref="D290:D293" si="174">0</f>
        <v>0</v>
      </c>
      <c r="E290" s="2"/>
      <c r="F290" s="19">
        <f t="shared" si="166"/>
        <v>0</v>
      </c>
      <c r="G290" s="2"/>
      <c r="H290" s="2">
        <f>0</f>
        <v>0</v>
      </c>
      <c r="I290" s="2"/>
      <c r="J290" s="19">
        <f t="shared" si="167"/>
        <v>0</v>
      </c>
      <c r="K290" s="2"/>
      <c r="L290" s="2">
        <f t="shared" si="168"/>
        <v>0</v>
      </c>
      <c r="M290" s="2"/>
      <c r="N290" s="19">
        <f t="shared" si="169"/>
        <v>0</v>
      </c>
      <c r="O290" s="10"/>
      <c r="P290" s="2">
        <f t="shared" ref="P290:P293" si="175">0</f>
        <v>0</v>
      </c>
      <c r="Q290" s="2"/>
      <c r="R290" s="19">
        <f t="shared" si="170"/>
        <v>0</v>
      </c>
      <c r="S290" s="2"/>
      <c r="T290" s="2">
        <f>--30</f>
        <v>30</v>
      </c>
      <c r="U290" s="2"/>
      <c r="V290" s="19">
        <f t="shared" si="171"/>
        <v>2.6168341816930918E-6</v>
      </c>
      <c r="W290" s="2"/>
      <c r="X290" s="2">
        <f t="shared" si="172"/>
        <v>-30</v>
      </c>
      <c r="Y290" s="2"/>
      <c r="Z290" s="19">
        <f t="shared" si="173"/>
        <v>-1</v>
      </c>
    </row>
    <row r="291" spans="1:26" s="23" customFormat="1" hidden="1" outlineLevel="1" x14ac:dyDescent="0.25">
      <c r="A291" s="44"/>
      <c r="B291" s="10" t="str">
        <f>CONCATENATE("          ", "4198", " - ", "NON-TAXABLE SALES-GRAD RENTALS")</f>
        <v xml:space="preserve">          4198 - NON-TAXABLE SALES-GRAD RENTALS</v>
      </c>
      <c r="C291" s="10"/>
      <c r="D291" s="2">
        <f t="shared" si="174"/>
        <v>0</v>
      </c>
      <c r="E291" s="2"/>
      <c r="F291" s="19">
        <f t="shared" si="166"/>
        <v>0</v>
      </c>
      <c r="G291" s="2"/>
      <c r="H291" s="2">
        <f>-3469.7</f>
        <v>-3469.7</v>
      </c>
      <c r="I291" s="2"/>
      <c r="J291" s="19">
        <f t="shared" si="167"/>
        <v>-9.6598998089902893E-3</v>
      </c>
      <c r="K291" s="2"/>
      <c r="L291" s="2">
        <f t="shared" si="168"/>
        <v>3469.7</v>
      </c>
      <c r="M291" s="2"/>
      <c r="N291" s="19">
        <f t="shared" si="169"/>
        <v>-1</v>
      </c>
      <c r="O291" s="10"/>
      <c r="P291" s="2">
        <f t="shared" si="175"/>
        <v>0</v>
      </c>
      <c r="Q291" s="2"/>
      <c r="R291" s="19">
        <f t="shared" si="170"/>
        <v>0</v>
      </c>
      <c r="S291" s="2"/>
      <c r="T291" s="2">
        <f>--163.76</f>
        <v>163.76</v>
      </c>
      <c r="U291" s="2"/>
      <c r="V291" s="19">
        <f t="shared" si="171"/>
        <v>1.4284425519802024E-5</v>
      </c>
      <c r="W291" s="2"/>
      <c r="X291" s="2">
        <f t="shared" si="172"/>
        <v>-163.76</v>
      </c>
      <c r="Y291" s="2"/>
      <c r="Z291" s="19">
        <f t="shared" si="173"/>
        <v>-1</v>
      </c>
    </row>
    <row r="292" spans="1:26" s="23" customFormat="1" hidden="1" outlineLevel="1" x14ac:dyDescent="0.25">
      <c r="A292" s="44"/>
      <c r="B292" s="10" t="str">
        <f>CONCATENATE("          ", "4387", " - ", "SALES RETURN NON TAXABLE-COMPU")</f>
        <v xml:space="preserve">          4387 - SALES RETURN NON TAXABLE-COMPU</v>
      </c>
      <c r="C292" s="10"/>
      <c r="D292" s="2">
        <f t="shared" si="174"/>
        <v>0</v>
      </c>
      <c r="E292" s="2"/>
      <c r="F292" s="19">
        <f t="shared" si="166"/>
        <v>0</v>
      </c>
      <c r="G292" s="2"/>
      <c r="H292" s="2">
        <f>0</f>
        <v>0</v>
      </c>
      <c r="I292" s="2"/>
      <c r="J292" s="19">
        <f t="shared" si="167"/>
        <v>0</v>
      </c>
      <c r="K292" s="2"/>
      <c r="L292" s="2">
        <f t="shared" si="168"/>
        <v>0</v>
      </c>
      <c r="M292" s="2"/>
      <c r="N292" s="19">
        <f t="shared" si="169"/>
        <v>0</v>
      </c>
      <c r="O292" s="10"/>
      <c r="P292" s="2">
        <f t="shared" si="175"/>
        <v>0</v>
      </c>
      <c r="Q292" s="2"/>
      <c r="R292" s="19">
        <f t="shared" si="170"/>
        <v>0</v>
      </c>
      <c r="S292" s="2"/>
      <c r="T292" s="2">
        <f>-7889</f>
        <v>-7889</v>
      </c>
      <c r="U292" s="2"/>
      <c r="V292" s="19">
        <f t="shared" si="171"/>
        <v>-6.8814016197922675E-4</v>
      </c>
      <c r="W292" s="2"/>
      <c r="X292" s="2">
        <f t="shared" si="172"/>
        <v>7889</v>
      </c>
      <c r="Y292" s="2"/>
      <c r="Z292" s="19">
        <f t="shared" si="173"/>
        <v>-1</v>
      </c>
    </row>
    <row r="293" spans="1:26" s="23" customFormat="1" hidden="1" outlineLevel="1" x14ac:dyDescent="0.25">
      <c r="A293" s="44"/>
      <c r="B293" s="10" t="str">
        <f>CONCATENATE("          ", "5087", " - ", "PURCHASES @ COST-COMPUTER REPA")</f>
        <v xml:space="preserve">          5087 - PURCHASES @ COST-COMPUTER REPA</v>
      </c>
      <c r="C293" s="10"/>
      <c r="D293" s="2">
        <f t="shared" si="174"/>
        <v>0</v>
      </c>
      <c r="E293" s="2"/>
      <c r="F293" s="19">
        <f t="shared" si="166"/>
        <v>0</v>
      </c>
      <c r="G293" s="2"/>
      <c r="H293" s="2">
        <f>--32.7</f>
        <v>32.700000000000003</v>
      </c>
      <c r="I293" s="2"/>
      <c r="J293" s="19">
        <f t="shared" si="167"/>
        <v>9.1039203318437465E-5</v>
      </c>
      <c r="K293" s="2"/>
      <c r="L293" s="2">
        <f t="shared" si="168"/>
        <v>-32.700000000000003</v>
      </c>
      <c r="M293" s="2"/>
      <c r="N293" s="19">
        <f t="shared" si="169"/>
        <v>-1</v>
      </c>
      <c r="O293" s="10"/>
      <c r="P293" s="2">
        <f t="shared" si="175"/>
        <v>0</v>
      </c>
      <c r="Q293" s="2"/>
      <c r="R293" s="19">
        <f t="shared" si="170"/>
        <v>0</v>
      </c>
      <c r="S293" s="2"/>
      <c r="T293" s="2">
        <f>-72.06</f>
        <v>-72.06</v>
      </c>
      <c r="U293" s="2"/>
      <c r="V293" s="19">
        <f t="shared" si="171"/>
        <v>-6.2856357044268067E-6</v>
      </c>
      <c r="W293" s="2"/>
      <c r="X293" s="2">
        <f t="shared" si="172"/>
        <v>72.06</v>
      </c>
      <c r="Y293" s="2"/>
      <c r="Z293" s="19">
        <f t="shared" si="173"/>
        <v>-1</v>
      </c>
    </row>
    <row r="294" spans="1:26" s="23" customFormat="1" hidden="1" outlineLevel="1" x14ac:dyDescent="0.25">
      <c r="A294" s="44"/>
      <c r="B294" s="10" t="str">
        <f>CONCATENATE("          ", "9150", " - ", "MISC. INCOME")</f>
        <v xml:space="preserve">          9150 - MISC. INCOME</v>
      </c>
      <c r="C294" s="10"/>
      <c r="D294" s="2">
        <f>--56832.63</f>
        <v>56832.63</v>
      </c>
      <c r="E294" s="2"/>
      <c r="F294" s="19">
        <f t="shared" si="166"/>
        <v>8.6563462246658271E-2</v>
      </c>
      <c r="G294" s="2"/>
      <c r="H294" s="2">
        <f>--47845.19</f>
        <v>47845.19</v>
      </c>
      <c r="I294" s="2"/>
      <c r="J294" s="19">
        <f t="shared" si="167"/>
        <v>0.13320452538896854</v>
      </c>
      <c r="K294" s="2"/>
      <c r="L294" s="2">
        <f t="shared" si="168"/>
        <v>8987.4399999999951</v>
      </c>
      <c r="M294" s="2"/>
      <c r="N294" s="19">
        <f t="shared" si="169"/>
        <v>0.18784416991551281</v>
      </c>
      <c r="O294" s="10"/>
      <c r="P294" s="2">
        <f>--403872.63</f>
        <v>403872.63</v>
      </c>
      <c r="Q294" s="2"/>
      <c r="R294" s="19">
        <f t="shared" si="170"/>
        <v>5.1898532646683572E-2</v>
      </c>
      <c r="S294" s="2"/>
      <c r="T294" s="2">
        <f>--481078.56</f>
        <v>481078.56</v>
      </c>
      <c r="U294" s="2"/>
      <c r="V294" s="19">
        <f t="shared" si="171"/>
        <v>4.19634273295897E-2</v>
      </c>
      <c r="W294" s="2"/>
      <c r="X294" s="2">
        <f t="shared" si="172"/>
        <v>-77205.929999999993</v>
      </c>
      <c r="Y294" s="2"/>
      <c r="Z294" s="19">
        <f t="shared" si="173"/>
        <v>-0.16048507753078831</v>
      </c>
    </row>
    <row r="295" spans="1:26" s="23" customFormat="1" hidden="1" outlineLevel="1" x14ac:dyDescent="0.25">
      <c r="A295" s="44"/>
      <c r="B295" s="10" t="str">
        <f>CONCATENATE("          ", "9151", " - ", "MISC. INCOME")</f>
        <v xml:space="preserve">          9151 - MISC. INCOME</v>
      </c>
      <c r="C295" s="10"/>
      <c r="D295" s="2">
        <f>0</f>
        <v>0</v>
      </c>
      <c r="E295" s="2"/>
      <c r="F295" s="19">
        <f t="shared" si="166"/>
        <v>0</v>
      </c>
      <c r="G295" s="2"/>
      <c r="H295" s="2">
        <f>0</f>
        <v>0</v>
      </c>
      <c r="I295" s="2"/>
      <c r="J295" s="19">
        <f t="shared" si="167"/>
        <v>0</v>
      </c>
      <c r="K295" s="2"/>
      <c r="L295" s="2">
        <f t="shared" si="168"/>
        <v>0</v>
      </c>
      <c r="M295" s="2"/>
      <c r="N295" s="19">
        <f t="shared" si="169"/>
        <v>0</v>
      </c>
      <c r="O295" s="10"/>
      <c r="P295" s="2">
        <f>--295628.46</f>
        <v>295628.46000000002</v>
      </c>
      <c r="Q295" s="2"/>
      <c r="R295" s="19">
        <f t="shared" si="170"/>
        <v>3.7988915670266611E-2</v>
      </c>
      <c r="S295" s="2"/>
      <c r="T295" s="2">
        <f>--169392.7</f>
        <v>169392.7</v>
      </c>
      <c r="U295" s="2"/>
      <c r="V295" s="19">
        <f t="shared" si="171"/>
        <v>1.4775753582976114E-2</v>
      </c>
      <c r="W295" s="2"/>
      <c r="X295" s="2">
        <f t="shared" si="172"/>
        <v>126235.76000000001</v>
      </c>
      <c r="Y295" s="2"/>
      <c r="Z295" s="19">
        <f t="shared" si="173"/>
        <v>0.7452255026338207</v>
      </c>
    </row>
    <row r="296" spans="1:26" s="23" customFormat="1" hidden="1" outlineLevel="1" x14ac:dyDescent="0.25">
      <c r="A296" s="44"/>
      <c r="B296" s="10" t="str">
        <f>CONCATENATE("          ", "9152", " - ", "MISC. INCOME")</f>
        <v xml:space="preserve">          9152 - MISC. INCOME</v>
      </c>
      <c r="C296" s="10"/>
      <c r="D296" s="2">
        <f>--1436.07</f>
        <v>1436.07</v>
      </c>
      <c r="E296" s="2"/>
      <c r="F296" s="19">
        <f t="shared" si="166"/>
        <v>2.1873207562021772E-3</v>
      </c>
      <c r="G296" s="2"/>
      <c r="H296" s="2">
        <f>--5092.84</f>
        <v>5092.84</v>
      </c>
      <c r="I296" s="2"/>
      <c r="J296" s="19">
        <f t="shared" si="167"/>
        <v>1.4178840863249879E-2</v>
      </c>
      <c r="K296" s="2"/>
      <c r="L296" s="2">
        <f t="shared" si="168"/>
        <v>-3656.7700000000004</v>
      </c>
      <c r="M296" s="2"/>
      <c r="N296" s="19">
        <f t="shared" si="169"/>
        <v>-0.71802177174228921</v>
      </c>
      <c r="O296" s="10"/>
      <c r="P296" s="2">
        <f>--5652.57</f>
        <v>5652.57</v>
      </c>
      <c r="Q296" s="2"/>
      <c r="R296" s="19">
        <f t="shared" si="170"/>
        <v>7.2636783701501178E-4</v>
      </c>
      <c r="S296" s="2"/>
      <c r="T296" s="2">
        <f>--9874.89</f>
        <v>9874.89</v>
      </c>
      <c r="U296" s="2"/>
      <c r="V296" s="19">
        <f t="shared" si="171"/>
        <v>8.6136498974864317E-4</v>
      </c>
      <c r="W296" s="2"/>
      <c r="X296" s="2">
        <f t="shared" si="172"/>
        <v>-4222.32</v>
      </c>
      <c r="Y296" s="2"/>
      <c r="Z296" s="19">
        <f t="shared" si="173"/>
        <v>-0.42758147179360984</v>
      </c>
    </row>
    <row r="297" spans="1:26" s="23" customFormat="1" hidden="1" outlineLevel="1" x14ac:dyDescent="0.25">
      <c r="A297" s="44"/>
      <c r="B297" s="10" t="str">
        <f>CONCATENATE("          ", "9153", " - ", "MISC. INCOME")</f>
        <v xml:space="preserve">          9153 - MISC. INCOME</v>
      </c>
      <c r="C297" s="10"/>
      <c r="D297" s="2">
        <f t="shared" ref="D297:D298" si="176">0</f>
        <v>0</v>
      </c>
      <c r="E297" s="2"/>
      <c r="F297" s="19">
        <f t="shared" si="166"/>
        <v>0</v>
      </c>
      <c r="G297" s="2"/>
      <c r="H297" s="2">
        <f t="shared" ref="H297:H298" si="177">0</f>
        <v>0</v>
      </c>
      <c r="I297" s="2"/>
      <c r="J297" s="19">
        <f t="shared" si="167"/>
        <v>0</v>
      </c>
      <c r="K297" s="2"/>
      <c r="L297" s="2">
        <f t="shared" si="168"/>
        <v>0</v>
      </c>
      <c r="M297" s="2"/>
      <c r="N297" s="19">
        <f t="shared" si="169"/>
        <v>0</v>
      </c>
      <c r="O297" s="10"/>
      <c r="P297" s="2">
        <f t="shared" ref="P297:P298" si="178">0</f>
        <v>0</v>
      </c>
      <c r="Q297" s="2"/>
      <c r="R297" s="19">
        <f t="shared" si="170"/>
        <v>0</v>
      </c>
      <c r="S297" s="2"/>
      <c r="T297" s="2">
        <f>--450</f>
        <v>450</v>
      </c>
      <c r="U297" s="2"/>
      <c r="V297" s="19">
        <f t="shared" si="171"/>
        <v>3.9252512725396377E-5</v>
      </c>
      <c r="W297" s="2"/>
      <c r="X297" s="2">
        <f t="shared" si="172"/>
        <v>-450</v>
      </c>
      <c r="Y297" s="2"/>
      <c r="Z297" s="19">
        <f t="shared" si="173"/>
        <v>-1</v>
      </c>
    </row>
    <row r="298" spans="1:26" s="23" customFormat="1" hidden="1" outlineLevel="1" x14ac:dyDescent="0.25">
      <c r="A298" s="44"/>
      <c r="B298" s="10" t="str">
        <f>CONCATENATE("          ", "9160", " - ", "MISC. INCOME")</f>
        <v xml:space="preserve">          9160 - MISC. INCOME</v>
      </c>
      <c r="C298" s="10"/>
      <c r="D298" s="2">
        <f t="shared" si="176"/>
        <v>0</v>
      </c>
      <c r="E298" s="2"/>
      <c r="F298" s="19">
        <f t="shared" si="166"/>
        <v>0</v>
      </c>
      <c r="G298" s="2"/>
      <c r="H298" s="2">
        <f t="shared" si="177"/>
        <v>0</v>
      </c>
      <c r="I298" s="2"/>
      <c r="J298" s="19">
        <f t="shared" si="167"/>
        <v>0</v>
      </c>
      <c r="K298" s="2"/>
      <c r="L298" s="2">
        <f t="shared" si="168"/>
        <v>0</v>
      </c>
      <c r="M298" s="2"/>
      <c r="N298" s="19">
        <f t="shared" si="169"/>
        <v>0</v>
      </c>
      <c r="O298" s="10"/>
      <c r="P298" s="2">
        <f t="shared" si="178"/>
        <v>0</v>
      </c>
      <c r="Q298" s="2"/>
      <c r="R298" s="19">
        <f t="shared" si="170"/>
        <v>0</v>
      </c>
      <c r="S298" s="2"/>
      <c r="T298" s="2">
        <f>--22475</f>
        <v>22475</v>
      </c>
      <c r="U298" s="2"/>
      <c r="V298" s="19">
        <f t="shared" si="171"/>
        <v>1.960444941118408E-3</v>
      </c>
      <c r="W298" s="2"/>
      <c r="X298" s="2">
        <f t="shared" si="172"/>
        <v>-22475</v>
      </c>
      <c r="Y298" s="2"/>
      <c r="Z298" s="19">
        <f t="shared" si="173"/>
        <v>-1</v>
      </c>
    </row>
    <row r="299" spans="1:26" s="23" customFormat="1" hidden="1" outlineLevel="1" x14ac:dyDescent="0.25">
      <c r="A299" s="44"/>
      <c r="B299" s="10" t="str">
        <f>CONCATENATE("          ", "9163", " - ", "MISC. INCOME")</f>
        <v xml:space="preserve">          9163 - MISC. INCOME</v>
      </c>
      <c r="C299" s="10"/>
      <c r="D299" s="2">
        <f>--1862</f>
        <v>1862</v>
      </c>
      <c r="E299" s="2"/>
      <c r="F299" s="19">
        <f t="shared" si="166"/>
        <v>2.836067356081844E-3</v>
      </c>
      <c r="G299" s="2"/>
      <c r="H299" s="2">
        <f>--58333.34</f>
        <v>58333.34</v>
      </c>
      <c r="I299" s="2"/>
      <c r="J299" s="19">
        <f t="shared" si="167"/>
        <v>0.16240430582579635</v>
      </c>
      <c r="K299" s="2"/>
      <c r="L299" s="2">
        <f t="shared" si="168"/>
        <v>-56471.34</v>
      </c>
      <c r="M299" s="2"/>
      <c r="N299" s="19">
        <f t="shared" si="169"/>
        <v>-0.96808000364799962</v>
      </c>
      <c r="O299" s="10"/>
      <c r="P299" s="2">
        <f>--348340.56</f>
        <v>348340.56</v>
      </c>
      <c r="Q299" s="2"/>
      <c r="R299" s="19">
        <f t="shared" si="170"/>
        <v>4.4762537945005183E-2</v>
      </c>
      <c r="S299" s="2"/>
      <c r="T299" s="2">
        <f>--488733.84</f>
        <v>488733.84</v>
      </c>
      <c r="U299" s="2"/>
      <c r="V299" s="19">
        <f t="shared" si="171"/>
        <v>4.2631180608737419E-2</v>
      </c>
      <c r="W299" s="2"/>
      <c r="X299" s="2">
        <f t="shared" si="172"/>
        <v>-140393.28000000003</v>
      </c>
      <c r="Y299" s="2"/>
      <c r="Z299" s="19">
        <f t="shared" si="173"/>
        <v>-0.28725917566911269</v>
      </c>
    </row>
    <row r="300" spans="1:26" x14ac:dyDescent="0.25">
      <c r="A300" s="9"/>
      <c r="B300" s="11"/>
      <c r="C300" s="11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1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4" customFormat="1" x14ac:dyDescent="0.25">
      <c r="A301" s="11"/>
      <c r="B301" s="28" t="s">
        <v>276</v>
      </c>
      <c r="C301" s="28"/>
      <c r="D301" s="20">
        <f>+D192-D194+D287</f>
        <v>167277.21999999971</v>
      </c>
      <c r="E301" s="14"/>
      <c r="F301" s="21">
        <f>IF(D$12=0,0,D301/D$12)</f>
        <v>0.25478488886042971</v>
      </c>
      <c r="G301" s="14"/>
      <c r="H301" s="20">
        <f>+H192-H194+H287</f>
        <v>-37188.920000000173</v>
      </c>
      <c r="I301" s="14"/>
      <c r="J301" s="21">
        <f>IF(H$12=0,0,H301/H$12)</f>
        <v>-0.10353668651599758</v>
      </c>
      <c r="K301" s="15"/>
      <c r="L301" s="20">
        <f>+D301-H301</f>
        <v>204466.1399999999</v>
      </c>
      <c r="M301" s="15"/>
      <c r="N301" s="21">
        <f>IF(H301=0,0,L301/H301)</f>
        <v>-5.498039200923257</v>
      </c>
      <c r="O301" s="29"/>
      <c r="P301" s="20">
        <f>+P192-P194+P287</f>
        <v>335309.94999999693</v>
      </c>
      <c r="Q301" s="14"/>
      <c r="R301" s="21">
        <f>IF(P$12=0,0,P301/P$12)</f>
        <v>4.3088075532210925E-2</v>
      </c>
      <c r="S301" s="14"/>
      <c r="T301" s="20">
        <f>+T192-T194+T287</f>
        <v>1171213.2900000066</v>
      </c>
      <c r="U301" s="14"/>
      <c r="V301" s="21">
        <f>IF(T$12=0,0,T301/T$12)</f>
        <v>0.10216236571084138</v>
      </c>
      <c r="W301" s="15"/>
      <c r="X301" s="20">
        <f>+P301-T301</f>
        <v>-835903.34000000963</v>
      </c>
      <c r="Y301" s="15"/>
      <c r="Z301" s="21">
        <f>IF(T301=0,0,X301/T301)</f>
        <v>-0.71370718479467132</v>
      </c>
    </row>
    <row r="302" spans="1:26" x14ac:dyDescent="0.25">
      <c r="A302" s="9"/>
      <c r="B302" s="11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4" customFormat="1" x14ac:dyDescent="0.25">
      <c r="A303" s="51"/>
      <c r="B303" s="11" t="s">
        <v>127</v>
      </c>
      <c r="C303" s="11"/>
      <c r="D303" s="4">
        <v>172264.93</v>
      </c>
      <c r="E303" s="4"/>
      <c r="F303" s="13">
        <f>IF(D$12=0,0,D303/D$12)</f>
        <v>0.26238181770715568</v>
      </c>
      <c r="G303" s="4"/>
      <c r="H303" s="4">
        <v>96702.44</v>
      </c>
      <c r="I303" s="4"/>
      <c r="J303" s="13">
        <f>IF(H$12=0,0,H303/H$12)</f>
        <v>0.26922670020027523</v>
      </c>
      <c r="K303" s="4"/>
      <c r="L303" s="4">
        <f>+D303-H303</f>
        <v>75562.489999999991</v>
      </c>
      <c r="M303" s="4"/>
      <c r="N303" s="13">
        <f>IF(H303=0,0,L303/H303)</f>
        <v>0.78139176219338402</v>
      </c>
      <c r="O303" s="11"/>
      <c r="P303" s="4">
        <v>1662932.41</v>
      </c>
      <c r="Q303" s="4"/>
      <c r="R303" s="13">
        <f>IF(P$12=0,0,P303/P$12)</f>
        <v>0.21369051913622666</v>
      </c>
      <c r="S303" s="4"/>
      <c r="T303" s="4">
        <v>1357601.2</v>
      </c>
      <c r="U303" s="4"/>
      <c r="V303" s="13">
        <f>IF(T$12=0,0,T303/T$12)</f>
        <v>0.11842057417558532</v>
      </c>
      <c r="W303" s="4"/>
      <c r="X303" s="4">
        <f>+P303-T303</f>
        <v>305331.20999999996</v>
      </c>
      <c r="Y303" s="4"/>
      <c r="Z303" s="13">
        <f>IF(T303=0,0,X303/T303)</f>
        <v>0.22490493526375785</v>
      </c>
    </row>
    <row r="304" spans="1:26" x14ac:dyDescent="0.25">
      <c r="A304" s="9"/>
      <c r="B304" s="11"/>
      <c r="C304" s="11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1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4" customFormat="1" ht="15.75" thickBot="1" x14ac:dyDescent="0.3">
      <c r="A305" s="11"/>
      <c r="B305" s="28" t="s">
        <v>125</v>
      </c>
      <c r="C305" s="28"/>
      <c r="D305" s="35">
        <f>+D301-D303</f>
        <v>-4987.7100000002829</v>
      </c>
      <c r="E305" s="14"/>
      <c r="F305" s="36">
        <f>IF(D$12=0,0,D305/D$12)</f>
        <v>-7.5969288467259812E-3</v>
      </c>
      <c r="G305" s="14"/>
      <c r="H305" s="35">
        <f>+H301-H303</f>
        <v>-133891.36000000016</v>
      </c>
      <c r="I305" s="14"/>
      <c r="J305" s="36">
        <f>IF(H$12=0,0,H305/H$12)</f>
        <v>-0.37276338671627274</v>
      </c>
      <c r="K305" s="15"/>
      <c r="L305" s="35">
        <f>D305-H305</f>
        <v>128903.64999999988</v>
      </c>
      <c r="M305" s="15"/>
      <c r="N305" s="36">
        <f>IF(H305=0,0,L305/H305)</f>
        <v>-0.96274808172834847</v>
      </c>
      <c r="O305" s="29"/>
      <c r="P305" s="35">
        <f>+P301-P303</f>
        <v>-1327622.460000003</v>
      </c>
      <c r="Q305" s="14"/>
      <c r="R305" s="36">
        <f>IF(P$12=0,0,P305/P$12)</f>
        <v>-0.17060244360401572</v>
      </c>
      <c r="S305" s="14"/>
      <c r="T305" s="35">
        <f>+T301-T303</f>
        <v>-186387.9099999934</v>
      </c>
      <c r="U305" s="14"/>
      <c r="V305" s="36">
        <f>IF(T$12=0,0,T305/T$12)</f>
        <v>-1.6258208464743948E-2</v>
      </c>
      <c r="W305" s="15"/>
      <c r="X305" s="35">
        <f>P305-T305</f>
        <v>-1141234.5500000096</v>
      </c>
      <c r="Y305" s="15"/>
      <c r="Z305" s="36">
        <f>IF(T305=0,0,X305/T305)</f>
        <v>6.1229000850969895</v>
      </c>
    </row>
    <row r="306" spans="1:26" ht="15.75" thickTop="1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x14ac:dyDescent="0.25">
      <c r="A307" s="9"/>
      <c r="B307" s="9"/>
      <c r="C307" s="9"/>
      <c r="D307" s="3"/>
      <c r="E307" s="3"/>
      <c r="F307" s="8"/>
      <c r="G307" s="3"/>
      <c r="H307" s="3"/>
      <c r="I307" s="3"/>
      <c r="J307" s="8"/>
      <c r="K307" s="3"/>
      <c r="L307" s="3"/>
      <c r="M307" s="3"/>
      <c r="N307" s="8"/>
      <c r="P307" s="3"/>
      <c r="Q307" s="3"/>
      <c r="R307" s="8"/>
      <c r="S307" s="3"/>
      <c r="T307" s="3"/>
      <c r="U307" s="3"/>
      <c r="V307" s="8"/>
      <c r="W307" s="3"/>
      <c r="X307" s="3"/>
      <c r="Y307" s="3"/>
      <c r="Z307" s="8"/>
    </row>
    <row r="308" spans="1:26" s="24" customFormat="1" ht="15.75" thickBot="1" x14ac:dyDescent="0.3">
      <c r="A308" s="11"/>
      <c r="B308" s="28" t="s">
        <v>293</v>
      </c>
      <c r="C308" s="28"/>
      <c r="D308" s="30">
        <f>SUM(D305:D307)</f>
        <v>-4987.7100000002829</v>
      </c>
      <c r="E308" s="14"/>
      <c r="F308" s="31">
        <f>IF(D$12=0,0,D308/D$12)</f>
        <v>-7.5969288467259812E-3</v>
      </c>
      <c r="G308" s="14"/>
      <c r="H308" s="30">
        <f>SUM(H305:H307)</f>
        <v>-133891.36000000016</v>
      </c>
      <c r="I308" s="14"/>
      <c r="J308" s="31">
        <f>IF(H$12=0,0,H308/H$12)</f>
        <v>-0.37276338671627274</v>
      </c>
      <c r="K308" s="15"/>
      <c r="L308" s="30">
        <f>+D308-H308</f>
        <v>128903.64999999988</v>
      </c>
      <c r="M308" s="15"/>
      <c r="N308" s="31">
        <f>IF(H308=0,0,L308/H308)</f>
        <v>-0.96274808172834847</v>
      </c>
      <c r="O308" s="29"/>
      <c r="P308" s="30">
        <f>SUM(P305:P307)</f>
        <v>-1327622.460000003</v>
      </c>
      <c r="Q308" s="14"/>
      <c r="R308" s="31">
        <f>IF(P$12=0,0,P308/P$12)</f>
        <v>-0.17060244360401572</v>
      </c>
      <c r="S308" s="14"/>
      <c r="T308" s="30">
        <f>SUM(T305:T307)</f>
        <v>-186387.9099999934</v>
      </c>
      <c r="U308" s="14"/>
      <c r="V308" s="31">
        <f>IF(T$12=0,0,T308/T$12)</f>
        <v>-1.6258208464743948E-2</v>
      </c>
      <c r="W308" s="15"/>
      <c r="X308" s="30">
        <f>+P308-T308</f>
        <v>-1141234.5500000096</v>
      </c>
      <c r="Y308" s="15"/>
      <c r="Z308" s="31">
        <f>IF(T308=0,0,X308/T308)</f>
        <v>6.1229000850969895</v>
      </c>
    </row>
    <row r="309" spans="1:26" ht="15.75" thickTop="1" x14ac:dyDescent="0.25">
      <c r="A309" s="9"/>
      <c r="C309" s="9"/>
      <c r="D309" s="18"/>
      <c r="E309" s="18"/>
      <c r="G309" s="18"/>
      <c r="H309" s="18"/>
      <c r="I309" s="18"/>
      <c r="J309" s="42"/>
      <c r="K309" s="18"/>
      <c r="L309" s="18"/>
      <c r="M309" s="18"/>
      <c r="P309" s="18"/>
      <c r="Q309" s="18"/>
      <c r="R309" s="42"/>
      <c r="S309" s="18"/>
      <c r="T309" s="18"/>
      <c r="U309" s="18"/>
      <c r="V309" s="42"/>
      <c r="W309" s="18"/>
      <c r="X309" s="18"/>
    </row>
    <row r="310" spans="1:26" x14ac:dyDescent="0.25">
      <c r="A310" s="9"/>
      <c r="B310" s="59">
        <v>44356.893333067128</v>
      </c>
      <c r="D310" s="18"/>
      <c r="E310" s="18"/>
      <c r="G310" s="18"/>
      <c r="H310" s="18"/>
      <c r="I310" s="18"/>
      <c r="J310" s="42"/>
      <c r="K310" s="18"/>
      <c r="L310" s="18"/>
      <c r="M310" s="18"/>
      <c r="P310" s="18"/>
      <c r="Q310" s="18"/>
      <c r="R310" s="42"/>
      <c r="S310" s="18"/>
      <c r="T310" s="18"/>
      <c r="U310" s="18"/>
      <c r="V310" s="42"/>
      <c r="W310" s="18"/>
      <c r="X310" s="18"/>
    </row>
    <row r="311" spans="1:26" x14ac:dyDescent="0.25">
      <c r="A311" s="9"/>
      <c r="B311" s="52" t="s">
        <v>56</v>
      </c>
      <c r="D311" s="18"/>
      <c r="E311" s="18"/>
      <c r="G311" s="18"/>
      <c r="H311" s="18"/>
      <c r="I311" s="18"/>
      <c r="J311" s="42"/>
      <c r="K311" s="18"/>
      <c r="L311" s="18"/>
      <c r="M311" s="18"/>
      <c r="P311" s="18"/>
      <c r="Q311" s="18"/>
      <c r="R311" s="42"/>
      <c r="S311" s="18"/>
      <c r="T311" s="18"/>
      <c r="U311" s="18"/>
      <c r="V311" s="42"/>
      <c r="W311" s="18"/>
      <c r="X311" s="18"/>
    </row>
    <row r="312" spans="1:26" x14ac:dyDescent="0.25">
      <c r="A312" s="9"/>
      <c r="B312" s="54"/>
      <c r="D312" s="18"/>
      <c r="E312" s="18"/>
      <c r="G312" s="18"/>
      <c r="H312" s="18"/>
      <c r="I312" s="18"/>
      <c r="J312" s="42"/>
      <c r="K312" s="18"/>
      <c r="L312" s="18"/>
      <c r="M312" s="18"/>
      <c r="P312" s="18"/>
      <c r="Q312" s="18"/>
      <c r="R312" s="42"/>
      <c r="S312" s="18"/>
      <c r="T312" s="18"/>
      <c r="U312" s="18"/>
      <c r="V312" s="42"/>
      <c r="W312" s="18"/>
      <c r="X312" s="18"/>
    </row>
    <row r="313" spans="1:26" x14ac:dyDescent="0.25">
      <c r="D313" s="18"/>
      <c r="E313" s="18"/>
      <c r="G313" s="18"/>
      <c r="H313" s="18"/>
      <c r="I313" s="18"/>
      <c r="J313" s="42"/>
      <c r="K313" s="18"/>
      <c r="L313" s="18"/>
      <c r="M313" s="18"/>
      <c r="P313" s="18"/>
      <c r="Q313" s="18"/>
      <c r="R313" s="42"/>
      <c r="S313" s="18"/>
      <c r="T313" s="18"/>
      <c r="U313" s="18"/>
      <c r="V313" s="42"/>
      <c r="W313" s="18"/>
      <c r="X31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9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0</v>
      </c>
      <c r="Y14" s="4"/>
      <c r="Z14" s="13">
        <f t="shared" ref="Z14:Z15" si="7">IF(T14=0,0,X14/T14)</f>
        <v>0</v>
      </c>
    </row>
    <row r="15" spans="1:26" s="23" customFormat="1" hidden="1" outlineLevel="1" x14ac:dyDescent="0.25">
      <c r="A15" s="44"/>
      <c r="B15" s="10" t="str">
        <f>CONCATENATE("          ", "5501", " - ", "FREIGHT-IN-NEW TEXT")</f>
        <v xml:space="preserve">          5501 - FREIGHT-IN-NEW TEXT</v>
      </c>
      <c r="C15" s="10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P12-P14</f>
        <v>0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5"/>
      <c r="X17" s="20">
        <f>+P17-T17</f>
        <v>0</v>
      </c>
      <c r="Y17" s="15"/>
      <c r="Z17" s="21">
        <f>IF(T17=0,0,X17/T17)</f>
        <v>0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2">
        <f>SUM(OSRRefD22x_0)</f>
        <v>107231.39999999998</v>
      </c>
      <c r="E19" s="22"/>
      <c r="F19" s="32">
        <f t="shared" ref="F19:F30" si="8">IF(D$12=0,0,D19/D$12)</f>
        <v>0</v>
      </c>
      <c r="G19" s="22"/>
      <c r="H19" s="22">
        <f>SUM(OSRRefH22x_0)</f>
        <v>64106.86</v>
      </c>
      <c r="I19" s="22"/>
      <c r="J19" s="32">
        <f t="shared" ref="J19:J30" si="9">IF(H$12=0,0,H19/H$12)</f>
        <v>0</v>
      </c>
      <c r="K19" s="4"/>
      <c r="L19" s="22">
        <f t="shared" ref="L19:L30" si="10">+D19-H19</f>
        <v>43124.539999999979</v>
      </c>
      <c r="M19" s="4"/>
      <c r="N19" s="32">
        <f t="shared" ref="N19:N30" si="11">IF(H19=0,0,L19/H19)</f>
        <v>0.67269774248808911</v>
      </c>
      <c r="O19" s="11"/>
      <c r="P19" s="22">
        <f>SUM(OSRRefP22x_0)</f>
        <v>1308870.2499999998</v>
      </c>
      <c r="Q19" s="22"/>
      <c r="R19" s="32">
        <f t="shared" ref="R19:R30" si="12">IF(P$12=0,0,P19/P$12)</f>
        <v>0</v>
      </c>
      <c r="S19" s="22"/>
      <c r="T19" s="22">
        <f>SUM(OSRRefT22x_0)</f>
        <v>1218275.7199999997</v>
      </c>
      <c r="U19" s="22"/>
      <c r="V19" s="32">
        <f t="shared" ref="V19:V30" si="13">IF(T$12=0,0,T19/T$12)</f>
        <v>0</v>
      </c>
      <c r="W19" s="4"/>
      <c r="X19" s="22">
        <f t="shared" ref="X19:X30" si="14">+P19-T19</f>
        <v>90594.530000000028</v>
      </c>
      <c r="Y19" s="4"/>
      <c r="Z19" s="32">
        <f t="shared" ref="Z19:Z30" si="15">IF(T19=0,0,X19/T19)</f>
        <v>7.4362911870229212E-2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12885.14</v>
      </c>
      <c r="E20" s="1"/>
      <c r="F20" s="5">
        <f t="shared" si="8"/>
        <v>0</v>
      </c>
      <c r="G20" s="1"/>
      <c r="H20" s="1">
        <f>SUM(OSRRefH22_0x_0)</f>
        <v>2146.6800000000003</v>
      </c>
      <c r="I20" s="1"/>
      <c r="J20" s="5">
        <f t="shared" si="9"/>
        <v>0</v>
      </c>
      <c r="K20" s="1"/>
      <c r="L20" s="1">
        <f t="shared" si="10"/>
        <v>10738.46</v>
      </c>
      <c r="M20" s="1"/>
      <c r="N20" s="5">
        <f t="shared" si="11"/>
        <v>5.0023571282165937</v>
      </c>
      <c r="O20" s="12"/>
      <c r="P20" s="1">
        <f>SUM(OSRRefP22_0x_0)</f>
        <v>111211.62999999999</v>
      </c>
      <c r="Q20" s="1"/>
      <c r="R20" s="5">
        <f t="shared" si="12"/>
        <v>0</v>
      </c>
      <c r="S20" s="1"/>
      <c r="T20" s="1">
        <f>SUM(OSRRefT22_0x_0)</f>
        <v>96063.859999999986</v>
      </c>
      <c r="U20" s="1"/>
      <c r="V20" s="5">
        <f t="shared" si="13"/>
        <v>0</v>
      </c>
      <c r="W20" s="1"/>
      <c r="X20" s="1">
        <f t="shared" si="14"/>
        <v>15147.770000000004</v>
      </c>
      <c r="Y20" s="1"/>
      <c r="Z20" s="5">
        <f t="shared" si="15"/>
        <v>0.15768437787113704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2204.5</v>
      </c>
      <c r="E21" s="2"/>
      <c r="F21" s="7">
        <f t="shared" si="8"/>
        <v>0</v>
      </c>
      <c r="G21" s="2"/>
      <c r="H21" s="6">
        <v>287.33999999999997</v>
      </c>
      <c r="I21" s="2"/>
      <c r="J21" s="7">
        <f t="shared" si="9"/>
        <v>0</v>
      </c>
      <c r="K21" s="2"/>
      <c r="L21" s="6">
        <f t="shared" si="10"/>
        <v>1917.16</v>
      </c>
      <c r="M21" s="2"/>
      <c r="N21" s="7">
        <f t="shared" si="11"/>
        <v>6.6720957750400229</v>
      </c>
      <c r="O21" s="10"/>
      <c r="P21" s="6">
        <v>25467.3</v>
      </c>
      <c r="Q21" s="2"/>
      <c r="R21" s="7">
        <f t="shared" si="12"/>
        <v>0</v>
      </c>
      <c r="S21" s="2"/>
      <c r="T21" s="6">
        <v>24641.03</v>
      </c>
      <c r="U21" s="2"/>
      <c r="V21" s="7">
        <f t="shared" si="13"/>
        <v>0</v>
      </c>
      <c r="W21" s="2"/>
      <c r="X21" s="6">
        <f t="shared" si="14"/>
        <v>826.27000000000044</v>
      </c>
      <c r="Y21" s="2"/>
      <c r="Z21" s="7">
        <f t="shared" si="15"/>
        <v>3.3532283350168418E-2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932.61</v>
      </c>
      <c r="E22" s="2"/>
      <c r="F22" s="7">
        <f t="shared" si="8"/>
        <v>0</v>
      </c>
      <c r="G22" s="2"/>
      <c r="H22" s="6">
        <v>19.16</v>
      </c>
      <c r="I22" s="2"/>
      <c r="J22" s="7">
        <f t="shared" si="9"/>
        <v>0</v>
      </c>
      <c r="K22" s="2"/>
      <c r="L22" s="6">
        <f t="shared" si="10"/>
        <v>913.45</v>
      </c>
      <c r="M22" s="2"/>
      <c r="N22" s="7">
        <f t="shared" si="11"/>
        <v>47.674843423799587</v>
      </c>
      <c r="O22" s="10"/>
      <c r="P22" s="6">
        <v>7806.66</v>
      </c>
      <c r="Q22" s="2"/>
      <c r="R22" s="7">
        <f t="shared" si="12"/>
        <v>0</v>
      </c>
      <c r="S22" s="2"/>
      <c r="T22" s="6">
        <v>6252.19</v>
      </c>
      <c r="U22" s="2"/>
      <c r="V22" s="7">
        <f t="shared" si="13"/>
        <v>0</v>
      </c>
      <c r="W22" s="2"/>
      <c r="X22" s="6">
        <f t="shared" si="14"/>
        <v>1554.4700000000003</v>
      </c>
      <c r="Y22" s="2"/>
      <c r="Z22" s="7">
        <f t="shared" si="15"/>
        <v>0.24862808072051559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5096.28</v>
      </c>
      <c r="E23" s="2"/>
      <c r="F23" s="7">
        <f t="shared" si="8"/>
        <v>0</v>
      </c>
      <c r="G23" s="2"/>
      <c r="H23" s="6">
        <v>905.2</v>
      </c>
      <c r="I23" s="2"/>
      <c r="J23" s="7">
        <f t="shared" si="9"/>
        <v>0</v>
      </c>
      <c r="K23" s="2"/>
      <c r="L23" s="6">
        <f t="shared" si="10"/>
        <v>4191.08</v>
      </c>
      <c r="M23" s="2"/>
      <c r="N23" s="7">
        <f t="shared" si="11"/>
        <v>4.6300044189129475</v>
      </c>
      <c r="O23" s="10"/>
      <c r="P23" s="6">
        <v>35333.129999999997</v>
      </c>
      <c r="Q23" s="2"/>
      <c r="R23" s="7">
        <f t="shared" si="12"/>
        <v>0</v>
      </c>
      <c r="S23" s="2"/>
      <c r="T23" s="6">
        <v>38789.5</v>
      </c>
      <c r="U23" s="2"/>
      <c r="V23" s="7">
        <f t="shared" si="13"/>
        <v>0</v>
      </c>
      <c r="W23" s="2"/>
      <c r="X23" s="6">
        <f t="shared" si="14"/>
        <v>-3456.3700000000026</v>
      </c>
      <c r="Y23" s="2"/>
      <c r="Z23" s="7">
        <f t="shared" si="15"/>
        <v>-8.9105814717900536E-2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144.46</v>
      </c>
      <c r="E24" s="2"/>
      <c r="F24" s="7">
        <f t="shared" si="8"/>
        <v>0</v>
      </c>
      <c r="G24" s="2"/>
      <c r="H24" s="6">
        <v>14.65</v>
      </c>
      <c r="I24" s="2"/>
      <c r="J24" s="7">
        <f t="shared" si="9"/>
        <v>0</v>
      </c>
      <c r="K24" s="2"/>
      <c r="L24" s="6">
        <f t="shared" si="10"/>
        <v>129.81</v>
      </c>
      <c r="M24" s="2"/>
      <c r="N24" s="7">
        <f t="shared" si="11"/>
        <v>8.8607508532423207</v>
      </c>
      <c r="O24" s="10"/>
      <c r="P24" s="6">
        <v>1213.46</v>
      </c>
      <c r="Q24" s="2"/>
      <c r="R24" s="7">
        <f t="shared" si="12"/>
        <v>0</v>
      </c>
      <c r="S24" s="2"/>
      <c r="T24" s="6">
        <v>1316.72</v>
      </c>
      <c r="U24" s="2"/>
      <c r="V24" s="7">
        <f t="shared" si="13"/>
        <v>0</v>
      </c>
      <c r="W24" s="2"/>
      <c r="X24" s="6">
        <f t="shared" si="14"/>
        <v>-103.25999999999999</v>
      </c>
      <c r="Y24" s="2"/>
      <c r="Z24" s="7">
        <f t="shared" si="15"/>
        <v>-7.8422139862689103E-2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1040.94</v>
      </c>
      <c r="E25" s="2"/>
      <c r="F25" s="7">
        <f t="shared" si="8"/>
        <v>0</v>
      </c>
      <c r="G25" s="2"/>
      <c r="H25" s="6">
        <v>390.79</v>
      </c>
      <c r="I25" s="2"/>
      <c r="J25" s="7">
        <f t="shared" si="9"/>
        <v>0</v>
      </c>
      <c r="K25" s="2"/>
      <c r="L25" s="6">
        <f t="shared" si="10"/>
        <v>650.15000000000009</v>
      </c>
      <c r="M25" s="2"/>
      <c r="N25" s="7">
        <f t="shared" si="11"/>
        <v>1.6636812610353389</v>
      </c>
      <c r="O25" s="10"/>
      <c r="P25" s="6">
        <v>13603.8</v>
      </c>
      <c r="Q25" s="2"/>
      <c r="R25" s="7">
        <f t="shared" si="12"/>
        <v>0</v>
      </c>
      <c r="S25" s="2"/>
      <c r="T25" s="6">
        <v>20851.21</v>
      </c>
      <c r="U25" s="2"/>
      <c r="V25" s="7">
        <f t="shared" si="13"/>
        <v>0</v>
      </c>
      <c r="W25" s="2"/>
      <c r="X25" s="6">
        <f t="shared" si="14"/>
        <v>-7247.41</v>
      </c>
      <c r="Y25" s="2"/>
      <c r="Z25" s="7">
        <f t="shared" si="15"/>
        <v>-0.34757743075821501</v>
      </c>
    </row>
    <row r="26" spans="1:26" s="23" customFormat="1" hidden="1" outlineLevel="2" x14ac:dyDescent="0.25">
      <c r="A26" s="27"/>
      <c r="B26" s="10" t="str">
        <f>CONCATENATE("          ", "6116", " - ", "EDUCATIONAL BENEFITS")</f>
        <v xml:space="preserve">          6116 - EDUCATIONAL BENEFITS</v>
      </c>
      <c r="C26" s="10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0"/>
      <c r="P26" s="6">
        <v>401.9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401.9</v>
      </c>
      <c r="Y26" s="2"/>
      <c r="Z26" s="7">
        <f t="shared" si="15"/>
        <v>0</v>
      </c>
    </row>
    <row r="27" spans="1:26" s="23" customFormat="1" hidden="1" outlineLevel="2" x14ac:dyDescent="0.25">
      <c r="A27" s="27"/>
      <c r="B27" s="10" t="str">
        <f>CONCATENATE("          ", "6117", " - ", "RETIREMENT STAFF HOURLY")</f>
        <v xml:space="preserve">          6117 - RETIREMENT STAFF HOURLY</v>
      </c>
      <c r="C27" s="10"/>
      <c r="D27" s="6">
        <v>231.77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231.77</v>
      </c>
      <c r="M27" s="2"/>
      <c r="N27" s="7">
        <f t="shared" si="11"/>
        <v>0</v>
      </c>
      <c r="O27" s="10"/>
      <c r="P27" s="6">
        <v>1236.92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1236.92</v>
      </c>
      <c r="Y27" s="2"/>
      <c r="Z27" s="7">
        <f t="shared" si="15"/>
        <v>0</v>
      </c>
    </row>
    <row r="28" spans="1:26" s="23" customFormat="1" hidden="1" outlineLevel="2" x14ac:dyDescent="0.25">
      <c r="A28" s="27"/>
      <c r="B28" s="10" t="str">
        <f>CONCATENATE("          ", "6118", " - ", "VACATION")</f>
        <v xml:space="preserve">          6118 - VACATION</v>
      </c>
      <c r="C28" s="10"/>
      <c r="D28" s="6">
        <v>1196.98</v>
      </c>
      <c r="E28" s="2"/>
      <c r="F28" s="7">
        <f t="shared" si="8"/>
        <v>0</v>
      </c>
      <c r="G28" s="2"/>
      <c r="H28" s="6">
        <v>353.19</v>
      </c>
      <c r="I28" s="2"/>
      <c r="J28" s="7">
        <f t="shared" si="9"/>
        <v>0</v>
      </c>
      <c r="K28" s="2"/>
      <c r="L28" s="6">
        <f t="shared" si="10"/>
        <v>843.79</v>
      </c>
      <c r="M28" s="2"/>
      <c r="N28" s="7">
        <f t="shared" si="11"/>
        <v>2.3890540502279225</v>
      </c>
      <c r="O28" s="10"/>
      <c r="P28" s="6">
        <v>13398.4</v>
      </c>
      <c r="Q28" s="2"/>
      <c r="R28" s="7">
        <f t="shared" si="12"/>
        <v>0</v>
      </c>
      <c r="S28" s="2"/>
      <c r="T28" s="6">
        <v>15769.71</v>
      </c>
      <c r="U28" s="2"/>
      <c r="V28" s="7">
        <f t="shared" si="13"/>
        <v>0</v>
      </c>
      <c r="W28" s="2"/>
      <c r="X28" s="6">
        <f t="shared" si="14"/>
        <v>-2371.3099999999995</v>
      </c>
      <c r="Y28" s="2"/>
      <c r="Z28" s="7">
        <f t="shared" si="15"/>
        <v>-0.15037118628053397</v>
      </c>
    </row>
    <row r="29" spans="1:26" s="23" customFormat="1" hidden="1" outlineLevel="2" x14ac:dyDescent="0.25">
      <c r="A29" s="27"/>
      <c r="B29" s="10" t="str">
        <f>CONCATENATE("          ", "6119", " - ", "SICK LEAVE")</f>
        <v xml:space="preserve">          6119 - SICK LEAVE</v>
      </c>
      <c r="C29" s="10"/>
      <c r="D29" s="6">
        <v>1695.27</v>
      </c>
      <c r="E29" s="2"/>
      <c r="F29" s="7">
        <f t="shared" si="8"/>
        <v>0</v>
      </c>
      <c r="G29" s="2"/>
      <c r="H29" s="6">
        <v>176.35</v>
      </c>
      <c r="I29" s="2"/>
      <c r="J29" s="7">
        <f t="shared" si="9"/>
        <v>0</v>
      </c>
      <c r="K29" s="2"/>
      <c r="L29" s="6">
        <f t="shared" si="10"/>
        <v>1518.92</v>
      </c>
      <c r="M29" s="2"/>
      <c r="N29" s="7">
        <f t="shared" si="11"/>
        <v>8.6130989509498157</v>
      </c>
      <c r="O29" s="10"/>
      <c r="P29" s="6">
        <v>10310.33</v>
      </c>
      <c r="Q29" s="2"/>
      <c r="R29" s="7">
        <f t="shared" si="12"/>
        <v>0</v>
      </c>
      <c r="S29" s="2"/>
      <c r="T29" s="6">
        <v>-14549.11</v>
      </c>
      <c r="U29" s="2"/>
      <c r="V29" s="7">
        <f t="shared" si="13"/>
        <v>0</v>
      </c>
      <c r="W29" s="2"/>
      <c r="X29" s="6">
        <f t="shared" si="14"/>
        <v>24859.440000000002</v>
      </c>
      <c r="Y29" s="2"/>
      <c r="Z29" s="7">
        <f t="shared" si="15"/>
        <v>-1.7086570931142868</v>
      </c>
    </row>
    <row r="30" spans="1:26" s="23" customFormat="1" hidden="1" outlineLevel="2" x14ac:dyDescent="0.25">
      <c r="A30" s="27"/>
      <c r="B30" s="10" t="str">
        <f>CONCATENATE("          ", "6156", " - ", "EMPLOYEE MEALS")</f>
        <v xml:space="preserve">          6156 - EMPLOYEE MEALS</v>
      </c>
      <c r="C30" s="10"/>
      <c r="D30" s="6">
        <v>342.33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342.33</v>
      </c>
      <c r="M30" s="2"/>
      <c r="N30" s="7">
        <f t="shared" si="11"/>
        <v>0</v>
      </c>
      <c r="O30" s="10"/>
      <c r="P30" s="6">
        <v>2439.73</v>
      </c>
      <c r="Q30" s="2"/>
      <c r="R30" s="7">
        <f t="shared" si="12"/>
        <v>0</v>
      </c>
      <c r="S30" s="2"/>
      <c r="T30" s="6">
        <v>2992.61</v>
      </c>
      <c r="U30" s="2"/>
      <c r="V30" s="7">
        <f t="shared" si="13"/>
        <v>0</v>
      </c>
      <c r="W30" s="2"/>
      <c r="X30" s="6">
        <f t="shared" si="14"/>
        <v>-552.88000000000011</v>
      </c>
      <c r="Y30" s="2"/>
      <c r="Z30" s="7">
        <f t="shared" si="15"/>
        <v>-0.18474843029997229</v>
      </c>
    </row>
    <row r="31" spans="1:26" s="26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36886.210000000006</v>
      </c>
      <c r="E31" s="1"/>
      <c r="F31" s="5">
        <f t="shared" ref="F31:F38" si="16">IF(D$12=0,0,D31/D$12)</f>
        <v>0</v>
      </c>
      <c r="G31" s="1"/>
      <c r="H31" s="1">
        <f>SUM(OSRRefH22_1x_0)</f>
        <v>3823.4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33062.810000000005</v>
      </c>
      <c r="M31" s="1"/>
      <c r="N31" s="5">
        <f t="shared" ref="N31:N38" si="19">IF(H31=0,0,L31/H31)</f>
        <v>8.6474891457864747</v>
      </c>
      <c r="O31" s="12"/>
      <c r="P31" s="1">
        <f>SUM(OSRRefP22_1x_0)</f>
        <v>451590.59000000008</v>
      </c>
      <c r="Q31" s="1"/>
      <c r="R31" s="5">
        <f t="shared" ref="R31:R38" si="20">IF(P$12=0,0,P31/P$12)</f>
        <v>0</v>
      </c>
      <c r="S31" s="1"/>
      <c r="T31" s="1">
        <f>SUM(OSRRefT22_1x_0)</f>
        <v>389798.35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61792.240000000107</v>
      </c>
      <c r="Y31" s="1"/>
      <c r="Z31" s="5">
        <f t="shared" ref="Z31:Z38" si="23">IF(T31=0,0,X31/T31)</f>
        <v>0.15852360585928624</v>
      </c>
    </row>
    <row r="32" spans="1:26" s="23" customFormat="1" hidden="1" outlineLevel="2" x14ac:dyDescent="0.25">
      <c r="A32" s="27"/>
      <c r="B32" s="10" t="str">
        <f>CONCATENATE("          ", "6001", " - ", "ADMINISTRATIVE SALARIES")</f>
        <v xml:space="preserve">          6001 - ADMINISTRATIVE SALARIES</v>
      </c>
      <c r="C32" s="10"/>
      <c r="D32" s="6">
        <v>4205.74</v>
      </c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4205.74</v>
      </c>
      <c r="M32" s="2"/>
      <c r="N32" s="7">
        <f t="shared" si="19"/>
        <v>0</v>
      </c>
      <c r="O32" s="10"/>
      <c r="P32" s="6">
        <v>47709.85</v>
      </c>
      <c r="Q32" s="2"/>
      <c r="R32" s="7">
        <f t="shared" si="20"/>
        <v>0</v>
      </c>
      <c r="S32" s="2"/>
      <c r="T32" s="6">
        <v>93238.31</v>
      </c>
      <c r="U32" s="2"/>
      <c r="V32" s="7">
        <f t="shared" si="21"/>
        <v>0</v>
      </c>
      <c r="W32" s="2"/>
      <c r="X32" s="6">
        <f t="shared" si="22"/>
        <v>-45528.46</v>
      </c>
      <c r="Y32" s="2"/>
      <c r="Z32" s="7">
        <f t="shared" si="23"/>
        <v>-0.48830207239921014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9738.48</v>
      </c>
      <c r="E33" s="2"/>
      <c r="F33" s="7">
        <f t="shared" si="16"/>
        <v>0</v>
      </c>
      <c r="G33" s="2"/>
      <c r="H33" s="6">
        <v>3823.4</v>
      </c>
      <c r="I33" s="2"/>
      <c r="J33" s="7">
        <f t="shared" si="17"/>
        <v>0</v>
      </c>
      <c r="K33" s="2"/>
      <c r="L33" s="6">
        <f t="shared" si="18"/>
        <v>5915.08</v>
      </c>
      <c r="M33" s="2"/>
      <c r="N33" s="7">
        <f t="shared" si="19"/>
        <v>1.5470732855573572</v>
      </c>
      <c r="O33" s="10"/>
      <c r="P33" s="6">
        <v>104001.57</v>
      </c>
      <c r="Q33" s="2"/>
      <c r="R33" s="7">
        <f t="shared" si="20"/>
        <v>0</v>
      </c>
      <c r="S33" s="2"/>
      <c r="T33" s="6">
        <v>64833.599999999999</v>
      </c>
      <c r="U33" s="2"/>
      <c r="V33" s="7">
        <f t="shared" si="21"/>
        <v>0</v>
      </c>
      <c r="W33" s="2"/>
      <c r="X33" s="6">
        <f t="shared" si="22"/>
        <v>39167.970000000008</v>
      </c>
      <c r="Y33" s="2"/>
      <c r="Z33" s="7">
        <f t="shared" si="23"/>
        <v>0.60413072851114247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2941.32</v>
      </c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2941.32</v>
      </c>
      <c r="M34" s="2"/>
      <c r="N34" s="7">
        <f t="shared" si="19"/>
        <v>0</v>
      </c>
      <c r="O34" s="10"/>
      <c r="P34" s="6">
        <v>31886.57</v>
      </c>
      <c r="Q34" s="2"/>
      <c r="R34" s="7">
        <f t="shared" si="20"/>
        <v>0</v>
      </c>
      <c r="S34" s="2"/>
      <c r="T34" s="6">
        <v>-1647.01</v>
      </c>
      <c r="U34" s="2"/>
      <c r="V34" s="7">
        <f t="shared" si="21"/>
        <v>0</v>
      </c>
      <c r="W34" s="2"/>
      <c r="X34" s="6">
        <f t="shared" si="22"/>
        <v>33533.58</v>
      </c>
      <c r="Y34" s="2"/>
      <c r="Z34" s="7">
        <f t="shared" si="23"/>
        <v>-20.36027710821428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3180.04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3180.04</v>
      </c>
      <c r="M35" s="2"/>
      <c r="N35" s="7">
        <f t="shared" si="19"/>
        <v>0</v>
      </c>
      <c r="O35" s="10"/>
      <c r="P35" s="6">
        <v>74582.42</v>
      </c>
      <c r="Q35" s="2"/>
      <c r="R35" s="7">
        <f t="shared" si="20"/>
        <v>0</v>
      </c>
      <c r="S35" s="2"/>
      <c r="T35" s="6">
        <v>59852.88</v>
      </c>
      <c r="U35" s="2"/>
      <c r="V35" s="7">
        <f t="shared" si="21"/>
        <v>0</v>
      </c>
      <c r="W35" s="2"/>
      <c r="X35" s="6">
        <f t="shared" si="22"/>
        <v>14729.54</v>
      </c>
      <c r="Y35" s="2"/>
      <c r="Z35" s="7">
        <f t="shared" si="23"/>
        <v>0.24609576013718976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>
        <v>1043.7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1043.7</v>
      </c>
      <c r="M36" s="2"/>
      <c r="N36" s="7">
        <f t="shared" si="19"/>
        <v>0</v>
      </c>
      <c r="O36" s="10"/>
      <c r="P36" s="6">
        <v>12510.09</v>
      </c>
      <c r="Q36" s="2"/>
      <c r="R36" s="7">
        <f t="shared" si="20"/>
        <v>0</v>
      </c>
      <c r="S36" s="2"/>
      <c r="T36" s="6">
        <v>11923.01</v>
      </c>
      <c r="U36" s="2"/>
      <c r="V36" s="7">
        <f t="shared" si="21"/>
        <v>0</v>
      </c>
      <c r="W36" s="2"/>
      <c r="X36" s="6">
        <f t="shared" si="22"/>
        <v>587.07999999999993</v>
      </c>
      <c r="Y36" s="2"/>
      <c r="Z36" s="7">
        <f t="shared" si="23"/>
        <v>4.9239244117047616E-2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>
        <v>15776.93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15776.93</v>
      </c>
      <c r="M37" s="2"/>
      <c r="N37" s="7">
        <f t="shared" si="19"/>
        <v>0</v>
      </c>
      <c r="O37" s="10"/>
      <c r="P37" s="6">
        <v>180900.09</v>
      </c>
      <c r="Q37" s="2"/>
      <c r="R37" s="7">
        <f t="shared" si="20"/>
        <v>0</v>
      </c>
      <c r="S37" s="2"/>
      <c r="T37" s="6">
        <v>159329.82</v>
      </c>
      <c r="U37" s="2"/>
      <c r="V37" s="7">
        <f t="shared" si="21"/>
        <v>0</v>
      </c>
      <c r="W37" s="2"/>
      <c r="X37" s="6">
        <f t="shared" si="22"/>
        <v>21570.26999999999</v>
      </c>
      <c r="Y37" s="2"/>
      <c r="Z37" s="7">
        <f t="shared" si="23"/>
        <v>0.13538124878318439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0"/>
      <c r="P38" s="6"/>
      <c r="Q38" s="2"/>
      <c r="R38" s="7">
        <f t="shared" si="20"/>
        <v>0</v>
      </c>
      <c r="S38" s="2"/>
      <c r="T38" s="6">
        <v>2267.7399999999998</v>
      </c>
      <c r="U38" s="2"/>
      <c r="V38" s="7">
        <f t="shared" si="21"/>
        <v>0</v>
      </c>
      <c r="W38" s="2"/>
      <c r="X38" s="6">
        <f t="shared" si="22"/>
        <v>-2267.7399999999998</v>
      </c>
      <c r="Y38" s="2"/>
      <c r="Z38" s="7">
        <f t="shared" si="23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3" si="24">IF(D$12=0,0,D39/D$12)</f>
        <v>0</v>
      </c>
      <c r="G39" s="1"/>
      <c r="H39" s="1">
        <f>SUM(OSRRefH22_2x_0)</f>
        <v>0</v>
      </c>
      <c r="I39" s="1"/>
      <c r="J39" s="5">
        <f t="shared" ref="J39:J43" si="25">IF(H$12=0,0,H39/H$12)</f>
        <v>0</v>
      </c>
      <c r="K39" s="1"/>
      <c r="L39" s="1">
        <f t="shared" ref="L39:L43" si="26">+D39-H39</f>
        <v>0</v>
      </c>
      <c r="M39" s="1"/>
      <c r="N39" s="5">
        <f t="shared" ref="N39:N43" si="27">IF(H39=0,0,L39/H39)</f>
        <v>0</v>
      </c>
      <c r="O39" s="12"/>
      <c r="P39" s="1">
        <f>SUM(OSRRefP22_2x_0)</f>
        <v>525</v>
      </c>
      <c r="Q39" s="1"/>
      <c r="R39" s="5">
        <f t="shared" ref="R39:R43" si="28">IF(P$12=0,0,P39/P$12)</f>
        <v>0</v>
      </c>
      <c r="S39" s="1"/>
      <c r="T39" s="1">
        <f>SUM(OSRRefT22_2x_0)</f>
        <v>14215.07</v>
      </c>
      <c r="U39" s="1"/>
      <c r="V39" s="5">
        <f t="shared" ref="V39:V43" si="29">IF(T$12=0,0,T39/T$12)</f>
        <v>0</v>
      </c>
      <c r="W39" s="1"/>
      <c r="X39" s="1">
        <f t="shared" ref="X39:X43" si="30">+P39-T39</f>
        <v>-13690.07</v>
      </c>
      <c r="Y39" s="1"/>
      <c r="Z39" s="5">
        <f t="shared" ref="Z39:Z43" si="31">IF(T39=0,0,X39/T39)</f>
        <v>-0.96306736442381224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0"/>
      <c r="P40" s="6">
        <v>525</v>
      </c>
      <c r="Q40" s="2"/>
      <c r="R40" s="7">
        <f t="shared" si="28"/>
        <v>0</v>
      </c>
      <c r="S40" s="2"/>
      <c r="T40" s="6">
        <v>14215.07</v>
      </c>
      <c r="U40" s="2"/>
      <c r="V40" s="7">
        <f t="shared" si="29"/>
        <v>0</v>
      </c>
      <c r="W40" s="2"/>
      <c r="X40" s="6">
        <f t="shared" si="30"/>
        <v>-13690.07</v>
      </c>
      <c r="Y40" s="2"/>
      <c r="Z40" s="7">
        <f t="shared" si="31"/>
        <v>-0.96306736442381224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22.96</v>
      </c>
      <c r="E41" s="1"/>
      <c r="F41" s="5">
        <f t="shared" si="24"/>
        <v>0</v>
      </c>
      <c r="G41" s="1"/>
      <c r="H41" s="1">
        <f>SUM(OSRRefH22_3x_0)</f>
        <v>-4.55</v>
      </c>
      <c r="I41" s="1"/>
      <c r="J41" s="5">
        <f t="shared" si="25"/>
        <v>0</v>
      </c>
      <c r="K41" s="1"/>
      <c r="L41" s="1">
        <f t="shared" si="26"/>
        <v>27.51</v>
      </c>
      <c r="M41" s="1"/>
      <c r="N41" s="5">
        <f t="shared" si="27"/>
        <v>-6.0461538461538469</v>
      </c>
      <c r="O41" s="12"/>
      <c r="P41" s="1">
        <f>SUM(OSRRefP22_3x_0)</f>
        <v>5227.66</v>
      </c>
      <c r="Q41" s="1"/>
      <c r="R41" s="5">
        <f t="shared" si="28"/>
        <v>0</v>
      </c>
      <c r="S41" s="1"/>
      <c r="T41" s="1">
        <f>SUM(OSRRefT22_3x_0)</f>
        <v>-19.53</v>
      </c>
      <c r="U41" s="1"/>
      <c r="V41" s="5">
        <f t="shared" si="29"/>
        <v>0</v>
      </c>
      <c r="W41" s="1"/>
      <c r="X41" s="1">
        <f t="shared" si="30"/>
        <v>5247.19</v>
      </c>
      <c r="Y41" s="1"/>
      <c r="Z41" s="5">
        <f t="shared" si="31"/>
        <v>-268.67332309267789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>
        <v>22.96</v>
      </c>
      <c r="E42" s="2"/>
      <c r="F42" s="7">
        <f t="shared" si="24"/>
        <v>0</v>
      </c>
      <c r="G42" s="2"/>
      <c r="H42" s="6">
        <v>-4.55</v>
      </c>
      <c r="I42" s="2"/>
      <c r="J42" s="7">
        <f t="shared" si="25"/>
        <v>0</v>
      </c>
      <c r="K42" s="2"/>
      <c r="L42" s="6">
        <f t="shared" si="26"/>
        <v>27.51</v>
      </c>
      <c r="M42" s="2"/>
      <c r="N42" s="7">
        <f t="shared" si="27"/>
        <v>-6.0461538461538469</v>
      </c>
      <c r="O42" s="10"/>
      <c r="P42" s="6">
        <v>-121.76</v>
      </c>
      <c r="Q42" s="2"/>
      <c r="R42" s="7">
        <f t="shared" si="28"/>
        <v>0</v>
      </c>
      <c r="S42" s="2"/>
      <c r="T42" s="6">
        <v>-64.33</v>
      </c>
      <c r="U42" s="2"/>
      <c r="V42" s="7">
        <f t="shared" si="29"/>
        <v>0</v>
      </c>
      <c r="W42" s="2"/>
      <c r="X42" s="6">
        <f t="shared" si="30"/>
        <v>-57.430000000000007</v>
      </c>
      <c r="Y42" s="2"/>
      <c r="Z42" s="7">
        <f t="shared" si="31"/>
        <v>0.89274055650551853</v>
      </c>
    </row>
    <row r="43" spans="1:26" s="23" customFormat="1" hidden="1" outlineLevel="2" x14ac:dyDescent="0.25">
      <c r="A43" s="27"/>
      <c r="B43" s="10" t="str">
        <f>CONCATENATE("          ", "6342", " - ", "BAD DEBT")</f>
        <v xml:space="preserve">          6342 - BAD DEBT</v>
      </c>
      <c r="C43" s="10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0"/>
      <c r="P43" s="6">
        <v>5349.42</v>
      </c>
      <c r="Q43" s="2"/>
      <c r="R43" s="7">
        <f t="shared" si="28"/>
        <v>0</v>
      </c>
      <c r="S43" s="2"/>
      <c r="T43" s="6">
        <v>44.8</v>
      </c>
      <c r="U43" s="2"/>
      <c r="V43" s="7">
        <f t="shared" si="29"/>
        <v>0</v>
      </c>
      <c r="W43" s="2"/>
      <c r="X43" s="6">
        <f t="shared" si="30"/>
        <v>5304.62</v>
      </c>
      <c r="Y43" s="2"/>
      <c r="Z43" s="7">
        <f t="shared" si="31"/>
        <v>118.40669642857144</v>
      </c>
    </row>
    <row r="44" spans="1:26" s="26" customFormat="1" outlineLevel="1" collapsed="1" x14ac:dyDescent="0.25">
      <c r="A44" s="25"/>
      <c r="B44" s="12" t="str">
        <f>CONCATENATE("     ","Bank/card Fees                                    ")</f>
        <v xml:space="preserve">     Bank/card Fees                                    </v>
      </c>
      <c r="C44" s="12"/>
      <c r="D44" s="1">
        <f>SUM(OSRRefD22_4x_0)</f>
        <v>3321.18</v>
      </c>
      <c r="E44" s="1"/>
      <c r="F44" s="5">
        <f t="shared" ref="F44:F49" si="32">IF(D$12=0,0,D44/D$12)</f>
        <v>0</v>
      </c>
      <c r="G44" s="1"/>
      <c r="H44" s="1">
        <f>SUM(OSRRefH22_4x_0)</f>
        <v>5394.34</v>
      </c>
      <c r="I44" s="1"/>
      <c r="J44" s="5">
        <f t="shared" ref="J44:J49" si="33">IF(H$12=0,0,H44/H$12)</f>
        <v>0</v>
      </c>
      <c r="K44" s="1"/>
      <c r="L44" s="1">
        <f t="shared" ref="L44:L49" si="34">+D44-H44</f>
        <v>-2073.1600000000003</v>
      </c>
      <c r="M44" s="1"/>
      <c r="N44" s="5">
        <f t="shared" ref="N44:N49" si="35">IF(H44=0,0,L44/H44)</f>
        <v>-0.38432134422376052</v>
      </c>
      <c r="O44" s="12"/>
      <c r="P44" s="1">
        <f>SUM(OSRRefP22_4x_0)</f>
        <v>74124.69</v>
      </c>
      <c r="Q44" s="1"/>
      <c r="R44" s="5">
        <f t="shared" ref="R44:R49" si="36">IF(P$12=0,0,P44/P$12)</f>
        <v>0</v>
      </c>
      <c r="S44" s="1"/>
      <c r="T44" s="1">
        <f>SUM(OSRRefT22_4x_0)</f>
        <v>139065.10999999999</v>
      </c>
      <c r="U44" s="1"/>
      <c r="V44" s="5">
        <f t="shared" ref="V44:V49" si="37">IF(T$12=0,0,T44/T$12)</f>
        <v>0</v>
      </c>
      <c r="W44" s="1"/>
      <c r="X44" s="1">
        <f t="shared" ref="X44:X49" si="38">+P44-T44</f>
        <v>-64940.419999999984</v>
      </c>
      <c r="Y44" s="1"/>
      <c r="Z44" s="5">
        <f t="shared" ref="Z44:Z49" si="39">IF(T44=0,0,X44/T44)</f>
        <v>-0.46697852538282242</v>
      </c>
    </row>
    <row r="45" spans="1:26" s="23" customFormat="1" hidden="1" outlineLevel="2" x14ac:dyDescent="0.25">
      <c r="A45" s="27"/>
      <c r="B45" s="10" t="str">
        <f>CONCATENATE("          ", "6381", " - ", "BANK/CREDIT CARD FEES")</f>
        <v xml:space="preserve">          6381 - BANK/CREDIT CARD FEES</v>
      </c>
      <c r="C45" s="10"/>
      <c r="D45" s="6">
        <v>3321.18</v>
      </c>
      <c r="E45" s="2"/>
      <c r="F45" s="7">
        <f t="shared" si="32"/>
        <v>0</v>
      </c>
      <c r="G45" s="2"/>
      <c r="H45" s="6">
        <v>5394.34</v>
      </c>
      <c r="I45" s="2"/>
      <c r="J45" s="7">
        <f t="shared" si="33"/>
        <v>0</v>
      </c>
      <c r="K45" s="2"/>
      <c r="L45" s="6">
        <f t="shared" si="34"/>
        <v>-2073.1600000000003</v>
      </c>
      <c r="M45" s="2"/>
      <c r="N45" s="7">
        <f t="shared" si="35"/>
        <v>-0.38432134422376052</v>
      </c>
      <c r="O45" s="10"/>
      <c r="P45" s="6">
        <v>74124.69</v>
      </c>
      <c r="Q45" s="2"/>
      <c r="R45" s="7">
        <f t="shared" si="36"/>
        <v>0</v>
      </c>
      <c r="S45" s="2"/>
      <c r="T45" s="6">
        <v>139065.10999999999</v>
      </c>
      <c r="U45" s="2"/>
      <c r="V45" s="7">
        <f t="shared" si="37"/>
        <v>0</v>
      </c>
      <c r="W45" s="2"/>
      <c r="X45" s="6">
        <f t="shared" si="38"/>
        <v>-64940.419999999984</v>
      </c>
      <c r="Y45" s="2"/>
      <c r="Z45" s="7">
        <f t="shared" si="39"/>
        <v>-0.46697852538282242</v>
      </c>
    </row>
    <row r="46" spans="1:26" s="26" customFormat="1" outlineLevel="1" collapsed="1" x14ac:dyDescent="0.25">
      <c r="A46" s="25"/>
      <c r="B46" s="12" t="str">
        <f>CONCATENATE("     ","Depreciation                                      ")</f>
        <v xml:space="preserve">     Depreciation                                      </v>
      </c>
      <c r="C46" s="12"/>
      <c r="D46" s="1">
        <f>SUM(OSRRefD22_5x_0)</f>
        <v>30565.97</v>
      </c>
      <c r="E46" s="1"/>
      <c r="F46" s="5">
        <f t="shared" si="32"/>
        <v>0</v>
      </c>
      <c r="G46" s="1"/>
      <c r="H46" s="1">
        <f>SUM(OSRRefH22_5x_0)</f>
        <v>30179.599999999999</v>
      </c>
      <c r="I46" s="1"/>
      <c r="J46" s="5">
        <f t="shared" si="33"/>
        <v>0</v>
      </c>
      <c r="K46" s="1"/>
      <c r="L46" s="1">
        <f t="shared" si="34"/>
        <v>386.37000000000262</v>
      </c>
      <c r="M46" s="1"/>
      <c r="N46" s="5">
        <f t="shared" si="35"/>
        <v>1.2802356558735127E-2</v>
      </c>
      <c r="O46" s="12"/>
      <c r="P46" s="1">
        <f>SUM(OSRRefP22_5x_0)</f>
        <v>336521.16000000003</v>
      </c>
      <c r="Q46" s="1"/>
      <c r="R46" s="5">
        <f t="shared" si="36"/>
        <v>0</v>
      </c>
      <c r="S46" s="1"/>
      <c r="T46" s="1">
        <f>SUM(OSRRefT22_5x_0)</f>
        <v>328013.14</v>
      </c>
      <c r="U46" s="1"/>
      <c r="V46" s="5">
        <f t="shared" si="37"/>
        <v>0</v>
      </c>
      <c r="W46" s="1"/>
      <c r="X46" s="1">
        <f t="shared" si="38"/>
        <v>8508.0200000000186</v>
      </c>
      <c r="Y46" s="1"/>
      <c r="Z46" s="5">
        <f t="shared" si="39"/>
        <v>2.593804626241503E-2</v>
      </c>
    </row>
    <row r="47" spans="1:26" s="23" customFormat="1" hidden="1" outlineLevel="2" x14ac:dyDescent="0.25">
      <c r="A47" s="27"/>
      <c r="B47" s="10" t="str">
        <f>CONCATENATE("          ", "6321", " - ", "BUILDING DEPRECIATION")</f>
        <v xml:space="preserve">          6321 - BUILDING DEPRECIATION</v>
      </c>
      <c r="C47" s="10"/>
      <c r="D47" s="6">
        <v>16396.52</v>
      </c>
      <c r="E47" s="2"/>
      <c r="F47" s="7">
        <f t="shared" si="32"/>
        <v>0</v>
      </c>
      <c r="G47" s="2"/>
      <c r="H47" s="6">
        <v>16396.52</v>
      </c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0"/>
      <c r="P47" s="6">
        <v>180361.72</v>
      </c>
      <c r="Q47" s="2"/>
      <c r="R47" s="7">
        <f t="shared" si="36"/>
        <v>0</v>
      </c>
      <c r="S47" s="2"/>
      <c r="T47" s="6">
        <v>180361.72</v>
      </c>
      <c r="U47" s="2"/>
      <c r="V47" s="7">
        <f t="shared" si="37"/>
        <v>0</v>
      </c>
      <c r="W47" s="2"/>
      <c r="X47" s="6">
        <f t="shared" si="38"/>
        <v>0</v>
      </c>
      <c r="Y47" s="2"/>
      <c r="Z47" s="7">
        <f t="shared" si="39"/>
        <v>0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14169.45</v>
      </c>
      <c r="E48" s="2"/>
      <c r="F48" s="7">
        <f t="shared" si="32"/>
        <v>0</v>
      </c>
      <c r="G48" s="2"/>
      <c r="H48" s="6">
        <v>13783.08</v>
      </c>
      <c r="I48" s="2"/>
      <c r="J48" s="7">
        <f t="shared" si="33"/>
        <v>0</v>
      </c>
      <c r="K48" s="2"/>
      <c r="L48" s="6">
        <f t="shared" si="34"/>
        <v>386.3700000000008</v>
      </c>
      <c r="M48" s="2"/>
      <c r="N48" s="7">
        <f t="shared" si="35"/>
        <v>2.8032195996830954E-2</v>
      </c>
      <c r="O48" s="10"/>
      <c r="P48" s="6">
        <v>156159.44</v>
      </c>
      <c r="Q48" s="2"/>
      <c r="R48" s="7">
        <f t="shared" si="36"/>
        <v>0</v>
      </c>
      <c r="S48" s="2"/>
      <c r="T48" s="6">
        <v>147651.42000000001</v>
      </c>
      <c r="U48" s="2"/>
      <c r="V48" s="7">
        <f t="shared" si="37"/>
        <v>0</v>
      </c>
      <c r="W48" s="2"/>
      <c r="X48" s="6">
        <f t="shared" si="38"/>
        <v>8508.0199999999895</v>
      </c>
      <c r="Y48" s="2"/>
      <c r="Z48" s="7">
        <f t="shared" si="39"/>
        <v>5.7622337800747117E-2</v>
      </c>
    </row>
    <row r="49" spans="1:26" s="23" customFormat="1" hidden="1" outlineLevel="2" x14ac:dyDescent="0.25">
      <c r="A49" s="27"/>
      <c r="B49" s="10" t="str">
        <f>CONCATENATE("          ", "6324", " - ", "FURNITURE + FIXT DEPRECIATION")</f>
        <v xml:space="preserve">          6324 - FURNITURE + FIXT DEPRECIATION</v>
      </c>
      <c r="C49" s="10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0"/>
      <c r="P49" s="6"/>
      <c r="Q49" s="2"/>
      <c r="R49" s="7">
        <f t="shared" si="36"/>
        <v>0</v>
      </c>
      <c r="S49" s="2"/>
      <c r="T49" s="6">
        <v>0</v>
      </c>
      <c r="U49" s="2"/>
      <c r="V49" s="7">
        <f t="shared" si="37"/>
        <v>0</v>
      </c>
      <c r="W49" s="2"/>
      <c r="X49" s="6">
        <f t="shared" si="38"/>
        <v>0</v>
      </c>
      <c r="Y49" s="2"/>
      <c r="Z49" s="7">
        <f t="shared" si="39"/>
        <v>0</v>
      </c>
    </row>
    <row r="50" spans="1:26" s="26" customFormat="1" outlineLevel="1" collapsed="1" x14ac:dyDescent="0.25">
      <c r="A50" s="25"/>
      <c r="B50" s="12" t="str">
        <f>CONCATENATE("     ","Discounts and Markdowns                           ")</f>
        <v xml:space="preserve">     Discounts and Markdowns                           </v>
      </c>
      <c r="C50" s="12"/>
      <c r="D50" s="1">
        <f>SUM(OSRRefD22_6x_0)</f>
        <v>0</v>
      </c>
      <c r="E50" s="1"/>
      <c r="F50" s="5">
        <f t="shared" ref="F50:F52" si="40">IF(D$12=0,0,D50/D$12)</f>
        <v>0</v>
      </c>
      <c r="G50" s="1"/>
      <c r="H50" s="1">
        <f>SUM(OSRRefH22_6x_0)</f>
        <v>0</v>
      </c>
      <c r="I50" s="1"/>
      <c r="J50" s="5">
        <f t="shared" ref="J50:J52" si="41">IF(H$12=0,0,H50/H$12)</f>
        <v>0</v>
      </c>
      <c r="K50" s="1"/>
      <c r="L50" s="1">
        <f t="shared" ref="L50:L52" si="42">+D50-H50</f>
        <v>0</v>
      </c>
      <c r="M50" s="1"/>
      <c r="N50" s="5">
        <f t="shared" ref="N50:N52" si="43">IF(H50=0,0,L50/H50)</f>
        <v>0</v>
      </c>
      <c r="O50" s="12"/>
      <c r="P50" s="1">
        <f>SUM(OSRRefP22_6x_0)</f>
        <v>-15.43</v>
      </c>
      <c r="Q50" s="1"/>
      <c r="R50" s="5">
        <f t="shared" ref="R50:R52" si="44">IF(P$12=0,0,P50/P$12)</f>
        <v>0</v>
      </c>
      <c r="S50" s="1"/>
      <c r="T50" s="1">
        <f>SUM(OSRRefT22_6x_0)</f>
        <v>-2402.56</v>
      </c>
      <c r="U50" s="1"/>
      <c r="V50" s="5">
        <f t="shared" ref="V50:V52" si="45">IF(T$12=0,0,T50/T$12)</f>
        <v>0</v>
      </c>
      <c r="W50" s="1"/>
      <c r="X50" s="1">
        <f t="shared" ref="X50:X52" si="46">+P50-T50</f>
        <v>2387.13</v>
      </c>
      <c r="Y50" s="1"/>
      <c r="Z50" s="5">
        <f t="shared" ref="Z50:Z52" si="47">IF(T50=0,0,X50/T50)</f>
        <v>-0.99357768380394251</v>
      </c>
    </row>
    <row r="51" spans="1:26" s="23" customFormat="1" hidden="1" outlineLevel="2" x14ac:dyDescent="0.25">
      <c r="A51" s="27"/>
      <c r="B51" s="10" t="str">
        <f>CONCATENATE("          ", "6382", " - ", "DISCOUNTS/MARK DOWNS")</f>
        <v xml:space="preserve">          6382 - DISCOUNTS/MARK DOWNS</v>
      </c>
      <c r="C51" s="10"/>
      <c r="D51" s="6"/>
      <c r="E51" s="2"/>
      <c r="F51" s="7">
        <f t="shared" si="40"/>
        <v>0</v>
      </c>
      <c r="G51" s="2"/>
      <c r="H51" s="6"/>
      <c r="I51" s="2"/>
      <c r="J51" s="7">
        <f t="shared" si="41"/>
        <v>0</v>
      </c>
      <c r="K51" s="2"/>
      <c r="L51" s="6">
        <f t="shared" si="42"/>
        <v>0</v>
      </c>
      <c r="M51" s="2"/>
      <c r="N51" s="7">
        <f t="shared" si="43"/>
        <v>0</v>
      </c>
      <c r="O51" s="10"/>
      <c r="P51" s="6"/>
      <c r="Q51" s="2"/>
      <c r="R51" s="7">
        <f t="shared" si="44"/>
        <v>0</v>
      </c>
      <c r="S51" s="2"/>
      <c r="T51" s="6">
        <v>357.4</v>
      </c>
      <c r="U51" s="2"/>
      <c r="V51" s="7">
        <f t="shared" si="45"/>
        <v>0</v>
      </c>
      <c r="W51" s="2"/>
      <c r="X51" s="6">
        <f t="shared" si="46"/>
        <v>-357.4</v>
      </c>
      <c r="Y51" s="2"/>
      <c r="Z51" s="7">
        <f t="shared" si="47"/>
        <v>-1</v>
      </c>
    </row>
    <row r="52" spans="1:26" s="23" customFormat="1" hidden="1" outlineLevel="2" x14ac:dyDescent="0.25">
      <c r="A52" s="27"/>
      <c r="B52" s="10" t="str">
        <f>CONCATENATE("          ", "9175", " - ", "EARNED DISCOUNTS")</f>
        <v xml:space="preserve">          9175 - EARNED DISCOUNTS</v>
      </c>
      <c r="C52" s="10"/>
      <c r="D52" s="6"/>
      <c r="E52" s="2"/>
      <c r="F52" s="7">
        <f t="shared" si="40"/>
        <v>0</v>
      </c>
      <c r="G52" s="2"/>
      <c r="H52" s="6"/>
      <c r="I52" s="2"/>
      <c r="J52" s="7">
        <f t="shared" si="41"/>
        <v>0</v>
      </c>
      <c r="K52" s="2"/>
      <c r="L52" s="6">
        <f t="shared" si="42"/>
        <v>0</v>
      </c>
      <c r="M52" s="2"/>
      <c r="N52" s="7">
        <f t="shared" si="43"/>
        <v>0</v>
      </c>
      <c r="O52" s="10"/>
      <c r="P52" s="6">
        <v>-15.43</v>
      </c>
      <c r="Q52" s="2"/>
      <c r="R52" s="7">
        <f t="shared" si="44"/>
        <v>0</v>
      </c>
      <c r="S52" s="2"/>
      <c r="T52" s="6">
        <v>-2759.96</v>
      </c>
      <c r="U52" s="2"/>
      <c r="V52" s="7">
        <f t="shared" si="45"/>
        <v>0</v>
      </c>
      <c r="W52" s="2"/>
      <c r="X52" s="6">
        <f t="shared" si="46"/>
        <v>2744.53</v>
      </c>
      <c r="Y52" s="2"/>
      <c r="Z52" s="7">
        <f t="shared" si="47"/>
        <v>-0.99440933926578656</v>
      </c>
    </row>
    <row r="53" spans="1:26" s="26" customFormat="1" outlineLevel="1" collapsed="1" x14ac:dyDescent="0.25">
      <c r="A53" s="25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SUM(OSRRefD22_7x_0)</f>
        <v>0</v>
      </c>
      <c r="E53" s="1"/>
      <c r="F53" s="5">
        <f t="shared" ref="F53:F73" si="48">IF(D$12=0,0,D53/D$12)</f>
        <v>0</v>
      </c>
      <c r="G53" s="1"/>
      <c r="H53" s="1">
        <f>SUM(OSRRefH22_7x_0)</f>
        <v>-1385.81</v>
      </c>
      <c r="I53" s="1"/>
      <c r="J53" s="5">
        <f t="shared" ref="J53:J73" si="49">IF(H$12=0,0,H53/H$12)</f>
        <v>0</v>
      </c>
      <c r="K53" s="1"/>
      <c r="L53" s="1">
        <f t="shared" ref="L53:L73" si="50">+D53-H53</f>
        <v>1385.81</v>
      </c>
      <c r="M53" s="1"/>
      <c r="N53" s="5">
        <f t="shared" ref="N53:N73" si="51">IF(H53=0,0,L53/H53)</f>
        <v>-1</v>
      </c>
      <c r="O53" s="12"/>
      <c r="P53" s="1">
        <f>SUM(OSRRefP22_7x_0)</f>
        <v>360.9</v>
      </c>
      <c r="Q53" s="1"/>
      <c r="R53" s="5">
        <f t="shared" ref="R53:R73" si="52">IF(P$12=0,0,P53/P$12)</f>
        <v>0</v>
      </c>
      <c r="S53" s="1"/>
      <c r="T53" s="1">
        <f>SUM(OSRRefT22_7x_0)</f>
        <v>10985.64</v>
      </c>
      <c r="U53" s="1"/>
      <c r="V53" s="5">
        <f t="shared" ref="V53:V73" si="53">IF(T$12=0,0,T53/T$12)</f>
        <v>0</v>
      </c>
      <c r="W53" s="1"/>
      <c r="X53" s="1">
        <f t="shared" ref="X53:X73" si="54">+P53-T53</f>
        <v>-10624.74</v>
      </c>
      <c r="Y53" s="1"/>
      <c r="Z53" s="5">
        <f t="shared" ref="Z53:Z73" si="55">IF(T53=0,0,X53/T53)</f>
        <v>-0.96714802232732922</v>
      </c>
    </row>
    <row r="54" spans="1:26" s="23" customFormat="1" hidden="1" outlineLevel="2" x14ac:dyDescent="0.25">
      <c r="A54" s="27"/>
      <c r="B54" s="10" t="str">
        <f>CONCATENATE("          ", "6399", " - ", "DONATION-ON CAMPUS")</f>
        <v xml:space="preserve">          6399 - DONATION-ON CAMPUS</v>
      </c>
      <c r="C54" s="10"/>
      <c r="D54" s="6"/>
      <c r="E54" s="2"/>
      <c r="F54" s="7">
        <f t="shared" si="48"/>
        <v>0</v>
      </c>
      <c r="G54" s="2"/>
      <c r="H54" s="6">
        <v>-1385.81</v>
      </c>
      <c r="I54" s="2"/>
      <c r="J54" s="7">
        <f t="shared" si="49"/>
        <v>0</v>
      </c>
      <c r="K54" s="2"/>
      <c r="L54" s="6">
        <f t="shared" si="50"/>
        <v>1385.81</v>
      </c>
      <c r="M54" s="2"/>
      <c r="N54" s="7">
        <f t="shared" si="51"/>
        <v>-1</v>
      </c>
      <c r="O54" s="10"/>
      <c r="P54" s="6">
        <v>360.9</v>
      </c>
      <c r="Q54" s="2"/>
      <c r="R54" s="7">
        <f t="shared" si="52"/>
        <v>0</v>
      </c>
      <c r="S54" s="2"/>
      <c r="T54" s="6">
        <v>10985.64</v>
      </c>
      <c r="U54" s="2"/>
      <c r="V54" s="7">
        <f t="shared" si="53"/>
        <v>0</v>
      </c>
      <c r="W54" s="2"/>
      <c r="X54" s="6">
        <f t="shared" si="54"/>
        <v>-10624.74</v>
      </c>
      <c r="Y54" s="2"/>
      <c r="Z54" s="7">
        <f t="shared" si="55"/>
        <v>-0.96714802232732922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SUM(OSRRefD22_8x_0)</f>
        <v>0</v>
      </c>
      <c r="E55" s="1"/>
      <c r="F55" s="5">
        <f t="shared" si="48"/>
        <v>0</v>
      </c>
      <c r="G55" s="1"/>
      <c r="H55" s="1">
        <f>SUM(OSRRefH22_8x_0)</f>
        <v>0</v>
      </c>
      <c r="I55" s="1"/>
      <c r="J55" s="5">
        <f t="shared" si="49"/>
        <v>0</v>
      </c>
      <c r="K55" s="1"/>
      <c r="L55" s="1">
        <f t="shared" si="50"/>
        <v>0</v>
      </c>
      <c r="M55" s="1"/>
      <c r="N55" s="5">
        <f t="shared" si="51"/>
        <v>0</v>
      </c>
      <c r="O55" s="12"/>
      <c r="P55" s="1">
        <f>SUM(OSRRefP22_8x_0)</f>
        <v>78.33</v>
      </c>
      <c r="Q55" s="1"/>
      <c r="R55" s="5">
        <f t="shared" si="52"/>
        <v>0</v>
      </c>
      <c r="S55" s="1"/>
      <c r="T55" s="1">
        <f>SUM(OSRRefT22_8x_0)</f>
        <v>1057.72</v>
      </c>
      <c r="U55" s="1"/>
      <c r="V55" s="5">
        <f t="shared" si="53"/>
        <v>0</v>
      </c>
      <c r="W55" s="1"/>
      <c r="X55" s="1">
        <f t="shared" si="54"/>
        <v>-979.39</v>
      </c>
      <c r="Y55" s="1"/>
      <c r="Z55" s="5">
        <f t="shared" si="55"/>
        <v>-0.92594448436259125</v>
      </c>
    </row>
    <row r="56" spans="1:26" s="23" customFormat="1" hidden="1" outlineLevel="2" x14ac:dyDescent="0.25">
      <c r="A56" s="27"/>
      <c r="B56" s="10" t="str">
        <f>CONCATENATE("          ", "6277", " - ", "EMPLOYEE APPRECIATION")</f>
        <v xml:space="preserve">          6277 - EMPLOYEE APPRECIATION</v>
      </c>
      <c r="C56" s="10"/>
      <c r="D56" s="6"/>
      <c r="E56" s="2"/>
      <c r="F56" s="7">
        <f t="shared" si="48"/>
        <v>0</v>
      </c>
      <c r="G56" s="2"/>
      <c r="H56" s="6"/>
      <c r="I56" s="2"/>
      <c r="J56" s="7">
        <f t="shared" si="49"/>
        <v>0</v>
      </c>
      <c r="K56" s="2"/>
      <c r="L56" s="6">
        <f t="shared" si="50"/>
        <v>0</v>
      </c>
      <c r="M56" s="2"/>
      <c r="N56" s="7">
        <f t="shared" si="51"/>
        <v>0</v>
      </c>
      <c r="O56" s="10"/>
      <c r="P56" s="6">
        <v>78.33</v>
      </c>
      <c r="Q56" s="2"/>
      <c r="R56" s="7">
        <f t="shared" si="52"/>
        <v>0</v>
      </c>
      <c r="S56" s="2"/>
      <c r="T56" s="6">
        <v>1057.72</v>
      </c>
      <c r="U56" s="2"/>
      <c r="V56" s="7">
        <f t="shared" si="53"/>
        <v>0</v>
      </c>
      <c r="W56" s="2"/>
      <c r="X56" s="6">
        <f t="shared" si="54"/>
        <v>-979.39</v>
      </c>
      <c r="Y56" s="2"/>
      <c r="Z56" s="7">
        <f t="shared" si="55"/>
        <v>-0.92594448436259125</v>
      </c>
    </row>
    <row r="57" spans="1:26" s="26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SUM(OSRRefD22_9x_0)</f>
        <v>415.15</v>
      </c>
      <c r="E57" s="1"/>
      <c r="F57" s="5">
        <f t="shared" si="48"/>
        <v>0</v>
      </c>
      <c r="G57" s="1"/>
      <c r="H57" s="1">
        <f>SUM(OSRRefH22_9x_0)</f>
        <v>299.33999999999997</v>
      </c>
      <c r="I57" s="1"/>
      <c r="J57" s="5">
        <f t="shared" si="49"/>
        <v>0</v>
      </c>
      <c r="K57" s="1"/>
      <c r="L57" s="1">
        <f t="shared" si="50"/>
        <v>115.81</v>
      </c>
      <c r="M57" s="1"/>
      <c r="N57" s="5">
        <f t="shared" si="51"/>
        <v>0.38688447918754598</v>
      </c>
      <c r="O57" s="12"/>
      <c r="P57" s="1">
        <f>SUM(OSRRefP22_9x_0)</f>
        <v>2280.3200000000002</v>
      </c>
      <c r="Q57" s="1"/>
      <c r="R57" s="5">
        <f t="shared" si="52"/>
        <v>0</v>
      </c>
      <c r="S57" s="1"/>
      <c r="T57" s="1">
        <f>SUM(OSRRefT22_9x_0)</f>
        <v>299.33999999999997</v>
      </c>
      <c r="U57" s="1"/>
      <c r="V57" s="5">
        <f t="shared" si="53"/>
        <v>0</v>
      </c>
      <c r="W57" s="1"/>
      <c r="X57" s="1">
        <f t="shared" si="54"/>
        <v>1980.9800000000002</v>
      </c>
      <c r="Y57" s="1"/>
      <c r="Z57" s="5">
        <f t="shared" si="55"/>
        <v>6.6178258836106112</v>
      </c>
    </row>
    <row r="58" spans="1:26" s="23" customFormat="1" hidden="1" outlineLevel="2" x14ac:dyDescent="0.25">
      <c r="A58" s="27"/>
      <c r="B58" s="10" t="str">
        <f>CONCATENATE("          ", "6351", " - ", "EQUIPMENT RENTAL")</f>
        <v xml:space="preserve">          6351 - EQUIPMENT RENTAL</v>
      </c>
      <c r="C58" s="10"/>
      <c r="D58" s="6">
        <v>415.15</v>
      </c>
      <c r="E58" s="2"/>
      <c r="F58" s="7">
        <f t="shared" si="48"/>
        <v>0</v>
      </c>
      <c r="G58" s="2"/>
      <c r="H58" s="6">
        <v>299.33999999999997</v>
      </c>
      <c r="I58" s="2"/>
      <c r="J58" s="7">
        <f t="shared" si="49"/>
        <v>0</v>
      </c>
      <c r="K58" s="2"/>
      <c r="L58" s="6">
        <f t="shared" si="50"/>
        <v>115.81</v>
      </c>
      <c r="M58" s="2"/>
      <c r="N58" s="7">
        <f t="shared" si="51"/>
        <v>0.38688447918754598</v>
      </c>
      <c r="O58" s="10"/>
      <c r="P58" s="6">
        <v>2280.3200000000002</v>
      </c>
      <c r="Q58" s="2"/>
      <c r="R58" s="7">
        <f t="shared" si="52"/>
        <v>0</v>
      </c>
      <c r="S58" s="2"/>
      <c r="T58" s="6">
        <v>299.33999999999997</v>
      </c>
      <c r="U58" s="2"/>
      <c r="V58" s="7">
        <f t="shared" si="53"/>
        <v>0</v>
      </c>
      <c r="W58" s="2"/>
      <c r="X58" s="6">
        <f t="shared" si="54"/>
        <v>1980.9800000000002</v>
      </c>
      <c r="Y58" s="2"/>
      <c r="Z58" s="7">
        <f t="shared" si="55"/>
        <v>6.6178258836106112</v>
      </c>
    </row>
    <row r="59" spans="1:26" s="26" customFormat="1" outlineLevel="1" collapsed="1" x14ac:dyDescent="0.25">
      <c r="A59" s="25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SUM(OSRRefD22_10x_0)</f>
        <v>225.95</v>
      </c>
      <c r="E59" s="1"/>
      <c r="F59" s="5">
        <f t="shared" si="48"/>
        <v>0</v>
      </c>
      <c r="G59" s="1"/>
      <c r="H59" s="1">
        <f>SUM(OSRRefH22_10x_0)</f>
        <v>0</v>
      </c>
      <c r="I59" s="1"/>
      <c r="J59" s="5">
        <f t="shared" si="49"/>
        <v>0</v>
      </c>
      <c r="K59" s="1"/>
      <c r="L59" s="1">
        <f t="shared" si="50"/>
        <v>225.95</v>
      </c>
      <c r="M59" s="1"/>
      <c r="N59" s="5">
        <f t="shared" si="51"/>
        <v>0</v>
      </c>
      <c r="O59" s="12"/>
      <c r="P59" s="1">
        <f>SUM(OSRRefP22_10x_0)</f>
        <v>2276.0100000000002</v>
      </c>
      <c r="Q59" s="1"/>
      <c r="R59" s="5">
        <f t="shared" si="52"/>
        <v>0</v>
      </c>
      <c r="S59" s="1"/>
      <c r="T59" s="1">
        <f>SUM(OSRRefT22_10x_0)</f>
        <v>29</v>
      </c>
      <c r="U59" s="1"/>
      <c r="V59" s="5">
        <f t="shared" si="53"/>
        <v>0</v>
      </c>
      <c r="W59" s="1"/>
      <c r="X59" s="1">
        <f t="shared" si="54"/>
        <v>2247.0100000000002</v>
      </c>
      <c r="Y59" s="1"/>
      <c r="Z59" s="5">
        <f t="shared" si="55"/>
        <v>77.48310344827587</v>
      </c>
    </row>
    <row r="60" spans="1:26" s="23" customFormat="1" hidden="1" outlineLevel="2" x14ac:dyDescent="0.25">
      <c r="A60" s="27"/>
      <c r="B60" s="10" t="str">
        <f>CONCATENATE("          ", "6307", " - ", "POSTAGE")</f>
        <v xml:space="preserve">          6307 - POSTAGE</v>
      </c>
      <c r="C60" s="10"/>
      <c r="D60" s="6">
        <v>225.95</v>
      </c>
      <c r="E60" s="2"/>
      <c r="F60" s="7">
        <f t="shared" si="48"/>
        <v>0</v>
      </c>
      <c r="G60" s="2"/>
      <c r="H60" s="6"/>
      <c r="I60" s="2"/>
      <c r="J60" s="7">
        <f t="shared" si="49"/>
        <v>0</v>
      </c>
      <c r="K60" s="2"/>
      <c r="L60" s="6">
        <f t="shared" si="50"/>
        <v>225.95</v>
      </c>
      <c r="M60" s="2"/>
      <c r="N60" s="7">
        <f t="shared" si="51"/>
        <v>0</v>
      </c>
      <c r="O60" s="10"/>
      <c r="P60" s="6">
        <v>2276.0100000000002</v>
      </c>
      <c r="Q60" s="2"/>
      <c r="R60" s="7">
        <f t="shared" si="52"/>
        <v>0</v>
      </c>
      <c r="S60" s="2"/>
      <c r="T60" s="6">
        <v>29</v>
      </c>
      <c r="U60" s="2"/>
      <c r="V60" s="7">
        <f t="shared" si="53"/>
        <v>0</v>
      </c>
      <c r="W60" s="2"/>
      <c r="X60" s="6">
        <f t="shared" si="54"/>
        <v>2247.0100000000002</v>
      </c>
      <c r="Y60" s="2"/>
      <c r="Z60" s="7">
        <f t="shared" si="55"/>
        <v>77.48310344827587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SUM(OSRRefD22_11x_0)</f>
        <v>0</v>
      </c>
      <c r="E61" s="1"/>
      <c r="F61" s="5">
        <f t="shared" si="48"/>
        <v>0</v>
      </c>
      <c r="G61" s="1"/>
      <c r="H61" s="1">
        <f>SUM(OSRRefH22_11x_0)</f>
        <v>0</v>
      </c>
      <c r="I61" s="1"/>
      <c r="J61" s="5">
        <f t="shared" si="49"/>
        <v>0</v>
      </c>
      <c r="K61" s="1"/>
      <c r="L61" s="1">
        <f t="shared" si="50"/>
        <v>0</v>
      </c>
      <c r="M61" s="1"/>
      <c r="N61" s="5">
        <f t="shared" si="51"/>
        <v>0</v>
      </c>
      <c r="O61" s="12"/>
      <c r="P61" s="1">
        <f>SUM(OSRRefP22_11x_0)</f>
        <v>1386.81</v>
      </c>
      <c r="Q61" s="1"/>
      <c r="R61" s="5">
        <f t="shared" si="52"/>
        <v>0</v>
      </c>
      <c r="S61" s="1"/>
      <c r="T61" s="1">
        <f>SUM(OSRRefT22_11x_0)</f>
        <v>-11754.76</v>
      </c>
      <c r="U61" s="1"/>
      <c r="V61" s="5">
        <f t="shared" si="53"/>
        <v>0</v>
      </c>
      <c r="W61" s="1"/>
      <c r="X61" s="1">
        <f t="shared" si="54"/>
        <v>13141.57</v>
      </c>
      <c r="Y61" s="1"/>
      <c r="Z61" s="5">
        <f t="shared" si="55"/>
        <v>-1.1179785890992244</v>
      </c>
    </row>
    <row r="62" spans="1:26" s="23" customFormat="1" hidden="1" outlineLevel="2" x14ac:dyDescent="0.25">
      <c r="A62" s="27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48"/>
        <v>0</v>
      </c>
      <c r="G62" s="2"/>
      <c r="H62" s="6"/>
      <c r="I62" s="2"/>
      <c r="J62" s="7">
        <f t="shared" si="49"/>
        <v>0</v>
      </c>
      <c r="K62" s="2"/>
      <c r="L62" s="6">
        <f t="shared" si="50"/>
        <v>0</v>
      </c>
      <c r="M62" s="2"/>
      <c r="N62" s="7">
        <f t="shared" si="51"/>
        <v>0</v>
      </c>
      <c r="O62" s="10"/>
      <c r="P62" s="6">
        <v>1386.81</v>
      </c>
      <c r="Q62" s="2"/>
      <c r="R62" s="7">
        <f t="shared" si="52"/>
        <v>0</v>
      </c>
      <c r="S62" s="2"/>
      <c r="T62" s="6">
        <v>-11754.76</v>
      </c>
      <c r="U62" s="2"/>
      <c r="V62" s="7">
        <f t="shared" si="53"/>
        <v>0</v>
      </c>
      <c r="W62" s="2"/>
      <c r="X62" s="6">
        <f t="shared" si="54"/>
        <v>13141.57</v>
      </c>
      <c r="Y62" s="2"/>
      <c r="Z62" s="7">
        <f t="shared" si="55"/>
        <v>-1.1179785890992244</v>
      </c>
    </row>
    <row r="63" spans="1:26" s="26" customFormat="1" outlineLevel="1" collapsed="1" x14ac:dyDescent="0.25">
      <c r="A63" s="25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SUM(OSRRefD22_12x_0)</f>
        <v>3883.56</v>
      </c>
      <c r="E63" s="1"/>
      <c r="F63" s="5">
        <f t="shared" si="48"/>
        <v>0</v>
      </c>
      <c r="G63" s="1"/>
      <c r="H63" s="1">
        <f>SUM(OSRRefH22_12x_0)</f>
        <v>3883.56</v>
      </c>
      <c r="I63" s="1"/>
      <c r="J63" s="5">
        <f t="shared" si="49"/>
        <v>0</v>
      </c>
      <c r="K63" s="1"/>
      <c r="L63" s="1">
        <f t="shared" si="50"/>
        <v>0</v>
      </c>
      <c r="M63" s="1"/>
      <c r="N63" s="5">
        <f t="shared" si="51"/>
        <v>0</v>
      </c>
      <c r="O63" s="12"/>
      <c r="P63" s="1">
        <f>SUM(OSRRefP22_12x_0)</f>
        <v>42719.16</v>
      </c>
      <c r="Q63" s="1"/>
      <c r="R63" s="5">
        <f t="shared" si="52"/>
        <v>0</v>
      </c>
      <c r="S63" s="1"/>
      <c r="T63" s="1">
        <f>SUM(OSRRefT22_12x_0)</f>
        <v>42719.16</v>
      </c>
      <c r="U63" s="1"/>
      <c r="V63" s="5">
        <f t="shared" si="53"/>
        <v>0</v>
      </c>
      <c r="W63" s="1"/>
      <c r="X63" s="1">
        <f t="shared" si="54"/>
        <v>0</v>
      </c>
      <c r="Y63" s="1"/>
      <c r="Z63" s="5">
        <f t="shared" si="55"/>
        <v>0</v>
      </c>
    </row>
    <row r="64" spans="1:26" s="23" customFormat="1" hidden="1" outlineLevel="2" x14ac:dyDescent="0.25">
      <c r="A64" s="27"/>
      <c r="B64" s="10" t="str">
        <f>CONCATENATE("          ", "6314", " - ", "LIABILITY INSURANCE")</f>
        <v xml:space="preserve">          6314 - LIABILITY INSURANCE</v>
      </c>
      <c r="C64" s="10"/>
      <c r="D64" s="6">
        <v>3883.56</v>
      </c>
      <c r="E64" s="2"/>
      <c r="F64" s="7">
        <f t="shared" si="48"/>
        <v>0</v>
      </c>
      <c r="G64" s="2"/>
      <c r="H64" s="6">
        <v>3883.56</v>
      </c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0"/>
      <c r="P64" s="6">
        <v>42719.16</v>
      </c>
      <c r="Q64" s="2"/>
      <c r="R64" s="7">
        <f t="shared" si="52"/>
        <v>0</v>
      </c>
      <c r="S64" s="2"/>
      <c r="T64" s="6">
        <v>42719.16</v>
      </c>
      <c r="U64" s="2"/>
      <c r="V64" s="7">
        <f t="shared" si="53"/>
        <v>0</v>
      </c>
      <c r="W64" s="2"/>
      <c r="X64" s="6">
        <f t="shared" si="54"/>
        <v>0</v>
      </c>
      <c r="Y64" s="2"/>
      <c r="Z64" s="7">
        <f t="shared" si="55"/>
        <v>0</v>
      </c>
    </row>
    <row r="65" spans="1:26" s="26" customFormat="1" outlineLevel="1" collapsed="1" x14ac:dyDescent="0.25">
      <c r="A65" s="25"/>
      <c r="B65" s="12" t="str">
        <f>CONCATENATE("     ","Professional Services                             ")</f>
        <v xml:space="preserve">     Professional Services                             </v>
      </c>
      <c r="C65" s="12"/>
      <c r="D65" s="1">
        <f>SUM(OSRRefD22_13x_0)</f>
        <v>0</v>
      </c>
      <c r="E65" s="1"/>
      <c r="F65" s="5">
        <f t="shared" si="48"/>
        <v>0</v>
      </c>
      <c r="G65" s="1"/>
      <c r="H65" s="1">
        <f>SUM(OSRRefH22_13x_0)</f>
        <v>0</v>
      </c>
      <c r="I65" s="1"/>
      <c r="J65" s="5">
        <f t="shared" si="49"/>
        <v>0</v>
      </c>
      <c r="K65" s="1"/>
      <c r="L65" s="1">
        <f t="shared" si="50"/>
        <v>0</v>
      </c>
      <c r="M65" s="1"/>
      <c r="N65" s="5">
        <f t="shared" si="51"/>
        <v>0</v>
      </c>
      <c r="O65" s="12"/>
      <c r="P65" s="1">
        <f>SUM(OSRRefP22_13x_0)</f>
        <v>0</v>
      </c>
      <c r="Q65" s="1"/>
      <c r="R65" s="5">
        <f t="shared" si="52"/>
        <v>0</v>
      </c>
      <c r="S65" s="1"/>
      <c r="T65" s="1">
        <f>SUM(OSRRefT22_13x_0)</f>
        <v>4658.41</v>
      </c>
      <c r="U65" s="1"/>
      <c r="V65" s="5">
        <f t="shared" si="53"/>
        <v>0</v>
      </c>
      <c r="W65" s="1"/>
      <c r="X65" s="1">
        <f t="shared" si="54"/>
        <v>-4658.41</v>
      </c>
      <c r="Y65" s="1"/>
      <c r="Z65" s="5">
        <f t="shared" si="55"/>
        <v>-1</v>
      </c>
    </row>
    <row r="66" spans="1:26" s="23" customFormat="1" hidden="1" outlineLevel="2" x14ac:dyDescent="0.25">
      <c r="A66" s="27"/>
      <c r="B66" s="10" t="str">
        <f>CONCATENATE("          ", "6336", " - ", "PROFESSIONAL SERVICES")</f>
        <v xml:space="preserve">          6336 - PROFESSIONAL SERVICES</v>
      </c>
      <c r="C66" s="10"/>
      <c r="D66" s="6"/>
      <c r="E66" s="2"/>
      <c r="F66" s="7">
        <f t="shared" si="48"/>
        <v>0</v>
      </c>
      <c r="G66" s="2"/>
      <c r="H66" s="6"/>
      <c r="I66" s="2"/>
      <c r="J66" s="7">
        <f t="shared" si="49"/>
        <v>0</v>
      </c>
      <c r="K66" s="2"/>
      <c r="L66" s="6">
        <f t="shared" si="50"/>
        <v>0</v>
      </c>
      <c r="M66" s="2"/>
      <c r="N66" s="7">
        <f t="shared" si="51"/>
        <v>0</v>
      </c>
      <c r="O66" s="10"/>
      <c r="P66" s="6"/>
      <c r="Q66" s="2"/>
      <c r="R66" s="7">
        <f t="shared" si="52"/>
        <v>0</v>
      </c>
      <c r="S66" s="2"/>
      <c r="T66" s="6">
        <v>4658.41</v>
      </c>
      <c r="U66" s="2"/>
      <c r="V66" s="7">
        <f t="shared" si="53"/>
        <v>0</v>
      </c>
      <c r="W66" s="2"/>
      <c r="X66" s="6">
        <f t="shared" si="54"/>
        <v>-4658.41</v>
      </c>
      <c r="Y66" s="2"/>
      <c r="Z66" s="7">
        <f t="shared" si="55"/>
        <v>-1</v>
      </c>
    </row>
    <row r="67" spans="1:26" s="26" customFormat="1" outlineLevel="1" collapsed="1" x14ac:dyDescent="0.25">
      <c r="A67" s="25"/>
      <c r="B67" s="12" t="str">
        <f>CONCATENATE("     ","Rent                                              ")</f>
        <v xml:space="preserve">     Rent                                              </v>
      </c>
      <c r="C67" s="12"/>
      <c r="D67" s="1">
        <f>SUM(OSRRefD22_14x_0)</f>
        <v>-800</v>
      </c>
      <c r="E67" s="1"/>
      <c r="F67" s="5">
        <f t="shared" si="48"/>
        <v>0</v>
      </c>
      <c r="G67" s="1"/>
      <c r="H67" s="1">
        <f>SUM(OSRRefH22_14x_0)</f>
        <v>-800</v>
      </c>
      <c r="I67" s="1"/>
      <c r="J67" s="5">
        <f t="shared" si="49"/>
        <v>0</v>
      </c>
      <c r="K67" s="1"/>
      <c r="L67" s="1">
        <f t="shared" si="50"/>
        <v>0</v>
      </c>
      <c r="M67" s="1"/>
      <c r="N67" s="5">
        <f t="shared" si="51"/>
        <v>0</v>
      </c>
      <c r="O67" s="12"/>
      <c r="P67" s="1">
        <f>SUM(OSRRefP22_14x_0)</f>
        <v>-8800</v>
      </c>
      <c r="Q67" s="1"/>
      <c r="R67" s="5">
        <f t="shared" si="52"/>
        <v>0</v>
      </c>
      <c r="S67" s="1"/>
      <c r="T67" s="1">
        <f>SUM(OSRRefT22_14x_0)</f>
        <v>-7200</v>
      </c>
      <c r="U67" s="1"/>
      <c r="V67" s="5">
        <f t="shared" si="53"/>
        <v>0</v>
      </c>
      <c r="W67" s="1"/>
      <c r="X67" s="1">
        <f t="shared" si="54"/>
        <v>-1600</v>
      </c>
      <c r="Y67" s="1"/>
      <c r="Z67" s="5">
        <f t="shared" si="55"/>
        <v>0.22222222222222221</v>
      </c>
    </row>
    <row r="68" spans="1:26" s="23" customFormat="1" hidden="1" outlineLevel="2" x14ac:dyDescent="0.25">
      <c r="A68" s="27"/>
      <c r="B68" s="10" t="str">
        <f>CONCATENATE("          ", "6273", " - ", "RENT")</f>
        <v xml:space="preserve">          6273 - RENT</v>
      </c>
      <c r="C68" s="10"/>
      <c r="D68" s="6">
        <v>-800</v>
      </c>
      <c r="E68" s="2"/>
      <c r="F68" s="7">
        <f t="shared" si="48"/>
        <v>0</v>
      </c>
      <c r="G68" s="2"/>
      <c r="H68" s="6">
        <v>-800</v>
      </c>
      <c r="I68" s="2"/>
      <c r="J68" s="7">
        <f t="shared" si="49"/>
        <v>0</v>
      </c>
      <c r="K68" s="2"/>
      <c r="L68" s="6">
        <f t="shared" si="50"/>
        <v>0</v>
      </c>
      <c r="M68" s="2"/>
      <c r="N68" s="7">
        <f t="shared" si="51"/>
        <v>0</v>
      </c>
      <c r="O68" s="10"/>
      <c r="P68" s="6">
        <v>-8800</v>
      </c>
      <c r="Q68" s="2"/>
      <c r="R68" s="7">
        <f t="shared" si="52"/>
        <v>0</v>
      </c>
      <c r="S68" s="2"/>
      <c r="T68" s="6">
        <v>-7200</v>
      </c>
      <c r="U68" s="2"/>
      <c r="V68" s="7">
        <f t="shared" si="53"/>
        <v>0</v>
      </c>
      <c r="W68" s="2"/>
      <c r="X68" s="6">
        <f t="shared" si="54"/>
        <v>-1600</v>
      </c>
      <c r="Y68" s="2"/>
      <c r="Z68" s="7">
        <f t="shared" si="55"/>
        <v>0.22222222222222221</v>
      </c>
    </row>
    <row r="69" spans="1:26" s="26" customFormat="1" outlineLevel="1" collapsed="1" x14ac:dyDescent="0.25">
      <c r="A69" s="25"/>
      <c r="B69" s="12" t="str">
        <f>CONCATENATE("     ","Repair and Maintenance                            ")</f>
        <v xml:space="preserve">     Repair and Maintenance                            </v>
      </c>
      <c r="C69" s="12"/>
      <c r="D69" s="1">
        <f>SUM(OSRRefD22_15x_0)</f>
        <v>5441.37</v>
      </c>
      <c r="E69" s="1"/>
      <c r="F69" s="5">
        <f t="shared" si="48"/>
        <v>0</v>
      </c>
      <c r="G69" s="1"/>
      <c r="H69" s="1">
        <f>SUM(OSRRefH22_15x_0)</f>
        <v>4859.6400000000003</v>
      </c>
      <c r="I69" s="1"/>
      <c r="J69" s="5">
        <f t="shared" si="49"/>
        <v>0</v>
      </c>
      <c r="K69" s="1"/>
      <c r="L69" s="1">
        <f t="shared" si="50"/>
        <v>581.72999999999956</v>
      </c>
      <c r="M69" s="1"/>
      <c r="N69" s="5">
        <f t="shared" si="51"/>
        <v>0.11970639800479038</v>
      </c>
      <c r="O69" s="12"/>
      <c r="P69" s="1">
        <f>SUM(OSRRefP22_15x_0)</f>
        <v>106229.47</v>
      </c>
      <c r="Q69" s="1"/>
      <c r="R69" s="5">
        <f t="shared" si="52"/>
        <v>0</v>
      </c>
      <c r="S69" s="1"/>
      <c r="T69" s="1">
        <f>SUM(OSRRefT22_15x_0)</f>
        <v>65754.17</v>
      </c>
      <c r="U69" s="1"/>
      <c r="V69" s="5">
        <f t="shared" si="53"/>
        <v>0</v>
      </c>
      <c r="W69" s="1"/>
      <c r="X69" s="1">
        <f t="shared" si="54"/>
        <v>40475.300000000003</v>
      </c>
      <c r="Y69" s="1"/>
      <c r="Z69" s="5">
        <f t="shared" si="55"/>
        <v>0.61555487659565933</v>
      </c>
    </row>
    <row r="70" spans="1:26" s="23" customFormat="1" hidden="1" outlineLevel="2" x14ac:dyDescent="0.25">
      <c r="A70" s="27"/>
      <c r="B70" s="10" t="str">
        <f>CONCATENATE("          ", "6371", " - ", "COMPUTER SOFTWARE MAINTENANCE")</f>
        <v xml:space="preserve">          6371 - COMPUTER SOFTWARE MAINTENANCE</v>
      </c>
      <c r="C70" s="10"/>
      <c r="D70" s="6"/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0"/>
      <c r="P70" s="6">
        <v>59760.03</v>
      </c>
      <c r="Q70" s="2"/>
      <c r="R70" s="7">
        <f t="shared" si="52"/>
        <v>0</v>
      </c>
      <c r="S70" s="2"/>
      <c r="T70" s="6">
        <v>16417.5</v>
      </c>
      <c r="U70" s="2"/>
      <c r="V70" s="7">
        <f t="shared" si="53"/>
        <v>0</v>
      </c>
      <c r="W70" s="2"/>
      <c r="X70" s="6">
        <f t="shared" si="54"/>
        <v>43342.53</v>
      </c>
      <c r="Y70" s="2"/>
      <c r="Z70" s="7">
        <f t="shared" si="55"/>
        <v>2.6400201005025123</v>
      </c>
    </row>
    <row r="71" spans="1:26" s="23" customFormat="1" hidden="1" outlineLevel="2" x14ac:dyDescent="0.25">
      <c r="A71" s="27"/>
      <c r="B71" s="10" t="str">
        <f>CONCATENATE("          ", "6372", " - ", "COMPUTER HARDWARE MAINTENANCE")</f>
        <v xml:space="preserve">          6372 - COMPUTER HARDWARE MAINTENANCE</v>
      </c>
      <c r="C71" s="10"/>
      <c r="D71" s="6"/>
      <c r="E71" s="2"/>
      <c r="F71" s="7">
        <f t="shared" si="48"/>
        <v>0</v>
      </c>
      <c r="G71" s="2"/>
      <c r="H71" s="6"/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0"/>
      <c r="P71" s="6">
        <v>-0.63</v>
      </c>
      <c r="Q71" s="2"/>
      <c r="R71" s="7">
        <f t="shared" si="52"/>
        <v>0</v>
      </c>
      <c r="S71" s="2"/>
      <c r="T71" s="6">
        <v>52.32</v>
      </c>
      <c r="U71" s="2"/>
      <c r="V71" s="7">
        <f t="shared" si="53"/>
        <v>0</v>
      </c>
      <c r="W71" s="2"/>
      <c r="X71" s="6">
        <f t="shared" si="54"/>
        <v>-52.95</v>
      </c>
      <c r="Y71" s="2"/>
      <c r="Z71" s="7">
        <f t="shared" si="55"/>
        <v>-1.0120412844036697</v>
      </c>
    </row>
    <row r="72" spans="1:26" s="23" customFormat="1" hidden="1" outlineLevel="2" x14ac:dyDescent="0.25">
      <c r="A72" s="27"/>
      <c r="B72" s="10" t="str">
        <f>CONCATENATE("          ", "6373", " - ", "MAINTENANCE CONTRACTS")</f>
        <v xml:space="preserve">          6373 - MAINTENANCE CONTRACTS</v>
      </c>
      <c r="C72" s="10"/>
      <c r="D72" s="6">
        <v>2901.77</v>
      </c>
      <c r="E72" s="2"/>
      <c r="F72" s="7">
        <f t="shared" si="48"/>
        <v>0</v>
      </c>
      <c r="G72" s="2"/>
      <c r="H72" s="6">
        <v>3318</v>
      </c>
      <c r="I72" s="2"/>
      <c r="J72" s="7">
        <f t="shared" si="49"/>
        <v>0</v>
      </c>
      <c r="K72" s="2"/>
      <c r="L72" s="6">
        <f t="shared" si="50"/>
        <v>-416.23</v>
      </c>
      <c r="M72" s="2"/>
      <c r="N72" s="7">
        <f t="shared" si="51"/>
        <v>-0.12544605183845692</v>
      </c>
      <c r="O72" s="10"/>
      <c r="P72" s="6">
        <v>17327.599999999999</v>
      </c>
      <c r="Q72" s="2"/>
      <c r="R72" s="7">
        <f t="shared" si="52"/>
        <v>0</v>
      </c>
      <c r="S72" s="2"/>
      <c r="T72" s="6">
        <v>12695.05</v>
      </c>
      <c r="U72" s="2"/>
      <c r="V72" s="7">
        <f t="shared" si="53"/>
        <v>0</v>
      </c>
      <c r="W72" s="2"/>
      <c r="X72" s="6">
        <f t="shared" si="54"/>
        <v>4632.5499999999993</v>
      </c>
      <c r="Y72" s="2"/>
      <c r="Z72" s="7">
        <f t="shared" si="55"/>
        <v>0.36490994521486719</v>
      </c>
    </row>
    <row r="73" spans="1:26" s="23" customFormat="1" hidden="1" outlineLevel="2" x14ac:dyDescent="0.25">
      <c r="A73" s="27"/>
      <c r="B73" s="10" t="str">
        <f>CONCATENATE("          ", "6375", " - ", "OUTSIDE REPAIRS &amp; MAINTENANCE")</f>
        <v xml:space="preserve">          6375 - OUTSIDE REPAIRS &amp; MAINTENANCE</v>
      </c>
      <c r="C73" s="10"/>
      <c r="D73" s="6">
        <v>2539.6</v>
      </c>
      <c r="E73" s="2"/>
      <c r="F73" s="7">
        <f t="shared" si="48"/>
        <v>0</v>
      </c>
      <c r="G73" s="2"/>
      <c r="H73" s="6">
        <v>1541.64</v>
      </c>
      <c r="I73" s="2"/>
      <c r="J73" s="7">
        <f t="shared" si="49"/>
        <v>0</v>
      </c>
      <c r="K73" s="2"/>
      <c r="L73" s="6">
        <f t="shared" si="50"/>
        <v>997.95999999999981</v>
      </c>
      <c r="M73" s="2"/>
      <c r="N73" s="7">
        <f t="shared" si="51"/>
        <v>0.64733660257907144</v>
      </c>
      <c r="O73" s="10"/>
      <c r="P73" s="6">
        <v>29142.47</v>
      </c>
      <c r="Q73" s="2"/>
      <c r="R73" s="7">
        <f t="shared" si="52"/>
        <v>0</v>
      </c>
      <c r="S73" s="2"/>
      <c r="T73" s="6">
        <v>36589.300000000003</v>
      </c>
      <c r="U73" s="2"/>
      <c r="V73" s="7">
        <f t="shared" si="53"/>
        <v>0</v>
      </c>
      <c r="W73" s="2"/>
      <c r="X73" s="6">
        <f t="shared" si="54"/>
        <v>-7446.8300000000017</v>
      </c>
      <c r="Y73" s="2"/>
      <c r="Z73" s="7">
        <f t="shared" si="55"/>
        <v>-0.20352480096640277</v>
      </c>
    </row>
    <row r="74" spans="1:26" s="26" customFormat="1" outlineLevel="1" collapsed="1" x14ac:dyDescent="0.25">
      <c r="A74" s="25"/>
      <c r="B74" s="12" t="str">
        <f>CONCATENATE("     ","Services                                          ")</f>
        <v xml:space="preserve">     Services                                          </v>
      </c>
      <c r="C74" s="12"/>
      <c r="D74" s="1">
        <f>SUM(OSRRefD22_16x_0)</f>
        <v>4141.7299999999996</v>
      </c>
      <c r="E74" s="1"/>
      <c r="F74" s="5">
        <f t="shared" ref="F74:F77" si="56">IF(D$12=0,0,D74/D$12)</f>
        <v>0</v>
      </c>
      <c r="G74" s="1"/>
      <c r="H74" s="1">
        <f>SUM(OSRRefH22_16x_0)</f>
        <v>4108.18</v>
      </c>
      <c r="I74" s="1"/>
      <c r="J74" s="5">
        <f t="shared" ref="J74:J77" si="57">IF(H$12=0,0,H74/H$12)</f>
        <v>0</v>
      </c>
      <c r="K74" s="1"/>
      <c r="L74" s="1">
        <f t="shared" ref="L74:L77" si="58">+D74-H74</f>
        <v>33.549999999999272</v>
      </c>
      <c r="M74" s="1"/>
      <c r="N74" s="5">
        <f t="shared" ref="N74:N77" si="59">IF(H74=0,0,L74/H74)</f>
        <v>8.1666333997048018E-3</v>
      </c>
      <c r="O74" s="12"/>
      <c r="P74" s="1">
        <f>SUM(OSRRefP22_16x_0)</f>
        <v>43504.280000000006</v>
      </c>
      <c r="Q74" s="1"/>
      <c r="R74" s="5">
        <f t="shared" ref="R74:R77" si="60">IF(P$12=0,0,P74/P$12)</f>
        <v>0</v>
      </c>
      <c r="S74" s="1"/>
      <c r="T74" s="1">
        <f>SUM(OSRRefT22_16x_0)</f>
        <v>45589.810000000005</v>
      </c>
      <c r="U74" s="1"/>
      <c r="V74" s="5">
        <f t="shared" ref="V74:V77" si="61">IF(T$12=0,0,T74/T$12)</f>
        <v>0</v>
      </c>
      <c r="W74" s="1"/>
      <c r="X74" s="1">
        <f t="shared" ref="X74:X77" si="62">+P74-T74</f>
        <v>-2085.5299999999988</v>
      </c>
      <c r="Y74" s="1"/>
      <c r="Z74" s="5">
        <f t="shared" ref="Z74:Z77" si="63">IF(T74=0,0,X74/T74)</f>
        <v>-4.5745529538289337E-2</v>
      </c>
    </row>
    <row r="75" spans="1:26" s="23" customFormat="1" hidden="1" outlineLevel="2" x14ac:dyDescent="0.25">
      <c r="A75" s="27"/>
      <c r="B75" s="10" t="str">
        <f>CONCATENATE("          ", "6282", " - ", "JANITORIAL/EXTERMINATOR EXPENS")</f>
        <v xml:space="preserve">          6282 - JANITORIAL/EXTERMINATOR EXPENS</v>
      </c>
      <c r="C75" s="10"/>
      <c r="D75" s="6">
        <v>291</v>
      </c>
      <c r="E75" s="2"/>
      <c r="F75" s="7">
        <f t="shared" si="56"/>
        <v>0</v>
      </c>
      <c r="G75" s="2"/>
      <c r="H75" s="6"/>
      <c r="I75" s="2"/>
      <c r="J75" s="7">
        <f t="shared" si="57"/>
        <v>0</v>
      </c>
      <c r="K75" s="2"/>
      <c r="L75" s="6">
        <f t="shared" si="58"/>
        <v>291</v>
      </c>
      <c r="M75" s="2"/>
      <c r="N75" s="7">
        <f t="shared" si="59"/>
        <v>0</v>
      </c>
      <c r="O75" s="10"/>
      <c r="P75" s="6">
        <v>7521.12</v>
      </c>
      <c r="Q75" s="2"/>
      <c r="R75" s="7">
        <f t="shared" si="60"/>
        <v>0</v>
      </c>
      <c r="S75" s="2"/>
      <c r="T75" s="6">
        <v>2225</v>
      </c>
      <c r="U75" s="2"/>
      <c r="V75" s="7">
        <f t="shared" si="61"/>
        <v>0</v>
      </c>
      <c r="W75" s="2"/>
      <c r="X75" s="6">
        <f t="shared" si="62"/>
        <v>5296.12</v>
      </c>
      <c r="Y75" s="2"/>
      <c r="Z75" s="7">
        <f t="shared" si="63"/>
        <v>2.3802786516853933</v>
      </c>
    </row>
    <row r="76" spans="1:26" s="23" customFormat="1" hidden="1" outlineLevel="2" x14ac:dyDescent="0.25">
      <c r="A76" s="27"/>
      <c r="B76" s="10" t="str">
        <f>CONCATENATE("          ", "6283", " - ", "PLANT SERVICE")</f>
        <v xml:space="preserve">          6283 - PLANT SERVICE</v>
      </c>
      <c r="C76" s="10"/>
      <c r="D76" s="6"/>
      <c r="E76" s="2"/>
      <c r="F76" s="7">
        <f t="shared" si="56"/>
        <v>0</v>
      </c>
      <c r="G76" s="2"/>
      <c r="H76" s="6"/>
      <c r="I76" s="2"/>
      <c r="J76" s="7">
        <f t="shared" si="57"/>
        <v>0</v>
      </c>
      <c r="K76" s="2"/>
      <c r="L76" s="6">
        <f t="shared" si="58"/>
        <v>0</v>
      </c>
      <c r="M76" s="2"/>
      <c r="N76" s="7">
        <f t="shared" si="59"/>
        <v>0</v>
      </c>
      <c r="O76" s="10"/>
      <c r="P76" s="6">
        <v>130</v>
      </c>
      <c r="Q76" s="2"/>
      <c r="R76" s="7">
        <f t="shared" si="60"/>
        <v>0</v>
      </c>
      <c r="S76" s="2"/>
      <c r="T76" s="6">
        <v>363.33</v>
      </c>
      <c r="U76" s="2"/>
      <c r="V76" s="7">
        <f t="shared" si="61"/>
        <v>0</v>
      </c>
      <c r="W76" s="2"/>
      <c r="X76" s="6">
        <f t="shared" si="62"/>
        <v>-233.32999999999998</v>
      </c>
      <c r="Y76" s="2"/>
      <c r="Z76" s="7">
        <f t="shared" si="63"/>
        <v>-0.6421985522802961</v>
      </c>
    </row>
    <row r="77" spans="1:26" s="23" customFormat="1" hidden="1" outlineLevel="2" x14ac:dyDescent="0.25">
      <c r="A77" s="27"/>
      <c r="B77" s="10" t="str">
        <f>CONCATENATE("          ", "6285", " - ", "JANITORIAL SERVICES")</f>
        <v xml:space="preserve">          6285 - JANITORIAL SERVICES</v>
      </c>
      <c r="C77" s="10"/>
      <c r="D77" s="6">
        <v>3850.73</v>
      </c>
      <c r="E77" s="2"/>
      <c r="F77" s="7">
        <f t="shared" si="56"/>
        <v>0</v>
      </c>
      <c r="G77" s="2"/>
      <c r="H77" s="6">
        <v>4108.18</v>
      </c>
      <c r="I77" s="2"/>
      <c r="J77" s="7">
        <f t="shared" si="57"/>
        <v>0</v>
      </c>
      <c r="K77" s="2"/>
      <c r="L77" s="6">
        <f t="shared" si="58"/>
        <v>-257.45000000000027</v>
      </c>
      <c r="M77" s="2"/>
      <c r="N77" s="7">
        <f t="shared" si="59"/>
        <v>-6.2667653316067037E-2</v>
      </c>
      <c r="O77" s="10"/>
      <c r="P77" s="6">
        <v>35853.160000000003</v>
      </c>
      <c r="Q77" s="2"/>
      <c r="R77" s="7">
        <f t="shared" si="60"/>
        <v>0</v>
      </c>
      <c r="S77" s="2"/>
      <c r="T77" s="6">
        <v>43001.48</v>
      </c>
      <c r="U77" s="2"/>
      <c r="V77" s="7">
        <f t="shared" si="61"/>
        <v>0</v>
      </c>
      <c r="W77" s="2"/>
      <c r="X77" s="6">
        <f t="shared" si="62"/>
        <v>-7148.32</v>
      </c>
      <c r="Y77" s="2"/>
      <c r="Z77" s="7">
        <f t="shared" si="63"/>
        <v>-0.16623427844809061</v>
      </c>
    </row>
    <row r="78" spans="1:26" s="26" customFormat="1" outlineLevel="1" collapsed="1" x14ac:dyDescent="0.25">
      <c r="A78" s="25"/>
      <c r="B78" s="12" t="str">
        <f>CONCATENATE("     ","Subscriptions &amp; Dues                              ")</f>
        <v xml:space="preserve">     Subscriptions &amp; Dues                              </v>
      </c>
      <c r="C78" s="12"/>
      <c r="D78" s="1">
        <f>SUM(OSRRefD22_17x_0)</f>
        <v>0</v>
      </c>
      <c r="E78" s="1"/>
      <c r="F78" s="5">
        <f t="shared" ref="F78:F80" si="64">IF(D$12=0,0,D78/D$12)</f>
        <v>0</v>
      </c>
      <c r="G78" s="1"/>
      <c r="H78" s="1">
        <f>SUM(OSRRefH22_17x_0)</f>
        <v>0</v>
      </c>
      <c r="I78" s="1"/>
      <c r="J78" s="5">
        <f t="shared" ref="J78:J80" si="65">IF(H$12=0,0,H78/H$12)</f>
        <v>0</v>
      </c>
      <c r="K78" s="1"/>
      <c r="L78" s="1">
        <f t="shared" ref="L78:L80" si="66">+D78-H78</f>
        <v>0</v>
      </c>
      <c r="M78" s="1"/>
      <c r="N78" s="5">
        <f t="shared" ref="N78:N80" si="67">IF(H78=0,0,L78/H78)</f>
        <v>0</v>
      </c>
      <c r="O78" s="12"/>
      <c r="P78" s="1">
        <f>SUM(OSRRefP22_17x_0)</f>
        <v>0</v>
      </c>
      <c r="Q78" s="1"/>
      <c r="R78" s="5">
        <f t="shared" ref="R78:R80" si="68">IF(P$12=0,0,P78/P$12)</f>
        <v>0</v>
      </c>
      <c r="S78" s="1"/>
      <c r="T78" s="1">
        <f>SUM(OSRRefT22_17x_0)</f>
        <v>1280.3</v>
      </c>
      <c r="U78" s="1"/>
      <c r="V78" s="5">
        <f t="shared" ref="V78:V80" si="69">IF(T$12=0,0,T78/T$12)</f>
        <v>0</v>
      </c>
      <c r="W78" s="1"/>
      <c r="X78" s="1">
        <f t="shared" ref="X78:X80" si="70">+P78-T78</f>
        <v>-1280.3</v>
      </c>
      <c r="Y78" s="1"/>
      <c r="Z78" s="5">
        <f t="shared" ref="Z78:Z80" si="71">IF(T78=0,0,X78/T78)</f>
        <v>-1</v>
      </c>
    </row>
    <row r="79" spans="1:26" s="23" customFormat="1" hidden="1" outlineLevel="2" x14ac:dyDescent="0.25">
      <c r="A79" s="27"/>
      <c r="B79" s="10" t="str">
        <f>CONCATENATE("          ", "6258", " - ", "MEMBERSHIP DUES")</f>
        <v xml:space="preserve">          6258 - MEMBERSHIP DUES</v>
      </c>
      <c r="C79" s="10"/>
      <c r="D79" s="6"/>
      <c r="E79" s="2"/>
      <c r="F79" s="7">
        <f t="shared" si="64"/>
        <v>0</v>
      </c>
      <c r="G79" s="2"/>
      <c r="H79" s="6"/>
      <c r="I79" s="2"/>
      <c r="J79" s="7">
        <f t="shared" si="65"/>
        <v>0</v>
      </c>
      <c r="K79" s="2"/>
      <c r="L79" s="6">
        <f t="shared" si="66"/>
        <v>0</v>
      </c>
      <c r="M79" s="2"/>
      <c r="N79" s="7">
        <f t="shared" si="67"/>
        <v>0</v>
      </c>
      <c r="O79" s="10"/>
      <c r="P79" s="6"/>
      <c r="Q79" s="2"/>
      <c r="R79" s="7">
        <f t="shared" si="68"/>
        <v>0</v>
      </c>
      <c r="S79" s="2"/>
      <c r="T79" s="6">
        <v>875</v>
      </c>
      <c r="U79" s="2"/>
      <c r="V79" s="7">
        <f t="shared" si="69"/>
        <v>0</v>
      </c>
      <c r="W79" s="2"/>
      <c r="X79" s="6">
        <f t="shared" si="70"/>
        <v>-875</v>
      </c>
      <c r="Y79" s="2"/>
      <c r="Z79" s="7">
        <f t="shared" si="71"/>
        <v>-1</v>
      </c>
    </row>
    <row r="80" spans="1:26" s="23" customFormat="1" hidden="1" outlineLevel="2" x14ac:dyDescent="0.25">
      <c r="A80" s="27"/>
      <c r="B80" s="10" t="str">
        <f>CONCATENATE("          ", "6275", " - ", "SUBSCRIPTIONS")</f>
        <v xml:space="preserve">          6275 - SUBSCRIPTIONS</v>
      </c>
      <c r="C80" s="10"/>
      <c r="D80" s="6"/>
      <c r="E80" s="2"/>
      <c r="F80" s="7">
        <f t="shared" si="64"/>
        <v>0</v>
      </c>
      <c r="G80" s="2"/>
      <c r="H80" s="6"/>
      <c r="I80" s="2"/>
      <c r="J80" s="7">
        <f t="shared" si="65"/>
        <v>0</v>
      </c>
      <c r="K80" s="2"/>
      <c r="L80" s="6">
        <f t="shared" si="66"/>
        <v>0</v>
      </c>
      <c r="M80" s="2"/>
      <c r="N80" s="7">
        <f t="shared" si="67"/>
        <v>0</v>
      </c>
      <c r="O80" s="10"/>
      <c r="P80" s="6"/>
      <c r="Q80" s="2"/>
      <c r="R80" s="7">
        <f t="shared" si="68"/>
        <v>0</v>
      </c>
      <c r="S80" s="2"/>
      <c r="T80" s="6">
        <v>405.3</v>
      </c>
      <c r="U80" s="2"/>
      <c r="V80" s="7">
        <f t="shared" si="69"/>
        <v>0</v>
      </c>
      <c r="W80" s="2"/>
      <c r="X80" s="6">
        <f t="shared" si="70"/>
        <v>-405.3</v>
      </c>
      <c r="Y80" s="2"/>
      <c r="Z80" s="7">
        <f t="shared" si="71"/>
        <v>-1</v>
      </c>
    </row>
    <row r="81" spans="1:26" s="26" customFormat="1" outlineLevel="1" collapsed="1" x14ac:dyDescent="0.25">
      <c r="A81" s="25"/>
      <c r="B81" s="12" t="str">
        <f>CONCATENATE("     ","Supplies                                          ")</f>
        <v xml:space="preserve">     Supplies                                          </v>
      </c>
      <c r="C81" s="12"/>
      <c r="D81" s="1">
        <f>SUM(OSRRefD22_18x_0)</f>
        <v>3529.18</v>
      </c>
      <c r="E81" s="1"/>
      <c r="F81" s="5">
        <f t="shared" ref="F81:F88" si="72">IF(D$12=0,0,D81/D$12)</f>
        <v>0</v>
      </c>
      <c r="G81" s="1"/>
      <c r="H81" s="1">
        <f>SUM(OSRRefH22_18x_0)</f>
        <v>2944.3</v>
      </c>
      <c r="I81" s="1"/>
      <c r="J81" s="5">
        <f t="shared" ref="J81:J88" si="73">IF(H$12=0,0,H81/H$12)</f>
        <v>0</v>
      </c>
      <c r="K81" s="1"/>
      <c r="L81" s="1">
        <f t="shared" ref="L81:L88" si="74">+D81-H81</f>
        <v>584.87999999999965</v>
      </c>
      <c r="M81" s="1"/>
      <c r="N81" s="5">
        <f t="shared" ref="N81:N88" si="75">IF(H81=0,0,L81/H81)</f>
        <v>0.19864823557382047</v>
      </c>
      <c r="O81" s="12"/>
      <c r="P81" s="1">
        <f>SUM(OSRRefP22_18x_0)</f>
        <v>67572.900000000009</v>
      </c>
      <c r="Q81" s="1"/>
      <c r="R81" s="5">
        <f t="shared" ref="R81:R88" si="76">IF(P$12=0,0,P81/P$12)</f>
        <v>0</v>
      </c>
      <c r="S81" s="1"/>
      <c r="T81" s="1">
        <f>SUM(OSRRefT22_18x_0)</f>
        <v>17065.370000000003</v>
      </c>
      <c r="U81" s="1"/>
      <c r="V81" s="5">
        <f t="shared" ref="V81:V88" si="77">IF(T$12=0,0,T81/T$12)</f>
        <v>0</v>
      </c>
      <c r="W81" s="1"/>
      <c r="X81" s="1">
        <f t="shared" ref="X81:X88" si="78">+P81-T81</f>
        <v>50507.530000000006</v>
      </c>
      <c r="Y81" s="1"/>
      <c r="Z81" s="5">
        <f t="shared" ref="Z81:Z88" si="79">IF(T81=0,0,X81/T81)</f>
        <v>2.9596504500048928</v>
      </c>
    </row>
    <row r="82" spans="1:26" s="23" customFormat="1" hidden="1" outlineLevel="2" x14ac:dyDescent="0.25">
      <c r="A82" s="27"/>
      <c r="B82" s="10" t="str">
        <f>CONCATENATE("          ", "6234", " - ", "EXPENDABLE SUPPLIES &amp; EQUIPMEN")</f>
        <v xml:space="preserve">          6234 - EXPENDABLE SUPPLIES &amp; EQUIPMEN</v>
      </c>
      <c r="C82" s="10"/>
      <c r="D82" s="6"/>
      <c r="E82" s="2"/>
      <c r="F82" s="7">
        <f t="shared" si="72"/>
        <v>0</v>
      </c>
      <c r="G82" s="2"/>
      <c r="H82" s="6">
        <v>700.76</v>
      </c>
      <c r="I82" s="2"/>
      <c r="J82" s="7">
        <f t="shared" si="73"/>
        <v>0</v>
      </c>
      <c r="K82" s="2"/>
      <c r="L82" s="6">
        <f t="shared" si="74"/>
        <v>-700.76</v>
      </c>
      <c r="M82" s="2"/>
      <c r="N82" s="7">
        <f t="shared" si="75"/>
        <v>-1</v>
      </c>
      <c r="O82" s="10"/>
      <c r="P82" s="6">
        <v>-449.34</v>
      </c>
      <c r="Q82" s="2"/>
      <c r="R82" s="7">
        <f t="shared" si="76"/>
        <v>0</v>
      </c>
      <c r="S82" s="2"/>
      <c r="T82" s="6">
        <v>2149.0500000000002</v>
      </c>
      <c r="U82" s="2"/>
      <c r="V82" s="7">
        <f t="shared" si="77"/>
        <v>0</v>
      </c>
      <c r="W82" s="2"/>
      <c r="X82" s="6">
        <f t="shared" si="78"/>
        <v>-2598.3900000000003</v>
      </c>
      <c r="Y82" s="2"/>
      <c r="Z82" s="7">
        <f t="shared" si="79"/>
        <v>-1.2090877364416837</v>
      </c>
    </row>
    <row r="83" spans="1:26" s="23" customFormat="1" hidden="1" outlineLevel="2" x14ac:dyDescent="0.25">
      <c r="A83" s="27"/>
      <c r="B83" s="10" t="str">
        <f>CONCATENATE("          ", "6235", " - ", "COVID-19 EXPENSES")</f>
        <v xml:space="preserve">          6235 - COVID-19 EXPENSES</v>
      </c>
      <c r="C83" s="10"/>
      <c r="D83" s="6">
        <v>2928.27</v>
      </c>
      <c r="E83" s="2"/>
      <c r="F83" s="7">
        <f t="shared" si="72"/>
        <v>0</v>
      </c>
      <c r="G83" s="2"/>
      <c r="H83" s="6">
        <v>1550</v>
      </c>
      <c r="I83" s="2"/>
      <c r="J83" s="7">
        <f t="shared" si="73"/>
        <v>0</v>
      </c>
      <c r="K83" s="2"/>
      <c r="L83" s="6">
        <f t="shared" si="74"/>
        <v>1378.27</v>
      </c>
      <c r="M83" s="2"/>
      <c r="N83" s="7">
        <f t="shared" si="75"/>
        <v>0.88920645161290324</v>
      </c>
      <c r="O83" s="10"/>
      <c r="P83" s="6">
        <v>41950.720000000001</v>
      </c>
      <c r="Q83" s="2"/>
      <c r="R83" s="7">
        <f t="shared" si="76"/>
        <v>0</v>
      </c>
      <c r="S83" s="2"/>
      <c r="T83" s="6">
        <v>1550</v>
      </c>
      <c r="U83" s="2"/>
      <c r="V83" s="7">
        <f t="shared" si="77"/>
        <v>0</v>
      </c>
      <c r="W83" s="2"/>
      <c r="X83" s="6">
        <f t="shared" si="78"/>
        <v>40400.720000000001</v>
      </c>
      <c r="Y83" s="2"/>
      <c r="Z83" s="7">
        <f t="shared" si="79"/>
        <v>26.064980645161292</v>
      </c>
    </row>
    <row r="84" spans="1:26" s="23" customFormat="1" hidden="1" outlineLevel="2" x14ac:dyDescent="0.25">
      <c r="A84" s="27"/>
      <c r="B84" s="10" t="str">
        <f>CONCATENATE("          ", "6237", " - ", "JANITORIAL SUPPLIES")</f>
        <v xml:space="preserve">          6237 - JANITORIAL SUPPLIES</v>
      </c>
      <c r="C84" s="10"/>
      <c r="D84" s="6">
        <v>390.73</v>
      </c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390.73</v>
      </c>
      <c r="M84" s="2"/>
      <c r="N84" s="7">
        <f t="shared" si="75"/>
        <v>0</v>
      </c>
      <c r="O84" s="10"/>
      <c r="P84" s="6">
        <v>3688.54</v>
      </c>
      <c r="Q84" s="2"/>
      <c r="R84" s="7">
        <f t="shared" si="76"/>
        <v>0</v>
      </c>
      <c r="S84" s="2"/>
      <c r="T84" s="6">
        <v>4407.67</v>
      </c>
      <c r="U84" s="2"/>
      <c r="V84" s="7">
        <f t="shared" si="77"/>
        <v>0</v>
      </c>
      <c r="W84" s="2"/>
      <c r="X84" s="6">
        <f t="shared" si="78"/>
        <v>-719.13000000000011</v>
      </c>
      <c r="Y84" s="2"/>
      <c r="Z84" s="7">
        <f t="shared" si="79"/>
        <v>-0.16315422887829625</v>
      </c>
    </row>
    <row r="85" spans="1:26" s="23" customFormat="1" hidden="1" outlineLevel="2" x14ac:dyDescent="0.25">
      <c r="A85" s="27"/>
      <c r="B85" s="10" t="str">
        <f>CONCATENATE("          ", "6241", " - ", "OFFICE EXPENSE")</f>
        <v xml:space="preserve">          6241 - OFFICE EXPENSE</v>
      </c>
      <c r="C85" s="10"/>
      <c r="D85" s="6">
        <v>9.68</v>
      </c>
      <c r="E85" s="2"/>
      <c r="F85" s="7">
        <f t="shared" si="72"/>
        <v>0</v>
      </c>
      <c r="G85" s="2"/>
      <c r="H85" s="6">
        <v>693.74</v>
      </c>
      <c r="I85" s="2"/>
      <c r="J85" s="7">
        <f t="shared" si="73"/>
        <v>0</v>
      </c>
      <c r="K85" s="2"/>
      <c r="L85" s="6">
        <f t="shared" si="74"/>
        <v>-684.06000000000006</v>
      </c>
      <c r="M85" s="2"/>
      <c r="N85" s="7">
        <f t="shared" si="75"/>
        <v>-0.98604664571741585</v>
      </c>
      <c r="O85" s="10"/>
      <c r="P85" s="6">
        <v>2882.25</v>
      </c>
      <c r="Q85" s="2"/>
      <c r="R85" s="7">
        <f t="shared" si="76"/>
        <v>0</v>
      </c>
      <c r="S85" s="2"/>
      <c r="T85" s="6">
        <v>9348.86</v>
      </c>
      <c r="U85" s="2"/>
      <c r="V85" s="7">
        <f t="shared" si="77"/>
        <v>0</v>
      </c>
      <c r="W85" s="2"/>
      <c r="X85" s="6">
        <f t="shared" si="78"/>
        <v>-6466.6100000000006</v>
      </c>
      <c r="Y85" s="2"/>
      <c r="Z85" s="7">
        <f t="shared" si="79"/>
        <v>-0.69170037844186349</v>
      </c>
    </row>
    <row r="86" spans="1:26" s="23" customFormat="1" hidden="1" outlineLevel="2" x14ac:dyDescent="0.25">
      <c r="A86" s="27"/>
      <c r="B86" s="10" t="str">
        <f>CONCATENATE("          ", "6245", " - ", "PRINTING")</f>
        <v xml:space="preserve">          6245 - PRINTING</v>
      </c>
      <c r="C86" s="10"/>
      <c r="D86" s="6"/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0</v>
      </c>
      <c r="M86" s="2"/>
      <c r="N86" s="7">
        <f t="shared" si="75"/>
        <v>0</v>
      </c>
      <c r="O86" s="10"/>
      <c r="P86" s="6">
        <v>68.66</v>
      </c>
      <c r="Q86" s="2"/>
      <c r="R86" s="7">
        <f t="shared" si="76"/>
        <v>0</v>
      </c>
      <c r="S86" s="2"/>
      <c r="T86" s="6">
        <v>19.73</v>
      </c>
      <c r="U86" s="2"/>
      <c r="V86" s="7">
        <f t="shared" si="77"/>
        <v>0</v>
      </c>
      <c r="W86" s="2"/>
      <c r="X86" s="6">
        <f t="shared" si="78"/>
        <v>48.929999999999993</v>
      </c>
      <c r="Y86" s="2"/>
      <c r="Z86" s="7">
        <f t="shared" si="79"/>
        <v>2.4799797263051189</v>
      </c>
    </row>
    <row r="87" spans="1:26" s="23" customFormat="1" hidden="1" outlineLevel="2" x14ac:dyDescent="0.25">
      <c r="A87" s="27"/>
      <c r="B87" s="10" t="str">
        <f>CONCATENATE("          ", "6247", " - ", "STORE SUPPLIES")</f>
        <v xml:space="preserve">          6247 - STORE SUPPLIES</v>
      </c>
      <c r="C87" s="10"/>
      <c r="D87" s="6">
        <v>200.5</v>
      </c>
      <c r="E87" s="2"/>
      <c r="F87" s="7">
        <f t="shared" si="72"/>
        <v>0</v>
      </c>
      <c r="G87" s="2"/>
      <c r="H87" s="6">
        <v>-0.2</v>
      </c>
      <c r="I87" s="2"/>
      <c r="J87" s="7">
        <f t="shared" si="73"/>
        <v>0</v>
      </c>
      <c r="K87" s="2"/>
      <c r="L87" s="6">
        <f t="shared" si="74"/>
        <v>200.7</v>
      </c>
      <c r="M87" s="2"/>
      <c r="N87" s="7">
        <f t="shared" si="75"/>
        <v>-1003.4999999999999</v>
      </c>
      <c r="O87" s="10"/>
      <c r="P87" s="6">
        <v>19432.07</v>
      </c>
      <c r="Q87" s="2"/>
      <c r="R87" s="7">
        <f t="shared" si="76"/>
        <v>0</v>
      </c>
      <c r="S87" s="2"/>
      <c r="T87" s="6">
        <v>-453.85</v>
      </c>
      <c r="U87" s="2"/>
      <c r="V87" s="7">
        <f t="shared" si="77"/>
        <v>0</v>
      </c>
      <c r="W87" s="2"/>
      <c r="X87" s="6">
        <f t="shared" si="78"/>
        <v>19885.919999999998</v>
      </c>
      <c r="Y87" s="2"/>
      <c r="Z87" s="7">
        <f t="shared" si="79"/>
        <v>-43.816062575740879</v>
      </c>
    </row>
    <row r="88" spans="1:26" s="23" customFormat="1" hidden="1" outlineLevel="2" x14ac:dyDescent="0.25">
      <c r="A88" s="27"/>
      <c r="B88" s="10" t="str">
        <f>CONCATENATE("          ", "6248", " - ", "UNIFORMS")</f>
        <v xml:space="preserve">          6248 - UNIFORMS</v>
      </c>
      <c r="C88" s="10"/>
      <c r="D88" s="6"/>
      <c r="E88" s="2"/>
      <c r="F88" s="7">
        <f t="shared" si="72"/>
        <v>0</v>
      </c>
      <c r="G88" s="2"/>
      <c r="H88" s="6"/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0"/>
      <c r="P88" s="6"/>
      <c r="Q88" s="2"/>
      <c r="R88" s="7">
        <f t="shared" si="76"/>
        <v>0</v>
      </c>
      <c r="S88" s="2"/>
      <c r="T88" s="6">
        <v>43.91</v>
      </c>
      <c r="U88" s="2"/>
      <c r="V88" s="7">
        <f t="shared" si="77"/>
        <v>0</v>
      </c>
      <c r="W88" s="2"/>
      <c r="X88" s="6">
        <f t="shared" si="78"/>
        <v>-43.91</v>
      </c>
      <c r="Y88" s="2"/>
      <c r="Z88" s="7">
        <f t="shared" si="79"/>
        <v>-1</v>
      </c>
    </row>
    <row r="89" spans="1:26" s="26" customFormat="1" outlineLevel="1" collapsed="1" x14ac:dyDescent="0.25">
      <c r="A89" s="25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SUM(OSRRefD22_19x_0)</f>
        <v>580</v>
      </c>
      <c r="E89" s="1"/>
      <c r="F89" s="5">
        <f t="shared" ref="F89:F96" si="80">IF(D$12=0,0,D89/D$12)</f>
        <v>0</v>
      </c>
      <c r="G89" s="1"/>
      <c r="H89" s="1">
        <f>SUM(OSRRefH22_19x_0)</f>
        <v>385.05</v>
      </c>
      <c r="I89" s="1"/>
      <c r="J89" s="5">
        <f t="shared" ref="J89:J96" si="81">IF(H$12=0,0,H89/H$12)</f>
        <v>0</v>
      </c>
      <c r="K89" s="1"/>
      <c r="L89" s="1">
        <f t="shared" ref="L89:L96" si="82">+D89-H89</f>
        <v>194.95</v>
      </c>
      <c r="M89" s="1"/>
      <c r="N89" s="5">
        <f t="shared" ref="N89:N96" si="83">IF(H89=0,0,L89/H89)</f>
        <v>0.50629788339176729</v>
      </c>
      <c r="O89" s="12"/>
      <c r="P89" s="1">
        <f>SUM(OSRRefP22_19x_0)</f>
        <v>6303.25</v>
      </c>
      <c r="Q89" s="1"/>
      <c r="R89" s="5">
        <f t="shared" ref="R89:R96" si="84">IF(P$12=0,0,P89/P$12)</f>
        <v>0</v>
      </c>
      <c r="S89" s="1"/>
      <c r="T89" s="1">
        <f>SUM(OSRRefT22_19x_0)</f>
        <v>5766.42</v>
      </c>
      <c r="U89" s="1"/>
      <c r="V89" s="5">
        <f t="shared" ref="V89:V96" si="85">IF(T$12=0,0,T89/T$12)</f>
        <v>0</v>
      </c>
      <c r="W89" s="1"/>
      <c r="X89" s="1">
        <f t="shared" ref="X89:X96" si="86">+P89-T89</f>
        <v>536.82999999999993</v>
      </c>
      <c r="Y89" s="1"/>
      <c r="Z89" s="5">
        <f t="shared" ref="Z89:Z96" si="87">IF(T89=0,0,X89/T89)</f>
        <v>9.3095889650771174E-2</v>
      </c>
    </row>
    <row r="90" spans="1:26" s="23" customFormat="1" hidden="1" outlineLevel="2" x14ac:dyDescent="0.25">
      <c r="A90" s="27"/>
      <c r="B90" s="10" t="str">
        <f>CONCATENATE("          ", "6309", " - ", "TELEPHONE")</f>
        <v xml:space="preserve">          6309 - TELEPHONE</v>
      </c>
      <c r="C90" s="10"/>
      <c r="D90" s="6">
        <v>580</v>
      </c>
      <c r="E90" s="2"/>
      <c r="F90" s="7">
        <f t="shared" si="80"/>
        <v>0</v>
      </c>
      <c r="G90" s="2"/>
      <c r="H90" s="6">
        <v>385.05</v>
      </c>
      <c r="I90" s="2"/>
      <c r="J90" s="7">
        <f t="shared" si="81"/>
        <v>0</v>
      </c>
      <c r="K90" s="2"/>
      <c r="L90" s="6">
        <f t="shared" si="82"/>
        <v>194.95</v>
      </c>
      <c r="M90" s="2"/>
      <c r="N90" s="7">
        <f t="shared" si="83"/>
        <v>0.50629788339176729</v>
      </c>
      <c r="O90" s="10"/>
      <c r="P90" s="6">
        <v>6303.25</v>
      </c>
      <c r="Q90" s="2"/>
      <c r="R90" s="7">
        <f t="shared" si="84"/>
        <v>0</v>
      </c>
      <c r="S90" s="2"/>
      <c r="T90" s="6">
        <v>5766.42</v>
      </c>
      <c r="U90" s="2"/>
      <c r="V90" s="7">
        <f t="shared" si="85"/>
        <v>0</v>
      </c>
      <c r="W90" s="2"/>
      <c r="X90" s="6">
        <f t="shared" si="86"/>
        <v>536.82999999999993</v>
      </c>
      <c r="Y90" s="2"/>
      <c r="Z90" s="7">
        <f t="shared" si="87"/>
        <v>9.3095889650771174E-2</v>
      </c>
    </row>
    <row r="91" spans="1:26" s="26" customFormat="1" outlineLevel="1" collapsed="1" x14ac:dyDescent="0.25">
      <c r="A91" s="25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SUM(OSRRefD22_20x_0)</f>
        <v>0</v>
      </c>
      <c r="E91" s="1"/>
      <c r="F91" s="5">
        <f t="shared" si="80"/>
        <v>0</v>
      </c>
      <c r="G91" s="1"/>
      <c r="H91" s="1">
        <f>SUM(OSRRefH22_20x_0)</f>
        <v>2140.13</v>
      </c>
      <c r="I91" s="1"/>
      <c r="J91" s="5">
        <f t="shared" si="81"/>
        <v>0</v>
      </c>
      <c r="K91" s="1"/>
      <c r="L91" s="1">
        <f t="shared" si="82"/>
        <v>-2140.13</v>
      </c>
      <c r="M91" s="1"/>
      <c r="N91" s="5">
        <f t="shared" si="83"/>
        <v>-1</v>
      </c>
      <c r="O91" s="12"/>
      <c r="P91" s="1">
        <f>SUM(OSRRefP22_20x_0)</f>
        <v>881.63</v>
      </c>
      <c r="Q91" s="1"/>
      <c r="R91" s="5">
        <f t="shared" si="84"/>
        <v>0</v>
      </c>
      <c r="S91" s="1"/>
      <c r="T91" s="1">
        <f>SUM(OSRRefT22_20x_0)</f>
        <v>13942.81</v>
      </c>
      <c r="U91" s="1"/>
      <c r="V91" s="5">
        <f t="shared" si="85"/>
        <v>0</v>
      </c>
      <c r="W91" s="1"/>
      <c r="X91" s="1">
        <f t="shared" si="86"/>
        <v>-13061.18</v>
      </c>
      <c r="Y91" s="1"/>
      <c r="Z91" s="5">
        <f t="shared" si="87"/>
        <v>-0.9367681263676404</v>
      </c>
    </row>
    <row r="92" spans="1:26" s="23" customFormat="1" hidden="1" outlineLevel="2" x14ac:dyDescent="0.25">
      <c r="A92" s="27"/>
      <c r="B92" s="10" t="str">
        <f>CONCATENATE("          ", "6376", " - ", "TRAINING")</f>
        <v xml:space="preserve">          6376 - TRAINING</v>
      </c>
      <c r="C92" s="10"/>
      <c r="D92" s="6"/>
      <c r="E92" s="2"/>
      <c r="F92" s="7">
        <f t="shared" si="80"/>
        <v>0</v>
      </c>
      <c r="G92" s="2"/>
      <c r="H92" s="6">
        <v>2140.13</v>
      </c>
      <c r="I92" s="2"/>
      <c r="J92" s="7">
        <f t="shared" si="81"/>
        <v>0</v>
      </c>
      <c r="K92" s="2"/>
      <c r="L92" s="6">
        <f t="shared" si="82"/>
        <v>-2140.13</v>
      </c>
      <c r="M92" s="2"/>
      <c r="N92" s="7">
        <f t="shared" si="83"/>
        <v>-1</v>
      </c>
      <c r="O92" s="10"/>
      <c r="P92" s="6">
        <v>881.63</v>
      </c>
      <c r="Q92" s="2"/>
      <c r="R92" s="7">
        <f t="shared" si="84"/>
        <v>0</v>
      </c>
      <c r="S92" s="2"/>
      <c r="T92" s="6">
        <v>13942.81</v>
      </c>
      <c r="U92" s="2"/>
      <c r="V92" s="7">
        <f t="shared" si="85"/>
        <v>0</v>
      </c>
      <c r="W92" s="2"/>
      <c r="X92" s="6">
        <f t="shared" si="86"/>
        <v>-13061.18</v>
      </c>
      <c r="Y92" s="2"/>
      <c r="Z92" s="7">
        <f t="shared" si="87"/>
        <v>-0.9367681263676404</v>
      </c>
    </row>
    <row r="93" spans="1:26" s="26" customFormat="1" outlineLevel="1" collapsed="1" x14ac:dyDescent="0.25">
      <c r="A93" s="25"/>
      <c r="B93" s="12" t="str">
        <f>CONCATENATE("     ","Travel                                            ")</f>
        <v xml:space="preserve">     Travel                                            </v>
      </c>
      <c r="C93" s="12"/>
      <c r="D93" s="1">
        <f>SUM(OSRRefD22_21x_0)</f>
        <v>0</v>
      </c>
      <c r="E93" s="1"/>
      <c r="F93" s="5">
        <f t="shared" si="80"/>
        <v>0</v>
      </c>
      <c r="G93" s="1"/>
      <c r="H93" s="1">
        <f>SUM(OSRRefH22_21x_0)</f>
        <v>0</v>
      </c>
      <c r="I93" s="1"/>
      <c r="J93" s="5">
        <f t="shared" si="81"/>
        <v>0</v>
      </c>
      <c r="K93" s="1"/>
      <c r="L93" s="1">
        <f t="shared" si="82"/>
        <v>0</v>
      </c>
      <c r="M93" s="1"/>
      <c r="N93" s="5">
        <f t="shared" si="83"/>
        <v>0</v>
      </c>
      <c r="O93" s="12"/>
      <c r="P93" s="1">
        <f>SUM(OSRRefP22_21x_0)</f>
        <v>358.89</v>
      </c>
      <c r="Q93" s="1"/>
      <c r="R93" s="5">
        <f t="shared" si="84"/>
        <v>0</v>
      </c>
      <c r="S93" s="1"/>
      <c r="T93" s="1">
        <f>SUM(OSRRefT22_21x_0)</f>
        <v>943.89</v>
      </c>
      <c r="U93" s="1"/>
      <c r="V93" s="5">
        <f t="shared" si="85"/>
        <v>0</v>
      </c>
      <c r="W93" s="1"/>
      <c r="X93" s="1">
        <f t="shared" si="86"/>
        <v>-585</v>
      </c>
      <c r="Y93" s="1"/>
      <c r="Z93" s="5">
        <f t="shared" si="87"/>
        <v>-0.61977560944601595</v>
      </c>
    </row>
    <row r="94" spans="1:26" s="23" customFormat="1" hidden="1" outlineLevel="2" x14ac:dyDescent="0.25">
      <c r="A94" s="27"/>
      <c r="B94" s="10" t="str">
        <f>CONCATENATE("          ", "6292", " - ", "TRAVEL/CONFERENCE")</f>
        <v xml:space="preserve">          6292 - TRAVEL/CONFERENCE</v>
      </c>
      <c r="C94" s="10"/>
      <c r="D94" s="6"/>
      <c r="E94" s="2"/>
      <c r="F94" s="7">
        <f t="shared" si="80"/>
        <v>0</v>
      </c>
      <c r="G94" s="2"/>
      <c r="H94" s="6"/>
      <c r="I94" s="2"/>
      <c r="J94" s="7">
        <f t="shared" si="81"/>
        <v>0</v>
      </c>
      <c r="K94" s="2"/>
      <c r="L94" s="6">
        <f t="shared" si="82"/>
        <v>0</v>
      </c>
      <c r="M94" s="2"/>
      <c r="N94" s="7">
        <f t="shared" si="83"/>
        <v>0</v>
      </c>
      <c r="O94" s="10"/>
      <c r="P94" s="6">
        <v>299</v>
      </c>
      <c r="Q94" s="2"/>
      <c r="R94" s="7">
        <f t="shared" si="84"/>
        <v>0</v>
      </c>
      <c r="S94" s="2"/>
      <c r="T94" s="6">
        <v>636.70000000000005</v>
      </c>
      <c r="U94" s="2"/>
      <c r="V94" s="7">
        <f t="shared" si="85"/>
        <v>0</v>
      </c>
      <c r="W94" s="2"/>
      <c r="X94" s="6">
        <f t="shared" si="86"/>
        <v>-337.70000000000005</v>
      </c>
      <c r="Y94" s="2"/>
      <c r="Z94" s="7">
        <f t="shared" si="87"/>
        <v>-0.5303910790010995</v>
      </c>
    </row>
    <row r="95" spans="1:26" s="23" customFormat="1" hidden="1" outlineLevel="2" x14ac:dyDescent="0.25">
      <c r="A95" s="27"/>
      <c r="B95" s="10" t="str">
        <f>CONCATENATE("          ", "6294", " - ", "TRAVEL OPERATIONAL")</f>
        <v xml:space="preserve">          6294 - TRAVEL OPERATIONAL</v>
      </c>
      <c r="C95" s="10"/>
      <c r="D95" s="6"/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0</v>
      </c>
      <c r="M95" s="2"/>
      <c r="N95" s="7">
        <f t="shared" si="83"/>
        <v>0</v>
      </c>
      <c r="O95" s="10"/>
      <c r="P95" s="6"/>
      <c r="Q95" s="2"/>
      <c r="R95" s="7">
        <f t="shared" si="84"/>
        <v>0</v>
      </c>
      <c r="S95" s="2"/>
      <c r="T95" s="6">
        <v>-144.33000000000001</v>
      </c>
      <c r="U95" s="2"/>
      <c r="V95" s="7">
        <f t="shared" si="85"/>
        <v>0</v>
      </c>
      <c r="W95" s="2"/>
      <c r="X95" s="6">
        <f t="shared" si="86"/>
        <v>144.33000000000001</v>
      </c>
      <c r="Y95" s="2"/>
      <c r="Z95" s="7">
        <f t="shared" si="87"/>
        <v>-1</v>
      </c>
    </row>
    <row r="96" spans="1:26" s="23" customFormat="1" hidden="1" outlineLevel="2" x14ac:dyDescent="0.25">
      <c r="A96" s="27"/>
      <c r="B96" s="10" t="str">
        <f>CONCATENATE("          ", "6298", " - ", "VEHICLE MILEAGE")</f>
        <v xml:space="preserve">          6298 - VEHICLE MILEAGE</v>
      </c>
      <c r="C96" s="10"/>
      <c r="D96" s="6"/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0</v>
      </c>
      <c r="M96" s="2"/>
      <c r="N96" s="7">
        <f t="shared" si="83"/>
        <v>0</v>
      </c>
      <c r="O96" s="10"/>
      <c r="P96" s="6">
        <v>59.89</v>
      </c>
      <c r="Q96" s="2"/>
      <c r="R96" s="7">
        <f t="shared" si="84"/>
        <v>0</v>
      </c>
      <c r="S96" s="2"/>
      <c r="T96" s="6">
        <v>451.52</v>
      </c>
      <c r="U96" s="2"/>
      <c r="V96" s="7">
        <f t="shared" si="85"/>
        <v>0</v>
      </c>
      <c r="W96" s="2"/>
      <c r="X96" s="6">
        <f t="shared" si="86"/>
        <v>-391.63</v>
      </c>
      <c r="Y96" s="2"/>
      <c r="Z96" s="7">
        <f t="shared" si="87"/>
        <v>-0.86735914245216161</v>
      </c>
    </row>
    <row r="97" spans="1:26" s="26" customFormat="1" outlineLevel="1" collapsed="1" x14ac:dyDescent="0.25">
      <c r="A97" s="25"/>
      <c r="B97" s="12" t="str">
        <f>CONCATENATE("     ","Utilities                                         ")</f>
        <v xml:space="preserve">     Utilities                                         </v>
      </c>
      <c r="C97" s="12"/>
      <c r="D97" s="1">
        <f>SUM(OSRRefD22_22x_0)</f>
        <v>6133</v>
      </c>
      <c r="E97" s="1"/>
      <c r="F97" s="5">
        <f t="shared" ref="F97:F98" si="88">IF(D$12=0,0,D97/D$12)</f>
        <v>0</v>
      </c>
      <c r="G97" s="1"/>
      <c r="H97" s="1">
        <f>SUM(OSRRefH22_22x_0)</f>
        <v>6133</v>
      </c>
      <c r="I97" s="1"/>
      <c r="J97" s="5">
        <f t="shared" ref="J97:J98" si="89">IF(H$12=0,0,H97/H$12)</f>
        <v>0</v>
      </c>
      <c r="K97" s="1"/>
      <c r="L97" s="1">
        <f t="shared" ref="L97:L98" si="90">+D97-H97</f>
        <v>0</v>
      </c>
      <c r="M97" s="1"/>
      <c r="N97" s="5">
        <f t="shared" ref="N97:N98" si="91">IF(H97=0,0,L97/H97)</f>
        <v>0</v>
      </c>
      <c r="O97" s="12"/>
      <c r="P97" s="1">
        <f>SUM(OSRRefP22_22x_0)</f>
        <v>64533</v>
      </c>
      <c r="Q97" s="1"/>
      <c r="R97" s="5">
        <f t="shared" ref="R97:R98" si="92">IF(P$12=0,0,P97/P$12)</f>
        <v>0</v>
      </c>
      <c r="S97" s="1"/>
      <c r="T97" s="1">
        <f>SUM(OSRRefT22_22x_0)</f>
        <v>62405</v>
      </c>
      <c r="U97" s="1"/>
      <c r="V97" s="5">
        <f t="shared" ref="V97:V98" si="93">IF(T$12=0,0,T97/T$12)</f>
        <v>0</v>
      </c>
      <c r="W97" s="1"/>
      <c r="X97" s="1">
        <f t="shared" ref="X97:X98" si="94">+P97-T97</f>
        <v>2128</v>
      </c>
      <c r="Y97" s="1"/>
      <c r="Z97" s="5">
        <f t="shared" ref="Z97:Z98" si="95">IF(T97=0,0,X97/T97)</f>
        <v>3.4099831744251262E-2</v>
      </c>
    </row>
    <row r="98" spans="1:26" s="23" customFormat="1" hidden="1" outlineLevel="2" x14ac:dyDescent="0.25">
      <c r="A98" s="27"/>
      <c r="B98" s="10" t="str">
        <f>CONCATENATE("          ", "6274", " - ", "UTILITIES")</f>
        <v xml:space="preserve">          6274 - UTILITIES</v>
      </c>
      <c r="C98" s="10"/>
      <c r="D98" s="6">
        <v>6133</v>
      </c>
      <c r="E98" s="2"/>
      <c r="F98" s="7">
        <f t="shared" si="88"/>
        <v>0</v>
      </c>
      <c r="G98" s="2"/>
      <c r="H98" s="6">
        <v>6133</v>
      </c>
      <c r="I98" s="2"/>
      <c r="J98" s="7">
        <f t="shared" si="89"/>
        <v>0</v>
      </c>
      <c r="K98" s="2"/>
      <c r="L98" s="6">
        <f t="shared" si="90"/>
        <v>0</v>
      </c>
      <c r="M98" s="2"/>
      <c r="N98" s="7">
        <f t="shared" si="91"/>
        <v>0</v>
      </c>
      <c r="O98" s="10"/>
      <c r="P98" s="6">
        <v>64533</v>
      </c>
      <c r="Q98" s="2"/>
      <c r="R98" s="7">
        <f t="shared" si="92"/>
        <v>0</v>
      </c>
      <c r="S98" s="2"/>
      <c r="T98" s="6">
        <v>62405</v>
      </c>
      <c r="U98" s="2"/>
      <c r="V98" s="7">
        <f t="shared" si="93"/>
        <v>0</v>
      </c>
      <c r="W98" s="2"/>
      <c r="X98" s="6">
        <f t="shared" si="94"/>
        <v>2128</v>
      </c>
      <c r="Y98" s="2"/>
      <c r="Z98" s="7">
        <f t="shared" si="95"/>
        <v>3.4099831744251262E-2</v>
      </c>
    </row>
    <row r="99" spans="1:26" s="57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4" customFormat="1" collapsed="1" x14ac:dyDescent="0.25">
      <c r="A100" s="11"/>
      <c r="B100" s="29" t="s">
        <v>292</v>
      </c>
      <c r="C100" s="11"/>
      <c r="D100" s="4">
        <f>SUM(OSRRefD25x_0)</f>
        <v>48445.65</v>
      </c>
      <c r="E100" s="4"/>
      <c r="F100" s="13">
        <f t="shared" ref="F100:F103" si="96">IF(D$12=0,0,D100/D$12)</f>
        <v>0</v>
      </c>
      <c r="G100" s="4"/>
      <c r="H100" s="4">
        <f>SUM(OSRRefH25x_0)</f>
        <v>34229.360000000001</v>
      </c>
      <c r="I100" s="4"/>
      <c r="J100" s="13">
        <f t="shared" ref="J100:J103" si="97">IF(H$12=0,0,H100/H$12)</f>
        <v>0</v>
      </c>
      <c r="K100" s="4"/>
      <c r="L100" s="4">
        <f t="shared" ref="L100:L103" si="98">+D100-H100</f>
        <v>14216.29</v>
      </c>
      <c r="M100" s="4"/>
      <c r="N100" s="13">
        <f t="shared" ref="N100:N103" si="99">IF(H100=0,0,L100/H100)</f>
        <v>0.41532444661542023</v>
      </c>
      <c r="O100" s="11"/>
      <c r="P100" s="4">
        <f>SUM(OSRRefP25x_0)</f>
        <v>231485.97</v>
      </c>
      <c r="Q100" s="4"/>
      <c r="R100" s="13">
        <f t="shared" ref="R100:R103" si="100">IF(P$12=0,0,P100/P$12)</f>
        <v>0</v>
      </c>
      <c r="S100" s="4"/>
      <c r="T100" s="4">
        <f>SUM(OSRRefT25x_0)</f>
        <v>220240.06</v>
      </c>
      <c r="U100" s="4"/>
      <c r="V100" s="13">
        <f t="shared" ref="V100:V103" si="101">IF(T$12=0,0,T100/T$12)</f>
        <v>0</v>
      </c>
      <c r="W100" s="4"/>
      <c r="X100" s="4">
        <f t="shared" ref="X100:X103" si="102">+P100-T100</f>
        <v>11245.910000000003</v>
      </c>
      <c r="Y100" s="4"/>
      <c r="Z100" s="13">
        <f t="shared" ref="Z100:Z103" si="103">IF(T100=0,0,X100/T100)</f>
        <v>5.106205474153977E-2</v>
      </c>
    </row>
    <row r="101" spans="1:26" s="23" customFormat="1" hidden="1" outlineLevel="1" x14ac:dyDescent="0.25">
      <c r="A101" s="44"/>
      <c r="B101" s="10" t="str">
        <f>CONCATENATE("          ", "9150", " - ", "MISC. INCOME")</f>
        <v xml:space="preserve">          9150 - MISC. INCOME</v>
      </c>
      <c r="C101" s="10"/>
      <c r="D101" s="2">
        <f>--48445.65</f>
        <v>48445.65</v>
      </c>
      <c r="E101" s="2"/>
      <c r="F101" s="19">
        <f t="shared" si="96"/>
        <v>0</v>
      </c>
      <c r="G101" s="2"/>
      <c r="H101" s="2">
        <f>--34229.36</f>
        <v>34229.360000000001</v>
      </c>
      <c r="I101" s="2"/>
      <c r="J101" s="19">
        <f t="shared" si="97"/>
        <v>0</v>
      </c>
      <c r="K101" s="2"/>
      <c r="L101" s="2">
        <f t="shared" si="98"/>
        <v>14216.29</v>
      </c>
      <c r="M101" s="2"/>
      <c r="N101" s="19">
        <f t="shared" si="99"/>
        <v>0.41532444661542023</v>
      </c>
      <c r="O101" s="10"/>
      <c r="P101" s="2">
        <f>--231485.97</f>
        <v>231485.97</v>
      </c>
      <c r="Q101" s="2"/>
      <c r="R101" s="19">
        <f t="shared" si="100"/>
        <v>0</v>
      </c>
      <c r="S101" s="2"/>
      <c r="T101" s="2">
        <f>--213141.66</f>
        <v>213141.66</v>
      </c>
      <c r="U101" s="2"/>
      <c r="V101" s="19">
        <f t="shared" si="101"/>
        <v>0</v>
      </c>
      <c r="W101" s="2"/>
      <c r="X101" s="2">
        <f t="shared" si="102"/>
        <v>18344.309999999998</v>
      </c>
      <c r="Y101" s="2"/>
      <c r="Z101" s="19">
        <f t="shared" si="103"/>
        <v>8.6066280988897237E-2</v>
      </c>
    </row>
    <row r="102" spans="1:26" s="23" customFormat="1" hidden="1" outlineLevel="1" x14ac:dyDescent="0.25">
      <c r="A102" s="44"/>
      <c r="B102" s="10" t="str">
        <f>CONCATENATE("          ", "9151", " - ", "MISC. INCOME")</f>
        <v xml:space="preserve">          9151 - MISC. INCOME</v>
      </c>
      <c r="C102" s="10"/>
      <c r="D102" s="2">
        <f t="shared" ref="D102:D103" si="104">0</f>
        <v>0</v>
      </c>
      <c r="E102" s="2"/>
      <c r="F102" s="19">
        <f t="shared" si="96"/>
        <v>0</v>
      </c>
      <c r="G102" s="2"/>
      <c r="H102" s="2">
        <f t="shared" ref="H102:H103" si="105">0</f>
        <v>0</v>
      </c>
      <c r="I102" s="2"/>
      <c r="J102" s="19">
        <f t="shared" si="97"/>
        <v>0</v>
      </c>
      <c r="K102" s="2"/>
      <c r="L102" s="2">
        <f t="shared" si="98"/>
        <v>0</v>
      </c>
      <c r="M102" s="2"/>
      <c r="N102" s="19">
        <f t="shared" si="99"/>
        <v>0</v>
      </c>
      <c r="O102" s="10"/>
      <c r="P102" s="2">
        <f t="shared" ref="P102:P103" si="106">0</f>
        <v>0</v>
      </c>
      <c r="Q102" s="2"/>
      <c r="R102" s="19">
        <f t="shared" si="100"/>
        <v>0</v>
      </c>
      <c r="S102" s="2"/>
      <c r="T102" s="2">
        <f>--6648.4</f>
        <v>6648.4</v>
      </c>
      <c r="U102" s="2"/>
      <c r="V102" s="19">
        <f t="shared" si="101"/>
        <v>0</v>
      </c>
      <c r="W102" s="2"/>
      <c r="X102" s="2">
        <f t="shared" si="102"/>
        <v>-6648.4</v>
      </c>
      <c r="Y102" s="2"/>
      <c r="Z102" s="19">
        <f t="shared" si="103"/>
        <v>-1</v>
      </c>
    </row>
    <row r="103" spans="1:26" s="23" customFormat="1" hidden="1" outlineLevel="1" x14ac:dyDescent="0.25">
      <c r="A103" s="44"/>
      <c r="B103" s="10" t="str">
        <f>CONCATENATE("          ", "9153", " - ", "MISC. INCOME")</f>
        <v xml:space="preserve">          9153 - MISC. INCOME</v>
      </c>
      <c r="C103" s="10"/>
      <c r="D103" s="2">
        <f t="shared" si="104"/>
        <v>0</v>
      </c>
      <c r="E103" s="2"/>
      <c r="F103" s="19">
        <f t="shared" si="96"/>
        <v>0</v>
      </c>
      <c r="G103" s="2"/>
      <c r="H103" s="2">
        <f t="shared" si="105"/>
        <v>0</v>
      </c>
      <c r="I103" s="2"/>
      <c r="J103" s="19">
        <f t="shared" si="97"/>
        <v>0</v>
      </c>
      <c r="K103" s="2"/>
      <c r="L103" s="2">
        <f t="shared" si="98"/>
        <v>0</v>
      </c>
      <c r="M103" s="2"/>
      <c r="N103" s="19">
        <f t="shared" si="99"/>
        <v>0</v>
      </c>
      <c r="O103" s="10"/>
      <c r="P103" s="2">
        <f t="shared" si="106"/>
        <v>0</v>
      </c>
      <c r="Q103" s="2"/>
      <c r="R103" s="19">
        <f t="shared" si="100"/>
        <v>0</v>
      </c>
      <c r="S103" s="2"/>
      <c r="T103" s="2">
        <f>--450</f>
        <v>450</v>
      </c>
      <c r="U103" s="2"/>
      <c r="V103" s="19">
        <f t="shared" si="101"/>
        <v>0</v>
      </c>
      <c r="W103" s="2"/>
      <c r="X103" s="2">
        <f t="shared" si="102"/>
        <v>-450</v>
      </c>
      <c r="Y103" s="2"/>
      <c r="Z103" s="19">
        <f t="shared" si="103"/>
        <v>-1</v>
      </c>
    </row>
    <row r="104" spans="1:26" x14ac:dyDescent="0.25">
      <c r="A104" s="9"/>
      <c r="B104" s="11"/>
      <c r="C104" s="11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1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x14ac:dyDescent="0.25">
      <c r="A105" s="11"/>
      <c r="B105" s="28" t="s">
        <v>276</v>
      </c>
      <c r="C105" s="28"/>
      <c r="D105" s="20">
        <f>+D17-D19+D100</f>
        <v>-58785.749999999978</v>
      </c>
      <c r="E105" s="14"/>
      <c r="F105" s="21">
        <f>IF(D$12=0,0,D105/D$12)</f>
        <v>0</v>
      </c>
      <c r="G105" s="14"/>
      <c r="H105" s="20">
        <f>+H17-H19+H100</f>
        <v>-29877.5</v>
      </c>
      <c r="I105" s="14"/>
      <c r="J105" s="21">
        <f>IF(H$12=0,0,H105/H$12)</f>
        <v>0</v>
      </c>
      <c r="K105" s="15"/>
      <c r="L105" s="20">
        <f>+D105-H105</f>
        <v>-28908.249999999978</v>
      </c>
      <c r="M105" s="15"/>
      <c r="N105" s="21">
        <f>IF(H105=0,0,L105/H105)</f>
        <v>0.9675592000669393</v>
      </c>
      <c r="O105" s="29"/>
      <c r="P105" s="20">
        <f>+P17-P19+P100</f>
        <v>-1077384.2799999998</v>
      </c>
      <c r="Q105" s="14"/>
      <c r="R105" s="21">
        <f>IF(P$12=0,0,P105/P$12)</f>
        <v>0</v>
      </c>
      <c r="S105" s="14"/>
      <c r="T105" s="20">
        <f>+T17-T19+T100</f>
        <v>-998035.65999999968</v>
      </c>
      <c r="U105" s="14"/>
      <c r="V105" s="21">
        <f>IF(T$12=0,0,T105/T$12)</f>
        <v>0</v>
      </c>
      <c r="W105" s="15"/>
      <c r="X105" s="20">
        <f>+P105-T105</f>
        <v>-79348.620000000112</v>
      </c>
      <c r="Y105" s="15"/>
      <c r="Z105" s="21">
        <f>IF(T105=0,0,X105/T105)</f>
        <v>7.9504794447925978E-2</v>
      </c>
    </row>
    <row r="106" spans="1:26" x14ac:dyDescent="0.25">
      <c r="A106" s="9"/>
      <c r="B106" s="11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x14ac:dyDescent="0.25">
      <c r="A107" s="51"/>
      <c r="B107" s="11" t="s">
        <v>127</v>
      </c>
      <c r="C107" s="11"/>
      <c r="D107" s="4"/>
      <c r="E107" s="4"/>
      <c r="F107" s="13">
        <f>IF(D$12=0,0,D107/D$12)</f>
        <v>0</v>
      </c>
      <c r="G107" s="4"/>
      <c r="H107" s="4"/>
      <c r="I107" s="4"/>
      <c r="J107" s="13">
        <f>IF(H$12=0,0,H107/H$12)</f>
        <v>0</v>
      </c>
      <c r="K107" s="4"/>
      <c r="L107" s="4">
        <f>+D107-H107</f>
        <v>0</v>
      </c>
      <c r="M107" s="4"/>
      <c r="N107" s="13">
        <f>IF(H107=0,0,L107/H107)</f>
        <v>0</v>
      </c>
      <c r="O107" s="11"/>
      <c r="P107" s="4"/>
      <c r="Q107" s="4"/>
      <c r="R107" s="13">
        <f>IF(P$12=0,0,P107/P$12)</f>
        <v>0</v>
      </c>
      <c r="S107" s="4"/>
      <c r="T107" s="4"/>
      <c r="U107" s="4"/>
      <c r="V107" s="13">
        <f>IF(T$12=0,0,T107/T$12)</f>
        <v>0</v>
      </c>
      <c r="W107" s="4"/>
      <c r="X107" s="4">
        <f>+P107-T107</f>
        <v>0</v>
      </c>
      <c r="Y107" s="4"/>
      <c r="Z107" s="13">
        <f>IF(T107=0,0,X107/T107)</f>
        <v>0</v>
      </c>
    </row>
    <row r="108" spans="1:26" x14ac:dyDescent="0.25">
      <c r="A108" s="9"/>
      <c r="B108" s="11"/>
      <c r="C108" s="11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1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4" customFormat="1" ht="15.75" thickBot="1" x14ac:dyDescent="0.3">
      <c r="A109" s="11"/>
      <c r="B109" s="28" t="s">
        <v>125</v>
      </c>
      <c r="C109" s="28"/>
      <c r="D109" s="35">
        <f>+D105-D107</f>
        <v>-58785.749999999978</v>
      </c>
      <c r="E109" s="14"/>
      <c r="F109" s="36">
        <f>IF(D$12=0,0,D109/D$12)</f>
        <v>0</v>
      </c>
      <c r="G109" s="14"/>
      <c r="H109" s="35">
        <f>+H105-H107</f>
        <v>-29877.5</v>
      </c>
      <c r="I109" s="14"/>
      <c r="J109" s="36">
        <f>IF(H$12=0,0,H109/H$12)</f>
        <v>0</v>
      </c>
      <c r="K109" s="15"/>
      <c r="L109" s="35">
        <f>D109-H109</f>
        <v>-28908.249999999978</v>
      </c>
      <c r="M109" s="15"/>
      <c r="N109" s="36">
        <f>IF(H109=0,0,L109/H109)</f>
        <v>0.9675592000669393</v>
      </c>
      <c r="O109" s="29"/>
      <c r="P109" s="35">
        <f>+P105-P107</f>
        <v>-1077384.2799999998</v>
      </c>
      <c r="Q109" s="14"/>
      <c r="R109" s="36">
        <f>IF(P$12=0,0,P109/P$12)</f>
        <v>0</v>
      </c>
      <c r="S109" s="14"/>
      <c r="T109" s="35">
        <f>+T105-T107</f>
        <v>-998035.65999999968</v>
      </c>
      <c r="U109" s="14"/>
      <c r="V109" s="36">
        <f>IF(T$12=0,0,T109/T$12)</f>
        <v>0</v>
      </c>
      <c r="W109" s="15"/>
      <c r="X109" s="35">
        <f>P109-T109</f>
        <v>-79348.620000000112</v>
      </c>
      <c r="Y109" s="15"/>
      <c r="Z109" s="36">
        <f>IF(T109=0,0,X109/T109)</f>
        <v>7.9504794447925978E-2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4" customFormat="1" ht="15.75" thickBot="1" x14ac:dyDescent="0.3">
      <c r="A112" s="11"/>
      <c r="B112" s="28" t="s">
        <v>293</v>
      </c>
      <c r="C112" s="28"/>
      <c r="D112" s="30">
        <f>SUM(D109:D111)</f>
        <v>-58785.749999999978</v>
      </c>
      <c r="E112" s="14"/>
      <c r="F112" s="31">
        <f>IF(D$12=0,0,D112/D$12)</f>
        <v>0</v>
      </c>
      <c r="G112" s="14"/>
      <c r="H112" s="30">
        <f>SUM(H109:H111)</f>
        <v>-29877.5</v>
      </c>
      <c r="I112" s="14"/>
      <c r="J112" s="31">
        <f>IF(H$12=0,0,H112/H$12)</f>
        <v>0</v>
      </c>
      <c r="K112" s="15"/>
      <c r="L112" s="30">
        <f>+D112-H112</f>
        <v>-28908.249999999978</v>
      </c>
      <c r="M112" s="15"/>
      <c r="N112" s="31">
        <f>IF(H112=0,0,L112/H112)</f>
        <v>0.9675592000669393</v>
      </c>
      <c r="O112" s="29"/>
      <c r="P112" s="30">
        <f>SUM(P109:P111)</f>
        <v>-1077384.2799999998</v>
      </c>
      <c r="Q112" s="14"/>
      <c r="R112" s="31">
        <f>IF(P$12=0,0,P112/P$12)</f>
        <v>0</v>
      </c>
      <c r="S112" s="14"/>
      <c r="T112" s="30">
        <f>SUM(T109:T111)</f>
        <v>-998035.65999999968</v>
      </c>
      <c r="U112" s="14"/>
      <c r="V112" s="31">
        <f>IF(T$12=0,0,T112/T$12)</f>
        <v>0</v>
      </c>
      <c r="W112" s="15"/>
      <c r="X112" s="30">
        <f>+P112-T112</f>
        <v>-79348.620000000112</v>
      </c>
      <c r="Y112" s="15"/>
      <c r="Z112" s="31">
        <f>IF(T112=0,0,X112/T112)</f>
        <v>7.9504794447925978E-2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9">
        <v>44356.893348032405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52" t="s">
        <v>56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A116" s="9"/>
      <c r="B116" s="54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","306", " - ", "Warehouse")</f>
        <v>Department 306 - Warehouse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0</v>
      </c>
      <c r="E18" s="22"/>
      <c r="F18" s="32">
        <f t="shared" ref="F18:F28" si="0">IF(D$12=0,0,D18/D$12)</f>
        <v>0</v>
      </c>
      <c r="G18" s="22"/>
      <c r="H18" s="22">
        <f>SUM(OSRRefH22x_0)</f>
        <v>33773.869999999988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-33773.869999999988</v>
      </c>
      <c r="M18" s="4"/>
      <c r="N18" s="32">
        <f t="shared" ref="N18:N28" si="3">IF(H18=0,0,L18/H18)</f>
        <v>-1</v>
      </c>
      <c r="O18" s="11"/>
      <c r="P18" s="22">
        <f>SUM(OSRRefP22x_0)</f>
        <v>0.37000000000004318</v>
      </c>
      <c r="Q18" s="22"/>
      <c r="R18" s="32">
        <f t="shared" ref="R18:R28" si="4">IF(P$12=0,0,P18/P$12)</f>
        <v>0</v>
      </c>
      <c r="S18" s="22"/>
      <c r="T18" s="22">
        <f>SUM(OSRRefT22x_0)</f>
        <v>472896.58999999997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-472896.22</v>
      </c>
      <c r="Y18" s="4"/>
      <c r="Z18" s="32">
        <f t="shared" ref="Z18:Z28" si="7">IF(T18=0,0,X18/T18)</f>
        <v>-0.99999921758792976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4248.41</v>
      </c>
      <c r="I19" s="1"/>
      <c r="J19" s="5">
        <f t="shared" si="1"/>
        <v>0</v>
      </c>
      <c r="K19" s="1"/>
      <c r="L19" s="1">
        <f t="shared" si="2"/>
        <v>-4248.41</v>
      </c>
      <c r="M19" s="1"/>
      <c r="N19" s="5">
        <f t="shared" si="3"/>
        <v>-1</v>
      </c>
      <c r="O19" s="12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48452.070000000007</v>
      </c>
      <c r="U19" s="1"/>
      <c r="V19" s="5">
        <f t="shared" si="5"/>
        <v>0</v>
      </c>
      <c r="W19" s="1"/>
      <c r="X19" s="1">
        <f t="shared" si="6"/>
        <v>-48451.930000000008</v>
      </c>
      <c r="Y19" s="1"/>
      <c r="Z19" s="5">
        <f t="shared" si="7"/>
        <v>-0.99999711054656693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>
        <v>1682.99</v>
      </c>
      <c r="I20" s="2"/>
      <c r="J20" s="7">
        <f t="shared" si="1"/>
        <v>0</v>
      </c>
      <c r="K20" s="2"/>
      <c r="L20" s="6">
        <f t="shared" si="2"/>
        <v>-1682.99</v>
      </c>
      <c r="M20" s="2"/>
      <c r="N20" s="7">
        <f t="shared" si="3"/>
        <v>-1</v>
      </c>
      <c r="O20" s="10"/>
      <c r="P20" s="6">
        <v>402.04</v>
      </c>
      <c r="Q20" s="2"/>
      <c r="R20" s="7">
        <f t="shared" si="4"/>
        <v>0</v>
      </c>
      <c r="S20" s="2"/>
      <c r="T20" s="6">
        <v>16437.14</v>
      </c>
      <c r="U20" s="2"/>
      <c r="V20" s="7">
        <f t="shared" si="5"/>
        <v>0</v>
      </c>
      <c r="W20" s="2"/>
      <c r="X20" s="6">
        <f t="shared" si="6"/>
        <v>-16035.099999999999</v>
      </c>
      <c r="Y20" s="2"/>
      <c r="Z20" s="7">
        <f t="shared" si="7"/>
        <v>-0.97554075709034538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>
        <v>744.81</v>
      </c>
      <c r="I21" s="2"/>
      <c r="J21" s="7">
        <f t="shared" si="1"/>
        <v>0</v>
      </c>
      <c r="K21" s="2"/>
      <c r="L21" s="6">
        <f t="shared" si="2"/>
        <v>-744.81</v>
      </c>
      <c r="M21" s="2"/>
      <c r="N21" s="7">
        <f t="shared" si="3"/>
        <v>-1</v>
      </c>
      <c r="O21" s="10"/>
      <c r="P21" s="6"/>
      <c r="Q21" s="2"/>
      <c r="R21" s="7">
        <f t="shared" si="4"/>
        <v>0</v>
      </c>
      <c r="S21" s="2"/>
      <c r="T21" s="6">
        <v>7450.56</v>
      </c>
      <c r="U21" s="2"/>
      <c r="V21" s="7">
        <f t="shared" si="5"/>
        <v>0</v>
      </c>
      <c r="W21" s="2"/>
      <c r="X21" s="6">
        <f t="shared" si="6"/>
        <v>-7450.56</v>
      </c>
      <c r="Y21" s="2"/>
      <c r="Z21" s="7">
        <f t="shared" si="7"/>
        <v>-1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696.78</v>
      </c>
      <c r="I22" s="2"/>
      <c r="J22" s="7">
        <f t="shared" si="1"/>
        <v>0</v>
      </c>
      <c r="K22" s="2"/>
      <c r="L22" s="6">
        <f t="shared" si="2"/>
        <v>-696.78</v>
      </c>
      <c r="M22" s="2"/>
      <c r="N22" s="7">
        <f t="shared" si="3"/>
        <v>-1</v>
      </c>
      <c r="O22" s="10"/>
      <c r="P22" s="6">
        <v>0</v>
      </c>
      <c r="Q22" s="2"/>
      <c r="R22" s="7">
        <f t="shared" si="4"/>
        <v>0</v>
      </c>
      <c r="S22" s="2"/>
      <c r="T22" s="6">
        <v>19282.23</v>
      </c>
      <c r="U22" s="2"/>
      <c r="V22" s="7">
        <f t="shared" si="5"/>
        <v>0</v>
      </c>
      <c r="W22" s="2"/>
      <c r="X22" s="6">
        <f t="shared" si="6"/>
        <v>-19282.23</v>
      </c>
      <c r="Y22" s="2"/>
      <c r="Z22" s="7">
        <f t="shared" si="7"/>
        <v>-1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>
        <v>103.32</v>
      </c>
      <c r="I23" s="2"/>
      <c r="J23" s="7">
        <f t="shared" si="1"/>
        <v>0</v>
      </c>
      <c r="K23" s="2"/>
      <c r="L23" s="6">
        <f t="shared" si="2"/>
        <v>-103.32</v>
      </c>
      <c r="M23" s="2"/>
      <c r="N23" s="7">
        <f t="shared" si="3"/>
        <v>-1</v>
      </c>
      <c r="O23" s="10"/>
      <c r="P23" s="6"/>
      <c r="Q23" s="2"/>
      <c r="R23" s="7">
        <f t="shared" si="4"/>
        <v>0</v>
      </c>
      <c r="S23" s="2"/>
      <c r="T23" s="6">
        <v>1120.3</v>
      </c>
      <c r="U23" s="2"/>
      <c r="V23" s="7">
        <f t="shared" si="5"/>
        <v>0</v>
      </c>
      <c r="W23" s="2"/>
      <c r="X23" s="6">
        <f t="shared" si="6"/>
        <v>-1120.3</v>
      </c>
      <c r="Y23" s="2"/>
      <c r="Z23" s="7">
        <f t="shared" si="7"/>
        <v>-1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>
        <v>298.81</v>
      </c>
      <c r="I24" s="2"/>
      <c r="J24" s="7">
        <f t="shared" si="1"/>
        <v>0</v>
      </c>
      <c r="K24" s="2"/>
      <c r="L24" s="6">
        <f t="shared" si="2"/>
        <v>-298.81</v>
      </c>
      <c r="M24" s="2"/>
      <c r="N24" s="7">
        <f t="shared" si="3"/>
        <v>-1</v>
      </c>
      <c r="O24" s="10"/>
      <c r="P24" s="6">
        <v>0</v>
      </c>
      <c r="Q24" s="2"/>
      <c r="R24" s="7">
        <f t="shared" si="4"/>
        <v>0</v>
      </c>
      <c r="S24" s="2"/>
      <c r="T24" s="6">
        <v>7578.09</v>
      </c>
      <c r="U24" s="2"/>
      <c r="V24" s="7">
        <f t="shared" si="5"/>
        <v>0</v>
      </c>
      <c r="W24" s="2"/>
      <c r="X24" s="6">
        <f t="shared" si="6"/>
        <v>-7578.09</v>
      </c>
      <c r="Y24" s="2"/>
      <c r="Z24" s="7">
        <f t="shared" si="7"/>
        <v>-1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0"/>
        <v>0</v>
      </c>
      <c r="G26" s="2"/>
      <c r="H26" s="6">
        <v>409.07</v>
      </c>
      <c r="I26" s="2"/>
      <c r="J26" s="7">
        <f t="shared" si="1"/>
        <v>0</v>
      </c>
      <c r="K26" s="2"/>
      <c r="L26" s="6">
        <f t="shared" si="2"/>
        <v>-409.07</v>
      </c>
      <c r="M26" s="2"/>
      <c r="N26" s="7">
        <f t="shared" si="3"/>
        <v>-1</v>
      </c>
      <c r="O26" s="10"/>
      <c r="P26" s="6"/>
      <c r="Q26" s="2"/>
      <c r="R26" s="7">
        <f t="shared" si="4"/>
        <v>0</v>
      </c>
      <c r="S26" s="2"/>
      <c r="T26" s="6">
        <v>3708.22</v>
      </c>
      <c r="U26" s="2"/>
      <c r="V26" s="7">
        <f t="shared" si="5"/>
        <v>0</v>
      </c>
      <c r="W26" s="2"/>
      <c r="X26" s="6">
        <f t="shared" si="6"/>
        <v>-3708.22</v>
      </c>
      <c r="Y26" s="2"/>
      <c r="Z26" s="7">
        <f t="shared" si="7"/>
        <v>-1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0"/>
        <v>0</v>
      </c>
      <c r="G27" s="2"/>
      <c r="H27" s="6">
        <v>312.63</v>
      </c>
      <c r="I27" s="2"/>
      <c r="J27" s="7">
        <f t="shared" si="1"/>
        <v>0</v>
      </c>
      <c r="K27" s="2"/>
      <c r="L27" s="6">
        <f t="shared" si="2"/>
        <v>-312.63</v>
      </c>
      <c r="M27" s="2"/>
      <c r="N27" s="7">
        <f t="shared" si="3"/>
        <v>-1</v>
      </c>
      <c r="O27" s="10"/>
      <c r="P27" s="6"/>
      <c r="Q27" s="2"/>
      <c r="R27" s="7">
        <f t="shared" si="4"/>
        <v>0</v>
      </c>
      <c r="S27" s="2"/>
      <c r="T27" s="6">
        <v>-9929.94</v>
      </c>
      <c r="U27" s="2"/>
      <c r="V27" s="7">
        <f t="shared" si="5"/>
        <v>0</v>
      </c>
      <c r="W27" s="2"/>
      <c r="X27" s="6">
        <f t="shared" si="6"/>
        <v>9929.94</v>
      </c>
      <c r="Y27" s="2"/>
      <c r="Z27" s="7">
        <f t="shared" si="7"/>
        <v>-1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0"/>
      <c r="P28" s="6"/>
      <c r="Q28" s="2"/>
      <c r="R28" s="7">
        <f t="shared" si="4"/>
        <v>0</v>
      </c>
      <c r="S28" s="2"/>
      <c r="T28" s="6">
        <v>2805.47</v>
      </c>
      <c r="U28" s="2"/>
      <c r="V28" s="7">
        <f t="shared" si="5"/>
        <v>0</v>
      </c>
      <c r="W28" s="2"/>
      <c r="X28" s="6">
        <f t="shared" si="6"/>
        <v>-2805.47</v>
      </c>
      <c r="Y28" s="2"/>
      <c r="Z28" s="7">
        <f t="shared" si="7"/>
        <v>-1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28730.480000000003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-28730.480000000003</v>
      </c>
      <c r="M29" s="1"/>
      <c r="N29" s="5">
        <f t="shared" ref="N29:N35" si="11">IF(H29=0,0,L29/H29)</f>
        <v>-1</v>
      </c>
      <c r="O29" s="12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412301.66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-412301.43</v>
      </c>
      <c r="Y29" s="1"/>
      <c r="Z29" s="5">
        <f t="shared" ref="Z29:Z35" si="15">IF(T29=0,0,X29/T29)</f>
        <v>-0.99999944215601755</v>
      </c>
    </row>
    <row r="30" spans="1:26" s="23" customFormat="1" hidden="1" outlineLevel="2" x14ac:dyDescent="0.25">
      <c r="A30" s="27"/>
      <c r="B30" s="10" t="str">
        <f>CONCATENATE("          ", "6002", " - ", "STAFF SALARIES")</f>
        <v xml:space="preserve">          6002 - STAFF SALARIES</v>
      </c>
      <c r="C30" s="10"/>
      <c r="D30" s="6"/>
      <c r="E30" s="2"/>
      <c r="F30" s="7">
        <f t="shared" si="8"/>
        <v>0</v>
      </c>
      <c r="G30" s="2"/>
      <c r="H30" s="6">
        <v>4277.84</v>
      </c>
      <c r="I30" s="2"/>
      <c r="J30" s="7">
        <f t="shared" si="9"/>
        <v>0</v>
      </c>
      <c r="K30" s="2"/>
      <c r="L30" s="6">
        <f t="shared" si="10"/>
        <v>-4277.84</v>
      </c>
      <c r="M30" s="2"/>
      <c r="N30" s="7">
        <f t="shared" si="11"/>
        <v>-1</v>
      </c>
      <c r="O30" s="10"/>
      <c r="P30" s="6"/>
      <c r="Q30" s="2"/>
      <c r="R30" s="7">
        <f t="shared" si="12"/>
        <v>0</v>
      </c>
      <c r="S30" s="2"/>
      <c r="T30" s="6">
        <v>90376.56</v>
      </c>
      <c r="U30" s="2"/>
      <c r="V30" s="7">
        <f t="shared" si="13"/>
        <v>0</v>
      </c>
      <c r="W30" s="2"/>
      <c r="X30" s="6">
        <f t="shared" si="14"/>
        <v>-90376.56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"6004", " - ", "STAFF HOURLY")</f>
        <v xml:space="preserve">          6004 - STAFF HOURLY</v>
      </c>
      <c r="C31" s="10"/>
      <c r="D31" s="6"/>
      <c r="E31" s="2"/>
      <c r="F31" s="7">
        <f t="shared" si="8"/>
        <v>0</v>
      </c>
      <c r="G31" s="2"/>
      <c r="H31" s="6">
        <v>1750</v>
      </c>
      <c r="I31" s="2"/>
      <c r="J31" s="7">
        <f t="shared" si="9"/>
        <v>0</v>
      </c>
      <c r="K31" s="2"/>
      <c r="L31" s="6">
        <f t="shared" si="10"/>
        <v>-1750</v>
      </c>
      <c r="M31" s="2"/>
      <c r="N31" s="7">
        <f t="shared" si="11"/>
        <v>-1</v>
      </c>
      <c r="O31" s="10"/>
      <c r="P31" s="6">
        <v>0.23</v>
      </c>
      <c r="Q31" s="2"/>
      <c r="R31" s="7">
        <f t="shared" si="12"/>
        <v>0</v>
      </c>
      <c r="S31" s="2"/>
      <c r="T31" s="6">
        <v>1750</v>
      </c>
      <c r="U31" s="2"/>
      <c r="V31" s="7">
        <f t="shared" si="13"/>
        <v>0</v>
      </c>
      <c r="W31" s="2"/>
      <c r="X31" s="6">
        <f t="shared" si="14"/>
        <v>-1749.77</v>
      </c>
      <c r="Y31" s="2"/>
      <c r="Z31" s="7">
        <f t="shared" si="15"/>
        <v>-0.99986857142857144</v>
      </c>
    </row>
    <row r="32" spans="1:26" s="23" customFormat="1" hidden="1" outlineLevel="2" x14ac:dyDescent="0.25">
      <c r="A32" s="27"/>
      <c r="B32" s="10" t="str">
        <f>CONCATENATE("          ", "6005", " - ", "TEMPORARY WAGES-HOURLY")</f>
        <v xml:space="preserve">          6005 - TEMPORARY WAGES-HOURLY</v>
      </c>
      <c r="C32" s="10"/>
      <c r="D32" s="6"/>
      <c r="E32" s="2"/>
      <c r="F32" s="7">
        <f t="shared" si="8"/>
        <v>0</v>
      </c>
      <c r="G32" s="2"/>
      <c r="H32" s="6">
        <v>7833.58</v>
      </c>
      <c r="I32" s="2"/>
      <c r="J32" s="7">
        <f t="shared" si="9"/>
        <v>0</v>
      </c>
      <c r="K32" s="2"/>
      <c r="L32" s="6">
        <f t="shared" si="10"/>
        <v>-7833.58</v>
      </c>
      <c r="M32" s="2"/>
      <c r="N32" s="7">
        <f t="shared" si="11"/>
        <v>-1</v>
      </c>
      <c r="O32" s="10"/>
      <c r="P32" s="6">
        <v>0</v>
      </c>
      <c r="Q32" s="2"/>
      <c r="R32" s="7">
        <f t="shared" si="12"/>
        <v>0</v>
      </c>
      <c r="S32" s="2"/>
      <c r="T32" s="6">
        <v>36398.36</v>
      </c>
      <c r="U32" s="2"/>
      <c r="V32" s="7">
        <f t="shared" si="13"/>
        <v>0</v>
      </c>
      <c r="W32" s="2"/>
      <c r="X32" s="6">
        <f t="shared" si="14"/>
        <v>-36398.36</v>
      </c>
      <c r="Y32" s="2"/>
      <c r="Z32" s="7">
        <f t="shared" si="15"/>
        <v>-1</v>
      </c>
    </row>
    <row r="33" spans="1:26" s="23" customFormat="1" hidden="1" outlineLevel="2" x14ac:dyDescent="0.25">
      <c r="A33" s="27"/>
      <c r="B33" s="10" t="str">
        <f>CONCATENATE("          ", "6006", " - ", "TEMPORARY PART TIME")</f>
        <v xml:space="preserve">          6006 - TEMPORARY PART TIME</v>
      </c>
      <c r="C33" s="10"/>
      <c r="D33" s="6"/>
      <c r="E33" s="2"/>
      <c r="F33" s="7">
        <f t="shared" si="8"/>
        <v>0</v>
      </c>
      <c r="G33" s="2"/>
      <c r="H33" s="6">
        <v>774.02</v>
      </c>
      <c r="I33" s="2"/>
      <c r="J33" s="7">
        <f t="shared" si="9"/>
        <v>0</v>
      </c>
      <c r="K33" s="2"/>
      <c r="L33" s="6">
        <f t="shared" si="10"/>
        <v>-774.02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14055.51</v>
      </c>
      <c r="U33" s="2"/>
      <c r="V33" s="7">
        <f t="shared" si="13"/>
        <v>0</v>
      </c>
      <c r="W33" s="2"/>
      <c r="X33" s="6">
        <f t="shared" si="14"/>
        <v>-14055.51</v>
      </c>
      <c r="Y33" s="2"/>
      <c r="Z33" s="7">
        <f t="shared" si="15"/>
        <v>-1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14095.04</v>
      </c>
      <c r="I34" s="2"/>
      <c r="J34" s="7">
        <f t="shared" si="9"/>
        <v>0</v>
      </c>
      <c r="K34" s="2"/>
      <c r="L34" s="6">
        <f t="shared" si="10"/>
        <v>-14095.04</v>
      </c>
      <c r="M34" s="2"/>
      <c r="N34" s="7">
        <f t="shared" si="11"/>
        <v>-1</v>
      </c>
      <c r="O34" s="10"/>
      <c r="P34" s="6"/>
      <c r="Q34" s="2"/>
      <c r="R34" s="7">
        <f t="shared" si="12"/>
        <v>0</v>
      </c>
      <c r="S34" s="2"/>
      <c r="T34" s="6">
        <v>256704.05</v>
      </c>
      <c r="U34" s="2"/>
      <c r="V34" s="7">
        <f t="shared" si="13"/>
        <v>0</v>
      </c>
      <c r="W34" s="2"/>
      <c r="X34" s="6">
        <f t="shared" si="14"/>
        <v>-256704.05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13017.18</v>
      </c>
      <c r="U35" s="2"/>
      <c r="V35" s="7">
        <f t="shared" si="13"/>
        <v>0</v>
      </c>
      <c r="W35" s="2"/>
      <c r="X35" s="6">
        <f t="shared" si="14"/>
        <v>-13017.18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2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1066.72</v>
      </c>
      <c r="U38" s="1"/>
      <c r="V38" s="5">
        <f t="shared" si="21"/>
        <v>0</v>
      </c>
      <c r="W38" s="1"/>
      <c r="X38" s="1">
        <f t="shared" si="22"/>
        <v>-1066.72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"6351", " - ", "EQUIPMENT RENTAL")</f>
        <v xml:space="preserve">          6351 - EQUIPMENT RENTAL</v>
      </c>
      <c r="C39" s="10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0"/>
      <c r="P39" s="6">
        <v>0</v>
      </c>
      <c r="Q39" s="2"/>
      <c r="R39" s="7">
        <f t="shared" si="20"/>
        <v>0</v>
      </c>
      <c r="S39" s="2"/>
      <c r="T39" s="6">
        <v>1066.72</v>
      </c>
      <c r="U39" s="2"/>
      <c r="V39" s="7">
        <f t="shared" si="21"/>
        <v>0</v>
      </c>
      <c r="W39" s="2"/>
      <c r="X39" s="6">
        <f t="shared" si="22"/>
        <v>-1066.72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15.95</v>
      </c>
      <c r="I40" s="1"/>
      <c r="J40" s="5">
        <f t="shared" si="17"/>
        <v>0</v>
      </c>
      <c r="K40" s="1"/>
      <c r="L40" s="1">
        <f t="shared" si="18"/>
        <v>-15.95</v>
      </c>
      <c r="M40" s="1"/>
      <c r="N40" s="5">
        <f t="shared" si="19"/>
        <v>-1</v>
      </c>
      <c r="O40" s="12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4229.75</v>
      </c>
      <c r="U40" s="1"/>
      <c r="V40" s="5">
        <f t="shared" si="21"/>
        <v>0</v>
      </c>
      <c r="W40" s="1"/>
      <c r="X40" s="1">
        <f t="shared" si="22"/>
        <v>-4229.75</v>
      </c>
      <c r="Y40" s="1"/>
      <c r="Z40" s="5">
        <f t="shared" si="23"/>
        <v>-1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>
        <v>15.95</v>
      </c>
      <c r="I41" s="2"/>
      <c r="J41" s="7">
        <f t="shared" si="17"/>
        <v>0</v>
      </c>
      <c r="K41" s="2"/>
      <c r="L41" s="6">
        <f t="shared" si="18"/>
        <v>-15.95</v>
      </c>
      <c r="M41" s="2"/>
      <c r="N41" s="7">
        <f t="shared" si="19"/>
        <v>-1</v>
      </c>
      <c r="O41" s="10"/>
      <c r="P41" s="6">
        <v>0</v>
      </c>
      <c r="Q41" s="2"/>
      <c r="R41" s="7">
        <f t="shared" si="20"/>
        <v>0</v>
      </c>
      <c r="S41" s="2"/>
      <c r="T41" s="6">
        <v>4229.75</v>
      </c>
      <c r="U41" s="2"/>
      <c r="V41" s="7">
        <f t="shared" si="21"/>
        <v>0</v>
      </c>
      <c r="W41" s="2"/>
      <c r="X41" s="6">
        <f t="shared" si="22"/>
        <v>-4229.75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26.84</v>
      </c>
      <c r="I44" s="1"/>
      <c r="J44" s="5">
        <f t="shared" si="17"/>
        <v>0</v>
      </c>
      <c r="K44" s="1"/>
      <c r="L44" s="1">
        <f t="shared" si="18"/>
        <v>-26.84</v>
      </c>
      <c r="M44" s="1"/>
      <c r="N44" s="5">
        <f t="shared" si="19"/>
        <v>-1</v>
      </c>
      <c r="O44" s="12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505.16999999999996</v>
      </c>
      <c r="U44" s="1"/>
      <c r="V44" s="5">
        <f t="shared" si="21"/>
        <v>0</v>
      </c>
      <c r="W44" s="1"/>
      <c r="X44" s="1">
        <f t="shared" si="22"/>
        <v>-505.16999999999996</v>
      </c>
      <c r="Y44" s="1"/>
      <c r="Z44" s="5">
        <f t="shared" si="23"/>
        <v>-1</v>
      </c>
    </row>
    <row r="45" spans="1:26" s="23" customFormat="1" hidden="1" outlineLevel="2" x14ac:dyDescent="0.25">
      <c r="A45" s="27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16"/>
        <v>0</v>
      </c>
      <c r="G45" s="2"/>
      <c r="H45" s="6">
        <v>26.84</v>
      </c>
      <c r="I45" s="2"/>
      <c r="J45" s="7">
        <f t="shared" si="17"/>
        <v>0</v>
      </c>
      <c r="K45" s="2"/>
      <c r="L45" s="6">
        <f t="shared" si="18"/>
        <v>-26.84</v>
      </c>
      <c r="M45" s="2"/>
      <c r="N45" s="7">
        <f t="shared" si="19"/>
        <v>-1</v>
      </c>
      <c r="O45" s="10"/>
      <c r="P45" s="6">
        <v>0</v>
      </c>
      <c r="Q45" s="2"/>
      <c r="R45" s="7">
        <f t="shared" si="20"/>
        <v>0</v>
      </c>
      <c r="S45" s="2"/>
      <c r="T45" s="6">
        <v>192.84</v>
      </c>
      <c r="U45" s="2"/>
      <c r="V45" s="7">
        <f t="shared" si="21"/>
        <v>0</v>
      </c>
      <c r="W45" s="2"/>
      <c r="X45" s="6">
        <f t="shared" si="22"/>
        <v>-192.84</v>
      </c>
      <c r="Y45" s="2"/>
      <c r="Z45" s="7">
        <f t="shared" si="23"/>
        <v>-1</v>
      </c>
    </row>
    <row r="46" spans="1:26" s="23" customFormat="1" hidden="1" outlineLevel="2" x14ac:dyDescent="0.25">
      <c r="A46" s="27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0"/>
      <c r="P46" s="6"/>
      <c r="Q46" s="2"/>
      <c r="R46" s="7">
        <f t="shared" si="20"/>
        <v>0</v>
      </c>
      <c r="S46" s="2"/>
      <c r="T46" s="6">
        <v>312.33</v>
      </c>
      <c r="U46" s="2"/>
      <c r="V46" s="7">
        <f t="shared" si="21"/>
        <v>0</v>
      </c>
      <c r="W46" s="2"/>
      <c r="X46" s="6">
        <f t="shared" si="22"/>
        <v>-312.33</v>
      </c>
      <c r="Y46" s="2"/>
      <c r="Z46" s="7">
        <f t="shared" si="23"/>
        <v>-1</v>
      </c>
    </row>
    <row r="47" spans="1:26" s="26" customFormat="1" outlineLevel="1" collapsed="1" x14ac:dyDescent="0.25">
      <c r="A47" s="25"/>
      <c r="B47" s="12" t="str">
        <f>CONCATENATE("     ","Supplies                                          ")</f>
        <v xml:space="preserve">     Supplies                                          </v>
      </c>
      <c r="C47" s="12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515.57999999999993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-515.57999999999993</v>
      </c>
      <c r="M47" s="1"/>
      <c r="N47" s="5">
        <f t="shared" ref="N47:N50" si="27">IF(H47=0,0,L47/H47)</f>
        <v>-1</v>
      </c>
      <c r="O47" s="12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4119.7699999999995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-4119.7699999999995</v>
      </c>
      <c r="Y47" s="1"/>
      <c r="Z47" s="5">
        <f t="shared" ref="Z47:Z50" si="31">IF(T47=0,0,X47/T47)</f>
        <v>-1</v>
      </c>
    </row>
    <row r="48" spans="1:26" s="23" customFormat="1" hidden="1" outlineLevel="2" x14ac:dyDescent="0.25">
      <c r="A48" s="27"/>
      <c r="B48" s="10" t="str">
        <f>CONCATENATE("          ", "6237", " - ", "JANITORIAL SUPPLIES")</f>
        <v xml:space="preserve">          6237 - JANITORIAL SUPPLIES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3" customFormat="1" hidden="1" outlineLevel="2" x14ac:dyDescent="0.25">
      <c r="A49" s="27"/>
      <c r="B49" s="10" t="str">
        <f>CONCATENATE("          ", "6241", " - ", "OFFICE EXPENSE")</f>
        <v xml:space="preserve">          6241 - OFFICE EXPENSE</v>
      </c>
      <c r="C49" s="10"/>
      <c r="D49" s="6"/>
      <c r="E49" s="2"/>
      <c r="F49" s="7">
        <f t="shared" si="24"/>
        <v>0</v>
      </c>
      <c r="G49" s="2"/>
      <c r="H49" s="6">
        <v>286.58999999999997</v>
      </c>
      <c r="I49" s="2"/>
      <c r="J49" s="7">
        <f t="shared" si="25"/>
        <v>0</v>
      </c>
      <c r="K49" s="2"/>
      <c r="L49" s="6">
        <f t="shared" si="26"/>
        <v>-286.58999999999997</v>
      </c>
      <c r="M49" s="2"/>
      <c r="N49" s="7">
        <f t="shared" si="27"/>
        <v>-1</v>
      </c>
      <c r="O49" s="10"/>
      <c r="P49" s="6"/>
      <c r="Q49" s="2"/>
      <c r="R49" s="7">
        <f t="shared" si="28"/>
        <v>0</v>
      </c>
      <c r="S49" s="2"/>
      <c r="T49" s="6">
        <v>2309.6</v>
      </c>
      <c r="U49" s="2"/>
      <c r="V49" s="7">
        <f t="shared" si="29"/>
        <v>0</v>
      </c>
      <c r="W49" s="2"/>
      <c r="X49" s="6">
        <f t="shared" si="30"/>
        <v>-2309.6</v>
      </c>
      <c r="Y49" s="2"/>
      <c r="Z49" s="7">
        <f t="shared" si="31"/>
        <v>-1</v>
      </c>
    </row>
    <row r="50" spans="1:26" s="23" customFormat="1" hidden="1" outlineLevel="2" x14ac:dyDescent="0.25">
      <c r="A50" s="27"/>
      <c r="B50" s="10" t="str">
        <f>CONCATENATE("          ", "6247", " - ", "STORE SUPPLIES")</f>
        <v xml:space="preserve">          6247 - STORE SUPPLIES</v>
      </c>
      <c r="C50" s="10"/>
      <c r="D50" s="6"/>
      <c r="E50" s="2"/>
      <c r="F50" s="7">
        <f t="shared" si="24"/>
        <v>0</v>
      </c>
      <c r="G50" s="2"/>
      <c r="H50" s="6">
        <v>228.99</v>
      </c>
      <c r="I50" s="2"/>
      <c r="J50" s="7">
        <f t="shared" si="25"/>
        <v>0</v>
      </c>
      <c r="K50" s="2"/>
      <c r="L50" s="6">
        <f t="shared" si="26"/>
        <v>-228.99</v>
      </c>
      <c r="M50" s="2"/>
      <c r="N50" s="7">
        <f t="shared" si="27"/>
        <v>-1</v>
      </c>
      <c r="O50" s="10"/>
      <c r="P50" s="6"/>
      <c r="Q50" s="2"/>
      <c r="R50" s="7">
        <f t="shared" si="28"/>
        <v>0</v>
      </c>
      <c r="S50" s="2"/>
      <c r="T50" s="6">
        <v>1583.22</v>
      </c>
      <c r="U50" s="2"/>
      <c r="V50" s="7">
        <f t="shared" si="29"/>
        <v>0</v>
      </c>
      <c r="W50" s="2"/>
      <c r="X50" s="6">
        <f t="shared" si="30"/>
        <v>-1583.22</v>
      </c>
      <c r="Y50" s="2"/>
      <c r="Z50" s="7">
        <f t="shared" si="31"/>
        <v>-1</v>
      </c>
    </row>
    <row r="51" spans="1:26" s="26" customFormat="1" outlineLevel="1" collapsed="1" x14ac:dyDescent="0.25">
      <c r="A51" s="25"/>
      <c r="B51" s="12" t="str">
        <f>CONCATENATE("     ","Telephone/Data Lines                              ")</f>
        <v xml:space="preserve">     Telephone/Data Lines                              </v>
      </c>
      <c r="C51" s="12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145.35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-145.35</v>
      </c>
      <c r="M51" s="1"/>
      <c r="N51" s="5">
        <f t="shared" ref="N51:N54" si="35">IF(H51=0,0,L51/H51)</f>
        <v>-1</v>
      </c>
      <c r="O51" s="12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1692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-1692</v>
      </c>
      <c r="Y51" s="1"/>
      <c r="Z51" s="5">
        <f t="shared" ref="Z51:Z54" si="39">IF(T51=0,0,X51/T51)</f>
        <v>-1</v>
      </c>
    </row>
    <row r="52" spans="1:26" s="23" customFormat="1" hidden="1" outlineLevel="2" x14ac:dyDescent="0.25">
      <c r="A52" s="27"/>
      <c r="B52" s="10" t="str">
        <f>CONCATENATE("          ", "6309", " - ", "TELEPHONE")</f>
        <v xml:space="preserve">          6309 - TELEPHONE</v>
      </c>
      <c r="C52" s="10"/>
      <c r="D52" s="6"/>
      <c r="E52" s="2"/>
      <c r="F52" s="7">
        <f t="shared" si="32"/>
        <v>0</v>
      </c>
      <c r="G52" s="2"/>
      <c r="H52" s="6">
        <v>145.35</v>
      </c>
      <c r="I52" s="2"/>
      <c r="J52" s="7">
        <f t="shared" si="33"/>
        <v>0</v>
      </c>
      <c r="K52" s="2"/>
      <c r="L52" s="6">
        <f t="shared" si="34"/>
        <v>-145.35</v>
      </c>
      <c r="M52" s="2"/>
      <c r="N52" s="7">
        <f t="shared" si="35"/>
        <v>-1</v>
      </c>
      <c r="O52" s="10"/>
      <c r="P52" s="6">
        <v>0</v>
      </c>
      <c r="Q52" s="2"/>
      <c r="R52" s="7">
        <f t="shared" si="36"/>
        <v>0</v>
      </c>
      <c r="S52" s="2"/>
      <c r="T52" s="6">
        <v>1692</v>
      </c>
      <c r="U52" s="2"/>
      <c r="V52" s="7">
        <f t="shared" si="37"/>
        <v>0</v>
      </c>
      <c r="W52" s="2"/>
      <c r="X52" s="6">
        <f t="shared" si="38"/>
        <v>-1692</v>
      </c>
      <c r="Y52" s="2"/>
      <c r="Z52" s="7">
        <f t="shared" si="39"/>
        <v>-1</v>
      </c>
    </row>
    <row r="53" spans="1:26" s="26" customFormat="1" outlineLevel="1" collapsed="1" x14ac:dyDescent="0.25">
      <c r="A53" s="25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2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3" customFormat="1" hidden="1" outlineLevel="2" x14ac:dyDescent="0.25">
      <c r="A54" s="27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0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57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4" customFormat="1" x14ac:dyDescent="0.25">
      <c r="A56" s="11"/>
      <c r="B56" s="29" t="s">
        <v>292</v>
      </c>
      <c r="C56" s="11"/>
      <c r="D56" s="4">
        <f>SUM(0)</f>
        <v>0</v>
      </c>
      <c r="E56" s="4"/>
      <c r="F56" s="13">
        <f>IF(D$12=0,0,D56/D$12)</f>
        <v>0</v>
      </c>
      <c r="G56" s="4"/>
      <c r="H56" s="4">
        <f>SUM(0)</f>
        <v>0</v>
      </c>
      <c r="I56" s="4"/>
      <c r="J56" s="13">
        <f>IF(H$12=0,0,H56/H$12)</f>
        <v>0</v>
      </c>
      <c r="K56" s="4"/>
      <c r="L56" s="4">
        <f>+D56-H56</f>
        <v>0</v>
      </c>
      <c r="M56" s="4"/>
      <c r="N56" s="13">
        <f>IF(H56=0,0,L56/H56)</f>
        <v>0</v>
      </c>
      <c r="O56" s="11"/>
      <c r="P56" s="4">
        <f>SUM(0)</f>
        <v>0</v>
      </c>
      <c r="Q56" s="4"/>
      <c r="R56" s="13">
        <f>IF(P$12=0,0,P56/P$12)</f>
        <v>0</v>
      </c>
      <c r="S56" s="4"/>
      <c r="T56" s="4">
        <f>SUM(0)</f>
        <v>0</v>
      </c>
      <c r="U56" s="4"/>
      <c r="V56" s="13">
        <f>IF(T$12=0,0,T56/T$12)</f>
        <v>0</v>
      </c>
      <c r="W56" s="4"/>
      <c r="X56" s="4">
        <f>+P56-T56</f>
        <v>0</v>
      </c>
      <c r="Y56" s="4"/>
      <c r="Z56" s="13">
        <f>IF(T56=0,0,X56/T56)</f>
        <v>0</v>
      </c>
    </row>
    <row r="57" spans="1:26" x14ac:dyDescent="0.25">
      <c r="A57" s="9"/>
      <c r="B57" s="11"/>
      <c r="C57" s="11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1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x14ac:dyDescent="0.25">
      <c r="A58" s="11"/>
      <c r="B58" s="28" t="s">
        <v>276</v>
      </c>
      <c r="C58" s="28"/>
      <c r="D58" s="20">
        <f>+D16-D18+D56</f>
        <v>0</v>
      </c>
      <c r="E58" s="14"/>
      <c r="F58" s="21">
        <f>IF(D$12=0,0,D58/D$12)</f>
        <v>0</v>
      </c>
      <c r="G58" s="14"/>
      <c r="H58" s="20">
        <f>+H16-H18+H56</f>
        <v>-33773.869999999988</v>
      </c>
      <c r="I58" s="14"/>
      <c r="J58" s="21">
        <f>IF(H$12=0,0,H58/H$12)</f>
        <v>0</v>
      </c>
      <c r="K58" s="15"/>
      <c r="L58" s="20">
        <f>+D58-H58</f>
        <v>33773.869999999988</v>
      </c>
      <c r="M58" s="15"/>
      <c r="N58" s="21">
        <f>IF(H58=0,0,L58/H58)</f>
        <v>-1</v>
      </c>
      <c r="O58" s="29"/>
      <c r="P58" s="20">
        <f>+P16-P18+P56</f>
        <v>-0.37000000000004318</v>
      </c>
      <c r="Q58" s="14"/>
      <c r="R58" s="21">
        <f>IF(P$12=0,0,P58/P$12)</f>
        <v>0</v>
      </c>
      <c r="S58" s="14"/>
      <c r="T58" s="20">
        <f>+T16-T18+T56</f>
        <v>-472896.58999999997</v>
      </c>
      <c r="U58" s="14"/>
      <c r="V58" s="21">
        <f>IF(T$12=0,0,T58/T$12)</f>
        <v>0</v>
      </c>
      <c r="W58" s="15"/>
      <c r="X58" s="20">
        <f>+P58-T58</f>
        <v>472896.22</v>
      </c>
      <c r="Y58" s="15"/>
      <c r="Z58" s="21">
        <f>IF(T58=0,0,X58/T58)</f>
        <v>-0.99999921758792976</v>
      </c>
    </row>
    <row r="59" spans="1:26" x14ac:dyDescent="0.25">
      <c r="A59" s="9"/>
      <c r="B59" s="11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x14ac:dyDescent="0.25">
      <c r="A60" s="51"/>
      <c r="B60" s="11" t="s">
        <v>127</v>
      </c>
      <c r="C60" s="11"/>
      <c r="D60" s="4"/>
      <c r="E60" s="4"/>
      <c r="F60" s="13">
        <f>IF(D$12=0,0,D60/D$12)</f>
        <v>0</v>
      </c>
      <c r="G60" s="4"/>
      <c r="H60" s="4"/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1"/>
      <c r="P60" s="4"/>
      <c r="Q60" s="4"/>
      <c r="R60" s="13">
        <f>IF(P$12=0,0,P60/P$12)</f>
        <v>0</v>
      </c>
      <c r="S60" s="4"/>
      <c r="T60" s="4"/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ht="15.75" thickBot="1" x14ac:dyDescent="0.3">
      <c r="A62" s="11"/>
      <c r="B62" s="28" t="s">
        <v>125</v>
      </c>
      <c r="C62" s="28"/>
      <c r="D62" s="35">
        <f>+D58-D60</f>
        <v>0</v>
      </c>
      <c r="E62" s="14"/>
      <c r="F62" s="36">
        <f>IF(D$12=0,0,D62/D$12)</f>
        <v>0</v>
      </c>
      <c r="G62" s="14"/>
      <c r="H62" s="35">
        <f>+H58-H60</f>
        <v>-33773.869999999988</v>
      </c>
      <c r="I62" s="14"/>
      <c r="J62" s="36">
        <f>IF(H$12=0,0,H62/H$12)</f>
        <v>0</v>
      </c>
      <c r="K62" s="15"/>
      <c r="L62" s="35">
        <f>D62-H62</f>
        <v>33773.869999999988</v>
      </c>
      <c r="M62" s="15"/>
      <c r="N62" s="36">
        <f>IF(H62=0,0,L62/H62)</f>
        <v>-1</v>
      </c>
      <c r="O62" s="29"/>
      <c r="P62" s="35">
        <f>+P58-P60</f>
        <v>-0.37000000000004318</v>
      </c>
      <c r="Q62" s="14"/>
      <c r="R62" s="36">
        <f>IF(P$12=0,0,P62/P$12)</f>
        <v>0</v>
      </c>
      <c r="S62" s="14"/>
      <c r="T62" s="35">
        <f>+T58-T60</f>
        <v>-472896.58999999997</v>
      </c>
      <c r="U62" s="14"/>
      <c r="V62" s="36">
        <f>IF(T$12=0,0,T62/T$12)</f>
        <v>0</v>
      </c>
      <c r="W62" s="15"/>
      <c r="X62" s="35">
        <f>P62-T62</f>
        <v>472896.22</v>
      </c>
      <c r="Y62" s="15"/>
      <c r="Z62" s="36">
        <f>IF(T62=0,0,X62/T62)</f>
        <v>-0.99999921758792976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8" t="s">
        <v>293</v>
      </c>
      <c r="C65" s="28"/>
      <c r="D65" s="30">
        <f>SUM(D62:D64)</f>
        <v>0</v>
      </c>
      <c r="E65" s="14"/>
      <c r="F65" s="31">
        <f>IF(D$12=0,0,D65/D$12)</f>
        <v>0</v>
      </c>
      <c r="G65" s="14"/>
      <c r="H65" s="30">
        <f>SUM(H62:H64)</f>
        <v>-33773.869999999988</v>
      </c>
      <c r="I65" s="14"/>
      <c r="J65" s="31">
        <f>IF(H$12=0,0,H65/H$12)</f>
        <v>0</v>
      </c>
      <c r="K65" s="15"/>
      <c r="L65" s="30">
        <f>+D65-H65</f>
        <v>33773.869999999988</v>
      </c>
      <c r="M65" s="15"/>
      <c r="N65" s="31">
        <f>IF(H65=0,0,L65/H65)</f>
        <v>-1</v>
      </c>
      <c r="O65" s="29"/>
      <c r="P65" s="30">
        <f>SUM(P62:P64)</f>
        <v>-0.37000000000004318</v>
      </c>
      <c r="Q65" s="14"/>
      <c r="R65" s="31">
        <f>IF(P$12=0,0,P65/P$12)</f>
        <v>0</v>
      </c>
      <c r="S65" s="14"/>
      <c r="T65" s="30">
        <f>SUM(T62:T64)</f>
        <v>-472896.58999999997</v>
      </c>
      <c r="U65" s="14"/>
      <c r="V65" s="31">
        <f>IF(T$12=0,0,T65/T$12)</f>
        <v>0</v>
      </c>
      <c r="W65" s="15"/>
      <c r="X65" s="30">
        <f>+P65-T65</f>
        <v>472896.22</v>
      </c>
      <c r="Y65" s="15"/>
      <c r="Z65" s="31">
        <f>IF(T65=0,0,X65/T65)</f>
        <v>-0.99999921758792976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9">
        <v>44356.893348032405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2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4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80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80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6982.2300000000014</v>
      </c>
      <c r="I12" s="4"/>
      <c r="J12" s="13"/>
      <c r="K12" s="4"/>
      <c r="L12" s="4">
        <f t="shared" ref="L12:L53" si="0">+D12-H12</f>
        <v>-6982.2300000000014</v>
      </c>
      <c r="M12" s="4"/>
      <c r="N12" s="13">
        <f t="shared" ref="N12:N53" si="1">IF(H12=0,0,L12/H12)</f>
        <v>-1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821682.18999999983</v>
      </c>
      <c r="U12" s="4"/>
      <c r="V12" s="13"/>
      <c r="W12" s="4"/>
      <c r="X12" s="4">
        <f t="shared" ref="X12:X53" si="2">+P12-T12</f>
        <v>-800370.26999999979</v>
      </c>
      <c r="Y12" s="4"/>
      <c r="Z12" s="13">
        <f t="shared" ref="Z12:Z53" si="3">IF(T12=0,0,X12/T12)</f>
        <v>-0.97406306202158277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53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6" si="6">0</f>
        <v>0</v>
      </c>
      <c r="Q14" s="2"/>
      <c r="R14" s="19"/>
      <c r="S14" s="2"/>
      <c r="T14" s="2">
        <f>--347.52</f>
        <v>347.52</v>
      </c>
      <c r="U14" s="2"/>
      <c r="V14" s="19"/>
      <c r="W14" s="2"/>
      <c r="X14" s="2">
        <f t="shared" si="2"/>
        <v>-347.52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"4019", " - ", "TAXABLE SALES-BOOK RELATED")</f>
        <v xml:space="preserve">          4019 - TAXABLE SALES-BOOK RELATED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--42.85</f>
        <v>42.85</v>
      </c>
      <c r="U15" s="2"/>
      <c r="V15" s="19"/>
      <c r="W15" s="2"/>
      <c r="X15" s="2">
        <f t="shared" si="2"/>
        <v>-42.85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"4025", " - ", "TAXABLE SALES-TEST FORMS")</f>
        <v xml:space="preserve">          4025 - TAXABLE SALES-TEST FORMS</v>
      </c>
      <c r="C16" s="10"/>
      <c r="D16" s="2">
        <f t="shared" si="4"/>
        <v>0</v>
      </c>
      <c r="E16" s="2"/>
      <c r="F16" s="19"/>
      <c r="G16" s="2"/>
      <c r="H16" s="2">
        <f>--17.25</f>
        <v>17.25</v>
      </c>
      <c r="I16" s="2"/>
      <c r="J16" s="19"/>
      <c r="K16" s="2"/>
      <c r="L16" s="2">
        <f t="shared" si="0"/>
        <v>-17.25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--54706.49</f>
        <v>54706.49</v>
      </c>
      <c r="U16" s="2"/>
      <c r="V16" s="19"/>
      <c r="W16" s="2"/>
      <c r="X16" s="2">
        <f t="shared" si="2"/>
        <v>-54706.49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"4026", " - ", "TAXABLE SALES-WRITING INSTRUME")</f>
        <v xml:space="preserve">          4026 - TAXABLE SALES-WRITING INSTRUME</v>
      </c>
      <c r="C17" s="10"/>
      <c r="D17" s="2">
        <f t="shared" si="4"/>
        <v>0</v>
      </c>
      <c r="E17" s="2"/>
      <c r="F17" s="19"/>
      <c r="G17" s="2"/>
      <c r="H17" s="2">
        <f>--859.78</f>
        <v>859.78</v>
      </c>
      <c r="I17" s="2"/>
      <c r="J17" s="19"/>
      <c r="K17" s="2"/>
      <c r="L17" s="2">
        <f t="shared" si="0"/>
        <v>-859.78</v>
      </c>
      <c r="M17" s="2"/>
      <c r="N17" s="19">
        <f t="shared" si="1"/>
        <v>-1</v>
      </c>
      <c r="O17" s="10"/>
      <c r="P17" s="2">
        <f>--17.51</f>
        <v>17.510000000000002</v>
      </c>
      <c r="Q17" s="2"/>
      <c r="R17" s="19"/>
      <c r="S17" s="2"/>
      <c r="T17" s="2">
        <f>--80579.98</f>
        <v>80579.98</v>
      </c>
      <c r="U17" s="2"/>
      <c r="V17" s="19"/>
      <c r="W17" s="2"/>
      <c r="X17" s="2">
        <f t="shared" si="2"/>
        <v>-80562.47</v>
      </c>
      <c r="Y17" s="2"/>
      <c r="Z17" s="19">
        <f t="shared" si="3"/>
        <v>-0.99978270036800709</v>
      </c>
    </row>
    <row r="18" spans="1:26" s="23" customFormat="1" hidden="1" outlineLevel="1" x14ac:dyDescent="0.25">
      <c r="A18" s="44"/>
      <c r="B18" s="10" t="str">
        <f>CONCATENATE("          ", "4027", " - ", "TAXABLE SALES-SCHOOL SUPPLIES")</f>
        <v xml:space="preserve">          4027 - TAXABLE SALES-SCHOOL SUPPLIES</v>
      </c>
      <c r="C18" s="10"/>
      <c r="D18" s="2">
        <f t="shared" si="4"/>
        <v>0</v>
      </c>
      <c r="E18" s="2"/>
      <c r="F18" s="19"/>
      <c r="G18" s="2"/>
      <c r="H18" s="2">
        <f>--5530.51</f>
        <v>5530.51</v>
      </c>
      <c r="I18" s="2"/>
      <c r="J18" s="19"/>
      <c r="K18" s="2"/>
      <c r="L18" s="2">
        <f t="shared" si="0"/>
        <v>-5530.51</v>
      </c>
      <c r="M18" s="2"/>
      <c r="N18" s="19">
        <f t="shared" si="1"/>
        <v>-1</v>
      </c>
      <c r="O18" s="10"/>
      <c r="P18" s="2">
        <f>--7990.32</f>
        <v>7990.32</v>
      </c>
      <c r="Q18" s="2"/>
      <c r="R18" s="19"/>
      <c r="S18" s="2"/>
      <c r="T18" s="2">
        <f>--276615.48</f>
        <v>276615.48</v>
      </c>
      <c r="U18" s="2"/>
      <c r="V18" s="19"/>
      <c r="W18" s="2"/>
      <c r="X18" s="2">
        <f t="shared" si="2"/>
        <v>-268625.15999999997</v>
      </c>
      <c r="Y18" s="2"/>
      <c r="Z18" s="19">
        <f t="shared" si="3"/>
        <v>-0.97111398103967284</v>
      </c>
    </row>
    <row r="19" spans="1:26" s="23" customFormat="1" hidden="1" outlineLevel="1" x14ac:dyDescent="0.25">
      <c r="A19" s="44"/>
      <c r="B19" s="10" t="str">
        <f>CONCATENATE("          ", "4028", " - ", "TAXABLE SALES-ART/TECH")</f>
        <v xml:space="preserve">          4028 - TAXABLE SALES-ART/TECH</v>
      </c>
      <c r="C19" s="10"/>
      <c r="D19" s="2">
        <f t="shared" si="4"/>
        <v>0</v>
      </c>
      <c r="E19" s="2"/>
      <c r="F19" s="19"/>
      <c r="G19" s="2"/>
      <c r="H19" s="2">
        <f>--425.18</f>
        <v>425.18</v>
      </c>
      <c r="I19" s="2"/>
      <c r="J19" s="19"/>
      <c r="K19" s="2"/>
      <c r="L19" s="2">
        <f t="shared" si="0"/>
        <v>-425.18</v>
      </c>
      <c r="M19" s="2"/>
      <c r="N19" s="19">
        <f t="shared" si="1"/>
        <v>-1</v>
      </c>
      <c r="O19" s="10"/>
      <c r="P19" s="2">
        <f>--12479.05</f>
        <v>12479.05</v>
      </c>
      <c r="Q19" s="2"/>
      <c r="R19" s="19"/>
      <c r="S19" s="2"/>
      <c r="T19" s="2">
        <f>--293191.05</f>
        <v>293191.05</v>
      </c>
      <c r="U19" s="2"/>
      <c r="V19" s="19"/>
      <c r="W19" s="2"/>
      <c r="X19" s="2">
        <f t="shared" si="2"/>
        <v>-280712</v>
      </c>
      <c r="Y19" s="2"/>
      <c r="Z19" s="19">
        <f t="shared" si="3"/>
        <v>-0.95743713868482683</v>
      </c>
    </row>
    <row r="20" spans="1:26" s="23" customFormat="1" hidden="1" outlineLevel="1" x14ac:dyDescent="0.25">
      <c r="A20" s="44"/>
      <c r="B20" s="10" t="str">
        <f>CONCATENATE("          ", "4031", " - ", "TAXABLE SALES-FOOD")</f>
        <v xml:space="preserve">          4031 - TAXABLE SALES-FOOD</v>
      </c>
      <c r="C20" s="10"/>
      <c r="D20" s="2">
        <f t="shared" si="4"/>
        <v>0</v>
      </c>
      <c r="E20" s="2"/>
      <c r="F20" s="19"/>
      <c r="G20" s="2"/>
      <c r="H20" s="2">
        <f t="shared" ref="H20:H33" si="7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>--374.55</f>
        <v>374.55</v>
      </c>
      <c r="Q20" s="2"/>
      <c r="R20" s="19"/>
      <c r="S20" s="2"/>
      <c r="T20" s="2">
        <f>--486.34</f>
        <v>486.34</v>
      </c>
      <c r="U20" s="2"/>
      <c r="V20" s="19"/>
      <c r="W20" s="2"/>
      <c r="X20" s="2">
        <f t="shared" si="2"/>
        <v>-111.78999999999996</v>
      </c>
      <c r="Y20" s="2"/>
      <c r="Z20" s="19">
        <f t="shared" si="3"/>
        <v>-0.22985976888596449</v>
      </c>
    </row>
    <row r="21" spans="1:26" s="23" customFormat="1" hidden="1" outlineLevel="1" x14ac:dyDescent="0.25">
      <c r="A21" s="44"/>
      <c r="B21" s="10" t="str">
        <f>CONCATENATE("          ", "4032", " - ", "TAXABLE SALES-JUICE")</f>
        <v xml:space="preserve">          4032 - TAXABLE SALES-JUICE</v>
      </c>
      <c r="C21" s="10"/>
      <c r="D21" s="2">
        <f t="shared" si="4"/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8" si="8">0</f>
        <v>0</v>
      </c>
      <c r="Q21" s="2"/>
      <c r="R21" s="19"/>
      <c r="S21" s="2"/>
      <c r="T21" s="2">
        <f>--1905.06</f>
        <v>1905.06</v>
      </c>
      <c r="U21" s="2"/>
      <c r="V21" s="19"/>
      <c r="W21" s="2"/>
      <c r="X21" s="2">
        <f t="shared" si="2"/>
        <v>-1905.06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"4033", " - ", "TAXABLE SALES-CANDY")</f>
        <v xml:space="preserve">          4033 - TAXABLE SALES-CANDY</v>
      </c>
      <c r="C22" s="10"/>
      <c r="D22" s="2">
        <f t="shared" si="4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8"/>
        <v>0</v>
      </c>
      <c r="Q22" s="2"/>
      <c r="R22" s="19"/>
      <c r="S22" s="2"/>
      <c r="T22" s="2">
        <f>--205.53</f>
        <v>205.53</v>
      </c>
      <c r="U22" s="2"/>
      <c r="V22" s="19"/>
      <c r="W22" s="2"/>
      <c r="X22" s="2">
        <f t="shared" si="2"/>
        <v>-205.53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"4034", " - ", "TAXABLE SALES-SODA")</f>
        <v xml:space="preserve">          4034 - TAXABLE SALES-SODA</v>
      </c>
      <c r="C23" s="10"/>
      <c r="D23" s="2">
        <f t="shared" si="4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8"/>
        <v>0</v>
      </c>
      <c r="Q23" s="2"/>
      <c r="R23" s="19"/>
      <c r="S23" s="2"/>
      <c r="T23" s="2">
        <f>--7803.51</f>
        <v>7803.51</v>
      </c>
      <c r="U23" s="2"/>
      <c r="V23" s="19"/>
      <c r="W23" s="2"/>
      <c r="X23" s="2">
        <f t="shared" si="2"/>
        <v>-7803.51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"4035", " - ", "TAXABLE SALES-HEALTH &amp; BEAUTY")</f>
        <v xml:space="preserve">          4035 - TAXABLE SALES-HEALTH &amp; BEAUTY</v>
      </c>
      <c r="C24" s="10"/>
      <c r="D24" s="2">
        <f t="shared" si="4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--1981.84</f>
        <v>1981.84</v>
      </c>
      <c r="U24" s="2"/>
      <c r="V24" s="19"/>
      <c r="W24" s="2"/>
      <c r="X24" s="2">
        <f t="shared" si="2"/>
        <v>-1981.84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"4037", " - ", "TAXABLE SALES-WATER")</f>
        <v xml:space="preserve">          4037 - TAXABLE SALES-WATER</v>
      </c>
      <c r="C25" s="10"/>
      <c r="D25" s="2">
        <f t="shared" si="4"/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8"/>
        <v>0</v>
      </c>
      <c r="Q25" s="2"/>
      <c r="R25" s="19"/>
      <c r="S25" s="2"/>
      <c r="T25" s="2">
        <f>--513.51</f>
        <v>513.51</v>
      </c>
      <c r="U25" s="2"/>
      <c r="V25" s="19"/>
      <c r="W25" s="2"/>
      <c r="X25" s="2">
        <f t="shared" si="2"/>
        <v>-513.51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"4041", " - ", "TAXABLE SALES-LOGO GIFTS")</f>
        <v xml:space="preserve">          4041 - TAXABLE SALES-LOGO GIFTS</v>
      </c>
      <c r="C26" s="10"/>
      <c r="D26" s="2">
        <f t="shared" si="4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8"/>
        <v>0</v>
      </c>
      <c r="Q26" s="2"/>
      <c r="R26" s="19"/>
      <c r="S26" s="2"/>
      <c r="T26" s="2">
        <f>--494.2</f>
        <v>494.2</v>
      </c>
      <c r="U26" s="2"/>
      <c r="V26" s="19"/>
      <c r="W26" s="2"/>
      <c r="X26" s="2">
        <f t="shared" si="2"/>
        <v>-494.2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"4042", " - ", "TAXABLE SALES-EVERYDAY GIFTS")</f>
        <v xml:space="preserve">          4042 - TAXABLE SALES-EVERYDAY GIFTS</v>
      </c>
      <c r="C27" s="10"/>
      <c r="D27" s="2">
        <f t="shared" si="4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--583.7</f>
        <v>583.70000000000005</v>
      </c>
      <c r="U27" s="2"/>
      <c r="V27" s="19"/>
      <c r="W27" s="2"/>
      <c r="X27" s="2">
        <f t="shared" si="2"/>
        <v>-583.70000000000005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"4044", " - ", "TAXABLE SALES-ACCESSORIES")</f>
        <v xml:space="preserve">          4044 - TAXABLE SALES-ACCESSORIES</v>
      </c>
      <c r="C28" s="10"/>
      <c r="D28" s="2">
        <f t="shared" si="4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8"/>
        <v>0</v>
      </c>
      <c r="Q28" s="2"/>
      <c r="R28" s="19"/>
      <c r="S28" s="2"/>
      <c r="T28" s="2">
        <f>--179.5</f>
        <v>179.5</v>
      </c>
      <c r="U28" s="2"/>
      <c r="V28" s="19"/>
      <c r="W28" s="2"/>
      <c r="X28" s="2">
        <f t="shared" si="2"/>
        <v>-179.5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"4081", " - ", "TAXABLE SALES-ELECTRONICS")</f>
        <v xml:space="preserve">          4081 - TAXABLE SALES-ELECTRONICS</v>
      </c>
      <c r="C29" s="10"/>
      <c r="D29" s="2">
        <f t="shared" si="4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--71.95</f>
        <v>71.95</v>
      </c>
      <c r="Q29" s="2"/>
      <c r="R29" s="19"/>
      <c r="S29" s="2"/>
      <c r="T29" s="2">
        <f>--3174.93</f>
        <v>3174.93</v>
      </c>
      <c r="U29" s="2"/>
      <c r="V29" s="19"/>
      <c r="W29" s="2"/>
      <c r="X29" s="2">
        <f t="shared" si="2"/>
        <v>-3102.98</v>
      </c>
      <c r="Y29" s="2"/>
      <c r="Z29" s="19">
        <f t="shared" si="3"/>
        <v>-0.97733808304435066</v>
      </c>
    </row>
    <row r="30" spans="1:26" s="23" customFormat="1" hidden="1" outlineLevel="1" x14ac:dyDescent="0.25">
      <c r="A30" s="44"/>
      <c r="B30" s="10" t="str">
        <f>CONCATENATE("          ", "4082", " - ", "TAXABLE SALES-COMPUTER HARDWAR")</f>
        <v xml:space="preserve">          4082 - TAXABLE SALES-COMPUTER HARDWAR</v>
      </c>
      <c r="C30" s="10"/>
      <c r="D30" s="2">
        <f t="shared" si="4"/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--363.94</f>
        <v>363.94</v>
      </c>
      <c r="U30" s="2"/>
      <c r="V30" s="19"/>
      <c r="W30" s="2"/>
      <c r="X30" s="2">
        <f t="shared" si="2"/>
        <v>-363.94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"4083", " - ", "TAXABLE SALES-COMPUTER EQUIPME")</f>
        <v xml:space="preserve">          4083 - TAXABLE SALES-COMPUTER EQUIPME</v>
      </c>
      <c r="C31" s="10"/>
      <c r="D31" s="2">
        <f t="shared" si="4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--9.99</f>
        <v>9.99</v>
      </c>
      <c r="Q31" s="2"/>
      <c r="R31" s="19"/>
      <c r="S31" s="2"/>
      <c r="T31" s="2">
        <f>--914.33</f>
        <v>914.33</v>
      </c>
      <c r="U31" s="2"/>
      <c r="V31" s="19"/>
      <c r="W31" s="2"/>
      <c r="X31" s="2">
        <f t="shared" si="2"/>
        <v>-904.34</v>
      </c>
      <c r="Y31" s="2"/>
      <c r="Z31" s="19">
        <f t="shared" si="3"/>
        <v>-0.98907396672973646</v>
      </c>
    </row>
    <row r="32" spans="1:26" s="23" customFormat="1" hidden="1" outlineLevel="1" x14ac:dyDescent="0.25">
      <c r="A32" s="44"/>
      <c r="B32" s="10" t="str">
        <f>CONCATENATE("          ", "4086", " - ", "TAXABLE SALES-COMPUTER SUPPLIE")</f>
        <v xml:space="preserve">          4086 - TAXABLE SALES-COMPUTER SUPPLIE</v>
      </c>
      <c r="C32" s="10"/>
      <c r="D32" s="2">
        <f t="shared" si="4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6" si="9">0</f>
        <v>0</v>
      </c>
      <c r="Q32" s="2"/>
      <c r="R32" s="19"/>
      <c r="S32" s="2"/>
      <c r="T32" s="2">
        <f>--813.74</f>
        <v>813.74</v>
      </c>
      <c r="U32" s="2"/>
      <c r="V32" s="19"/>
      <c r="W32" s="2"/>
      <c r="X32" s="2">
        <f t="shared" si="2"/>
        <v>-813.74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"4125", " - ", "NON-TAXABLE SALES-TEST FORMS")</f>
        <v xml:space="preserve">          4125 - NON-TAXABLE SALES-TEST FORMS</v>
      </c>
      <c r="C33" s="10"/>
      <c r="D33" s="2">
        <f t="shared" si="4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9"/>
        <v>0</v>
      </c>
      <c r="Q33" s="2"/>
      <c r="R33" s="19"/>
      <c r="S33" s="2"/>
      <c r="T33" s="2">
        <f>--267.61</f>
        <v>267.61</v>
      </c>
      <c r="U33" s="2"/>
      <c r="V33" s="19"/>
      <c r="W33" s="2"/>
      <c r="X33" s="2">
        <f t="shared" si="2"/>
        <v>-267.61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"4126", " - ", "NON-TAXABLE SALES-WRITING INST")</f>
        <v xml:space="preserve">          4126 - NON-TAXABLE SALES-WRITING INST</v>
      </c>
      <c r="C34" s="10"/>
      <c r="D34" s="2">
        <f t="shared" si="4"/>
        <v>0</v>
      </c>
      <c r="E34" s="2"/>
      <c r="F34" s="19"/>
      <c r="G34" s="2"/>
      <c r="H34" s="2">
        <f>--110.56</f>
        <v>110.56</v>
      </c>
      <c r="I34" s="2"/>
      <c r="J34" s="19"/>
      <c r="K34" s="2"/>
      <c r="L34" s="2">
        <f t="shared" si="0"/>
        <v>-110.56</v>
      </c>
      <c r="M34" s="2"/>
      <c r="N34" s="19">
        <f t="shared" si="1"/>
        <v>-1</v>
      </c>
      <c r="O34" s="10"/>
      <c r="P34" s="2">
        <f t="shared" si="9"/>
        <v>0</v>
      </c>
      <c r="Q34" s="2"/>
      <c r="R34" s="19"/>
      <c r="S34" s="2"/>
      <c r="T34" s="2">
        <f>--3133.42</f>
        <v>3133.42</v>
      </c>
      <c r="U34" s="2"/>
      <c r="V34" s="19"/>
      <c r="W34" s="2"/>
      <c r="X34" s="2">
        <f t="shared" si="2"/>
        <v>-3133.42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"4127", " - ", "NON-TAXABLE SALES-SCHOOL SUPPL")</f>
        <v xml:space="preserve">          4127 - NON-TAXABLE SALES-SCHOOL SUPPL</v>
      </c>
      <c r="C35" s="10"/>
      <c r="D35" s="2">
        <f t="shared" si="4"/>
        <v>0</v>
      </c>
      <c r="E35" s="2"/>
      <c r="F35" s="19"/>
      <c r="G35" s="2"/>
      <c r="H35" s="2">
        <f>--226.84</f>
        <v>226.84</v>
      </c>
      <c r="I35" s="2"/>
      <c r="J35" s="19"/>
      <c r="K35" s="2"/>
      <c r="L35" s="2">
        <f t="shared" si="0"/>
        <v>-226.84</v>
      </c>
      <c r="M35" s="2"/>
      <c r="N35" s="19">
        <f t="shared" si="1"/>
        <v>-1</v>
      </c>
      <c r="O35" s="10"/>
      <c r="P35" s="2">
        <f t="shared" si="9"/>
        <v>0</v>
      </c>
      <c r="Q35" s="2"/>
      <c r="R35" s="19"/>
      <c r="S35" s="2"/>
      <c r="T35" s="2">
        <f>--6373.71</f>
        <v>6373.71</v>
      </c>
      <c r="U35" s="2"/>
      <c r="V35" s="19"/>
      <c r="W35" s="2"/>
      <c r="X35" s="2">
        <f t="shared" si="2"/>
        <v>-6373.71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"4128", " - ", "NON-TAXABLE SALES-ART/TECH")</f>
        <v xml:space="preserve">          4128 - NON-TAXABLE SALES-ART/TECH</v>
      </c>
      <c r="C36" s="10"/>
      <c r="D36" s="2">
        <f t="shared" si="4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si="9"/>
        <v>0</v>
      </c>
      <c r="Q36" s="2"/>
      <c r="R36" s="19"/>
      <c r="S36" s="2"/>
      <c r="T36" s="2">
        <f>--730.62</f>
        <v>730.62</v>
      </c>
      <c r="U36" s="2"/>
      <c r="V36" s="19"/>
      <c r="W36" s="2"/>
      <c r="X36" s="2">
        <f t="shared" si="2"/>
        <v>-730.62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"4131", " - ", "NON-TAXABLE SALES-FOOD")</f>
        <v xml:space="preserve">          4131 - NON-TAXABLE SALES-FOOD</v>
      </c>
      <c r="C37" s="10"/>
      <c r="D37" s="2">
        <f t="shared" si="4"/>
        <v>0</v>
      </c>
      <c r="E37" s="2"/>
      <c r="F37" s="19"/>
      <c r="G37" s="2"/>
      <c r="H37" s="2">
        <f>--6.16</f>
        <v>6.16</v>
      </c>
      <c r="I37" s="2"/>
      <c r="J37" s="19"/>
      <c r="K37" s="2"/>
      <c r="L37" s="2">
        <f t="shared" si="0"/>
        <v>-6.16</v>
      </c>
      <c r="M37" s="2"/>
      <c r="N37" s="19">
        <f t="shared" si="1"/>
        <v>-1</v>
      </c>
      <c r="O37" s="10"/>
      <c r="P37" s="2">
        <f>--1847.16</f>
        <v>1847.16</v>
      </c>
      <c r="Q37" s="2"/>
      <c r="R37" s="19"/>
      <c r="S37" s="2"/>
      <c r="T37" s="2">
        <f>--57893.7</f>
        <v>57893.7</v>
      </c>
      <c r="U37" s="2"/>
      <c r="V37" s="19"/>
      <c r="W37" s="2"/>
      <c r="X37" s="2">
        <f t="shared" si="2"/>
        <v>-56046.539999999994</v>
      </c>
      <c r="Y37" s="2"/>
      <c r="Z37" s="19">
        <f t="shared" si="3"/>
        <v>-0.96809393768233842</v>
      </c>
    </row>
    <row r="38" spans="1:26" s="23" customFormat="1" hidden="1" outlineLevel="1" x14ac:dyDescent="0.25">
      <c r="A38" s="44"/>
      <c r="B38" s="10" t="str">
        <f>CONCATENATE("          ", "4132", " - ", "NON-TAXABLE SALES-JUICE")</f>
        <v xml:space="preserve">          4132 - NON-TAXABLE SALES-JUICE</v>
      </c>
      <c r="C38" s="10"/>
      <c r="D38" s="2">
        <f t="shared" si="4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ref="P38:P46" si="10">0</f>
        <v>0</v>
      </c>
      <c r="Q38" s="2"/>
      <c r="R38" s="19"/>
      <c r="S38" s="2"/>
      <c r="T38" s="2">
        <f>--16199.63</f>
        <v>16199.63</v>
      </c>
      <c r="U38" s="2"/>
      <c r="V38" s="19"/>
      <c r="W38" s="2"/>
      <c r="X38" s="2">
        <f t="shared" si="2"/>
        <v>-16199.63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"4133", " - ", "NON-TAXABLE SALES-CANDY")</f>
        <v xml:space="preserve">          4133 - NON-TAXABLE SALES-CANDY</v>
      </c>
      <c r="C39" s="10"/>
      <c r="D39" s="2">
        <f t="shared" si="4"/>
        <v>0</v>
      </c>
      <c r="E39" s="2"/>
      <c r="F39" s="19"/>
      <c r="G39" s="2"/>
      <c r="H39" s="2">
        <f>--48.27</f>
        <v>48.27</v>
      </c>
      <c r="I39" s="2"/>
      <c r="J39" s="19"/>
      <c r="K39" s="2"/>
      <c r="L39" s="2">
        <f t="shared" si="0"/>
        <v>-48.27</v>
      </c>
      <c r="M39" s="2"/>
      <c r="N39" s="19">
        <f t="shared" si="1"/>
        <v>-1</v>
      </c>
      <c r="O39" s="10"/>
      <c r="P39" s="2">
        <f t="shared" si="10"/>
        <v>0</v>
      </c>
      <c r="Q39" s="2"/>
      <c r="R39" s="19"/>
      <c r="S39" s="2"/>
      <c r="T39" s="2">
        <f>--18136.73</f>
        <v>18136.73</v>
      </c>
      <c r="U39" s="2"/>
      <c r="V39" s="19"/>
      <c r="W39" s="2"/>
      <c r="X39" s="2">
        <f t="shared" si="2"/>
        <v>-18136.73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"4134", " - ", "NON-TAXABLE SALES-SODA")</f>
        <v xml:space="preserve">          4134 - NON-TAXABLE SALES-SODA</v>
      </c>
      <c r="C40" s="10"/>
      <c r="D40" s="2">
        <f t="shared" si="4"/>
        <v>0</v>
      </c>
      <c r="E40" s="2"/>
      <c r="F40" s="19"/>
      <c r="G40" s="2"/>
      <c r="H40" s="2">
        <f t="shared" ref="H40:H44" si="11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10"/>
        <v>0</v>
      </c>
      <c r="Q40" s="2"/>
      <c r="R40" s="19"/>
      <c r="S40" s="2"/>
      <c r="T40" s="2">
        <f>--1.89</f>
        <v>1.89</v>
      </c>
      <c r="U40" s="2"/>
      <c r="V40" s="19"/>
      <c r="W40" s="2"/>
      <c r="X40" s="2">
        <f t="shared" si="2"/>
        <v>-1.89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"4135", " - ", "NON-TAXABLE SALES")</f>
        <v xml:space="preserve">          4135 - NON-TAXABLE SALES</v>
      </c>
      <c r="C41" s="10"/>
      <c r="D41" s="2">
        <f t="shared" si="4"/>
        <v>0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0"/>
        <v>0</v>
      </c>
      <c r="Q41" s="2"/>
      <c r="R41" s="19"/>
      <c r="S41" s="2"/>
      <c r="T41" s="2">
        <f>--161.4</f>
        <v>161.4</v>
      </c>
      <c r="U41" s="2"/>
      <c r="V41" s="19"/>
      <c r="W41" s="2"/>
      <c r="X41" s="2">
        <f t="shared" si="2"/>
        <v>-161.4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"4137", " - ", "NON-TAXABLE SALES-WATER")</f>
        <v xml:space="preserve">          4137 - NON-TAXABLE SALES-WATER</v>
      </c>
      <c r="C42" s="10"/>
      <c r="D42" s="2">
        <f t="shared" si="4"/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10"/>
        <v>0</v>
      </c>
      <c r="Q42" s="2"/>
      <c r="R42" s="19"/>
      <c r="S42" s="2"/>
      <c r="T42" s="2">
        <f>--8396.06</f>
        <v>8396.06</v>
      </c>
      <c r="U42" s="2"/>
      <c r="V42" s="19"/>
      <c r="W42" s="2"/>
      <c r="X42" s="2">
        <f t="shared" si="2"/>
        <v>-8396.06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"4186", " - ", "NON-TAXABLE SALES-COMPUTER SUP")</f>
        <v xml:space="preserve">          4186 - NON-TAXABLE SALES-COMPUTER SUP</v>
      </c>
      <c r="C43" s="10"/>
      <c r="D43" s="2">
        <f t="shared" si="4"/>
        <v>0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10"/>
        <v>0</v>
      </c>
      <c r="Q43" s="2"/>
      <c r="R43" s="19"/>
      <c r="S43" s="2"/>
      <c r="T43" s="2">
        <f>-30.97</f>
        <v>-30.97</v>
      </c>
      <c r="U43" s="2"/>
      <c r="V43" s="19"/>
      <c r="W43" s="2"/>
      <c r="X43" s="2">
        <f t="shared" si="2"/>
        <v>30.97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"4217", " - ", "NON-TAXABLE SALES-DORM/HOUSEWA")</f>
        <v xml:space="preserve">          4217 - NON-TAXABLE SALES-DORM/HOUSEWA</v>
      </c>
      <c r="C44" s="10"/>
      <c r="D44" s="2">
        <f t="shared" si="4"/>
        <v>0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si="10"/>
        <v>0</v>
      </c>
      <c r="Q44" s="2"/>
      <c r="R44" s="19"/>
      <c r="S44" s="2"/>
      <c r="T44" s="2">
        <f>-2.98</f>
        <v>-2.98</v>
      </c>
      <c r="U44" s="2"/>
      <c r="V44" s="19"/>
      <c r="W44" s="2"/>
      <c r="X44" s="2">
        <f t="shared" si="2"/>
        <v>2.98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"4225", " - ", "SALES RETURN TAXABLE-TEST FORM")</f>
        <v xml:space="preserve">          4225 - SALES RETURN TAXABLE-TEST FORM</v>
      </c>
      <c r="C45" s="10"/>
      <c r="D45" s="2">
        <f t="shared" si="4"/>
        <v>0</v>
      </c>
      <c r="E45" s="2"/>
      <c r="F45" s="19"/>
      <c r="G45" s="2"/>
      <c r="H45" s="2">
        <f>-29.5</f>
        <v>-29.5</v>
      </c>
      <c r="I45" s="2"/>
      <c r="J45" s="19"/>
      <c r="K45" s="2"/>
      <c r="L45" s="2">
        <f t="shared" si="0"/>
        <v>29.5</v>
      </c>
      <c r="M45" s="2"/>
      <c r="N45" s="19">
        <f t="shared" si="1"/>
        <v>-1</v>
      </c>
      <c r="O45" s="10"/>
      <c r="P45" s="2">
        <f t="shared" si="10"/>
        <v>0</v>
      </c>
      <c r="Q45" s="2"/>
      <c r="R45" s="19"/>
      <c r="S45" s="2"/>
      <c r="T45" s="2">
        <f>-205.91</f>
        <v>-205.91</v>
      </c>
      <c r="U45" s="2"/>
      <c r="V45" s="19"/>
      <c r="W45" s="2"/>
      <c r="X45" s="2">
        <f t="shared" si="2"/>
        <v>205.91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"4226", " - ", "SALES RETURN TAXABLE-WRITING I")</f>
        <v xml:space="preserve">          4226 - SALES RETURN TAXABLE-WRITING I</v>
      </c>
      <c r="C46" s="10"/>
      <c r="D46" s="2">
        <f t="shared" si="4"/>
        <v>0</v>
      </c>
      <c r="E46" s="2"/>
      <c r="F46" s="19"/>
      <c r="G46" s="2"/>
      <c r="H46" s="2">
        <f>-159.4</f>
        <v>-159.4</v>
      </c>
      <c r="I46" s="2"/>
      <c r="J46" s="19"/>
      <c r="K46" s="2"/>
      <c r="L46" s="2">
        <f t="shared" si="0"/>
        <v>159.4</v>
      </c>
      <c r="M46" s="2"/>
      <c r="N46" s="19">
        <f t="shared" si="1"/>
        <v>-1</v>
      </c>
      <c r="O46" s="10"/>
      <c r="P46" s="2">
        <f t="shared" si="10"/>
        <v>0</v>
      </c>
      <c r="Q46" s="2"/>
      <c r="R46" s="19"/>
      <c r="S46" s="2"/>
      <c r="T46" s="2">
        <f>-789.64</f>
        <v>-789.64</v>
      </c>
      <c r="U46" s="2"/>
      <c r="V46" s="19"/>
      <c r="W46" s="2"/>
      <c r="X46" s="2">
        <f t="shared" si="2"/>
        <v>789.64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"4227", " - ", "SALES RETURN TAXABLE-SCHOOL SU")</f>
        <v xml:space="preserve">          4227 - SALES RETURN TAXABLE-SCHOOL SU</v>
      </c>
      <c r="C47" s="10"/>
      <c r="D47" s="2">
        <f t="shared" si="4"/>
        <v>0</v>
      </c>
      <c r="E47" s="2"/>
      <c r="F47" s="19"/>
      <c r="G47" s="2"/>
      <c r="H47" s="2">
        <f>-53.42</f>
        <v>-53.42</v>
      </c>
      <c r="I47" s="2"/>
      <c r="J47" s="19"/>
      <c r="K47" s="2"/>
      <c r="L47" s="2">
        <f t="shared" si="0"/>
        <v>53.42</v>
      </c>
      <c r="M47" s="2"/>
      <c r="N47" s="19">
        <f t="shared" si="1"/>
        <v>-1</v>
      </c>
      <c r="O47" s="10"/>
      <c r="P47" s="2">
        <f>-159.97</f>
        <v>-159.97</v>
      </c>
      <c r="Q47" s="2"/>
      <c r="R47" s="19"/>
      <c r="S47" s="2"/>
      <c r="T47" s="2">
        <f>-8647.03</f>
        <v>-8647.0300000000007</v>
      </c>
      <c r="U47" s="2"/>
      <c r="V47" s="19"/>
      <c r="W47" s="2"/>
      <c r="X47" s="2">
        <f t="shared" si="2"/>
        <v>8487.0600000000013</v>
      </c>
      <c r="Y47" s="2"/>
      <c r="Z47" s="19">
        <f t="shared" si="3"/>
        <v>-0.98150000636056545</v>
      </c>
    </row>
    <row r="48" spans="1:26" s="23" customFormat="1" hidden="1" outlineLevel="1" x14ac:dyDescent="0.25">
      <c r="A48" s="44"/>
      <c r="B48" s="10" t="str">
        <f>CONCATENATE("          ", "4228", " - ", "SALES RETURN TAXABLE-ART/TECH")</f>
        <v xml:space="preserve">          4228 - SALES RETURN TAXABLE-ART/TECH</v>
      </c>
      <c r="C48" s="10"/>
      <c r="D48" s="2">
        <f t="shared" si="4"/>
        <v>0</v>
      </c>
      <c r="E48" s="2"/>
      <c r="F48" s="19"/>
      <c r="G48" s="2"/>
      <c r="H48" s="2">
        <f t="shared" ref="H48:H53" si="12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>-222.2</f>
        <v>-222.2</v>
      </c>
      <c r="Q48" s="2"/>
      <c r="R48" s="19"/>
      <c r="S48" s="2"/>
      <c r="T48" s="2">
        <f>-4739.1</f>
        <v>-4739.1000000000004</v>
      </c>
      <c r="U48" s="2"/>
      <c r="V48" s="19"/>
      <c r="W48" s="2"/>
      <c r="X48" s="2">
        <f t="shared" si="2"/>
        <v>4516.9000000000005</v>
      </c>
      <c r="Y48" s="2"/>
      <c r="Z48" s="19">
        <f t="shared" si="3"/>
        <v>-0.9531134603616721</v>
      </c>
    </row>
    <row r="49" spans="1:26" s="23" customFormat="1" hidden="1" outlineLevel="1" x14ac:dyDescent="0.25">
      <c r="A49" s="44"/>
      <c r="B49" s="10" t="str">
        <f>CONCATENATE("          ", "4233", " - ", "SALES RETURN TAXABLE-CANDY")</f>
        <v xml:space="preserve">          4233 - SALES RETURN TAXABLE-CANDY</v>
      </c>
      <c r="C49" s="10"/>
      <c r="D49" s="2">
        <f t="shared" si="4"/>
        <v>0</v>
      </c>
      <c r="E49" s="2"/>
      <c r="F49" s="19"/>
      <c r="G49" s="2"/>
      <c r="H49" s="2">
        <f t="shared" si="12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ref="P49:P53" si="13">0</f>
        <v>0</v>
      </c>
      <c r="Q49" s="2"/>
      <c r="R49" s="19"/>
      <c r="S49" s="2"/>
      <c r="T49" s="2">
        <f>-8.25</f>
        <v>-8.25</v>
      </c>
      <c r="U49" s="2"/>
      <c r="V49" s="19"/>
      <c r="W49" s="2"/>
      <c r="X49" s="2">
        <f t="shared" si="2"/>
        <v>8.25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"4281", " - ", "SALES RETURN TAXABLE-ELECTRONI")</f>
        <v xml:space="preserve">          4281 - SALES RETURN TAXABLE-ELECTRONI</v>
      </c>
      <c r="C50" s="10"/>
      <c r="D50" s="2">
        <f t="shared" si="4"/>
        <v>0</v>
      </c>
      <c r="E50" s="2"/>
      <c r="F50" s="19"/>
      <c r="G50" s="2"/>
      <c r="H50" s="2">
        <f t="shared" si="12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 t="shared" si="13"/>
        <v>0</v>
      </c>
      <c r="Q50" s="2"/>
      <c r="R50" s="19"/>
      <c r="S50" s="2"/>
      <c r="T50" s="2">
        <f>-54.97</f>
        <v>-54.97</v>
      </c>
      <c r="U50" s="2"/>
      <c r="V50" s="19"/>
      <c r="W50" s="2"/>
      <c r="X50" s="2">
        <f t="shared" si="2"/>
        <v>54.97</v>
      </c>
      <c r="Y50" s="2"/>
      <c r="Z50" s="19">
        <f t="shared" si="3"/>
        <v>-1</v>
      </c>
    </row>
    <row r="51" spans="1:26" s="23" customFormat="1" hidden="1" outlineLevel="1" x14ac:dyDescent="0.25">
      <c r="A51" s="44"/>
      <c r="B51" s="10" t="str">
        <f>CONCATENATE("          ", "4327", " - ", "SALES RETURN NON TAXABLE-SCHOO")</f>
        <v xml:space="preserve">          4327 - SALES RETURN NON TAXABLE-SCHOO</v>
      </c>
      <c r="C51" s="10"/>
      <c r="D51" s="2">
        <f t="shared" si="4"/>
        <v>0</v>
      </c>
      <c r="E51" s="2"/>
      <c r="F51" s="19"/>
      <c r="G51" s="2"/>
      <c r="H51" s="2">
        <f t="shared" si="12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 t="shared" si="13"/>
        <v>0</v>
      </c>
      <c r="Q51" s="2"/>
      <c r="R51" s="19"/>
      <c r="S51" s="2"/>
      <c r="T51" s="2">
        <f>-21.87</f>
        <v>-21.87</v>
      </c>
      <c r="U51" s="2"/>
      <c r="V51" s="19"/>
      <c r="W51" s="2"/>
      <c r="X51" s="2">
        <f t="shared" si="2"/>
        <v>21.87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"4331", " - ", "SALES RETURN NON TAXABLE-FOOD")</f>
        <v xml:space="preserve">          4331 - SALES RETURN NON TAXABLE-FOOD</v>
      </c>
      <c r="C52" s="10"/>
      <c r="D52" s="2">
        <f t="shared" si="4"/>
        <v>0</v>
      </c>
      <c r="E52" s="2"/>
      <c r="F52" s="19"/>
      <c r="G52" s="2"/>
      <c r="H52" s="2">
        <f t="shared" si="12"/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0"/>
      <c r="P52" s="2">
        <f t="shared" si="13"/>
        <v>0</v>
      </c>
      <c r="Q52" s="2"/>
      <c r="R52" s="19"/>
      <c r="S52" s="2"/>
      <c r="T52" s="2">
        <f>-12.57</f>
        <v>-12.57</v>
      </c>
      <c r="U52" s="2"/>
      <c r="V52" s="19"/>
      <c r="W52" s="2"/>
      <c r="X52" s="2">
        <f t="shared" si="2"/>
        <v>12.57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"4332", " - ", "SALES RETURN NON TAXABLE-JUICE")</f>
        <v xml:space="preserve">          4332 - SALES RETURN NON TAXABLE-JUICE</v>
      </c>
      <c r="C53" s="10"/>
      <c r="D53" s="2">
        <f t="shared" si="4"/>
        <v>0</v>
      </c>
      <c r="E53" s="2"/>
      <c r="F53" s="19"/>
      <c r="G53" s="2"/>
      <c r="H53" s="2">
        <f t="shared" si="12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 t="shared" si="13"/>
        <v>0</v>
      </c>
      <c r="Q53" s="2"/>
      <c r="R53" s="19"/>
      <c r="S53" s="2"/>
      <c r="T53" s="2">
        <f>-2.79</f>
        <v>-2.79</v>
      </c>
      <c r="U53" s="2"/>
      <c r="V53" s="19"/>
      <c r="W53" s="2"/>
      <c r="X53" s="2">
        <f t="shared" si="2"/>
        <v>2.79</v>
      </c>
      <c r="Y53" s="2"/>
      <c r="Z53" s="19">
        <f t="shared" si="3"/>
        <v>-1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collapsed="1" x14ac:dyDescent="0.25">
      <c r="A55" s="11"/>
      <c r="B55" s="29" t="s">
        <v>256</v>
      </c>
      <c r="C55" s="11"/>
      <c r="D55" s="4">
        <f>SUM(OSRRefD16x_0)</f>
        <v>28.53</v>
      </c>
      <c r="E55" s="4"/>
      <c r="F55" s="13">
        <f t="shared" ref="F55:F79" si="14">IF(D$12=0,0,D55/D$12)</f>
        <v>0</v>
      </c>
      <c r="G55" s="4"/>
      <c r="H55" s="4">
        <f>SUM(OSRRefH16x_0)</f>
        <v>6103.7200000000012</v>
      </c>
      <c r="I55" s="4"/>
      <c r="J55" s="13">
        <f t="shared" ref="J55:J79" si="15">IF(H$12=0,0,H55/H$12)</f>
        <v>0.8741791662549071</v>
      </c>
      <c r="K55" s="4"/>
      <c r="L55" s="4">
        <f t="shared" ref="L55:L79" si="16">+D55-H55</f>
        <v>-6075.1900000000014</v>
      </c>
      <c r="M55" s="4"/>
      <c r="N55" s="13">
        <f t="shared" ref="N55:N79" si="17">IF(H55=0,0,L55/H55)</f>
        <v>-0.99532580131460824</v>
      </c>
      <c r="O55" s="11"/>
      <c r="P55" s="4">
        <f>SUM(OSRRefP16x_0)</f>
        <v>13821.519999999993</v>
      </c>
      <c r="Q55" s="4"/>
      <c r="R55" s="13">
        <f t="shared" ref="R55:R79" si="18">IF(P$12=0,0,P55/P$12)</f>
        <v>0.64853471672190932</v>
      </c>
      <c r="S55" s="4"/>
      <c r="T55" s="4">
        <f>SUM(OSRRefT16x_0)</f>
        <v>414118.42000000004</v>
      </c>
      <c r="U55" s="4"/>
      <c r="V55" s="13">
        <f t="shared" ref="V55:V79" si="19">IF(T$12=0,0,T55/T$12)</f>
        <v>0.50398855547787902</v>
      </c>
      <c r="W55" s="4"/>
      <c r="X55" s="4">
        <f t="shared" ref="X55:X79" si="20">+P55-T55</f>
        <v>-400296.9</v>
      </c>
      <c r="Y55" s="4"/>
      <c r="Z55" s="13">
        <f t="shared" ref="Z55:Z79" si="21">IF(T55=0,0,X55/T55)</f>
        <v>-0.96662423274965648</v>
      </c>
    </row>
    <row r="56" spans="1:26" s="23" customFormat="1" hidden="1" outlineLevel="1" x14ac:dyDescent="0.25">
      <c r="A56" s="44"/>
      <c r="B56" s="10" t="str">
        <f>CONCATENATE("          ", "5000", " - ", "PURCHASES @ COST")</f>
        <v xml:space="preserve">          5000 - PURCHASES @ COST</v>
      </c>
      <c r="C56" s="10"/>
      <c r="D56" s="2"/>
      <c r="E56" s="2"/>
      <c r="F56" s="19">
        <f t="shared" si="14"/>
        <v>0</v>
      </c>
      <c r="G56" s="2"/>
      <c r="H56" s="2"/>
      <c r="I56" s="2"/>
      <c r="J56" s="19">
        <f t="shared" si="15"/>
        <v>0</v>
      </c>
      <c r="K56" s="2"/>
      <c r="L56" s="2">
        <f t="shared" si="16"/>
        <v>0</v>
      </c>
      <c r="M56" s="2"/>
      <c r="N56" s="19">
        <f t="shared" si="17"/>
        <v>0</v>
      </c>
      <c r="O56" s="10"/>
      <c r="P56" s="2"/>
      <c r="Q56" s="2"/>
      <c r="R56" s="19">
        <f t="shared" si="18"/>
        <v>0</v>
      </c>
      <c r="S56" s="2"/>
      <c r="T56" s="2">
        <v>0</v>
      </c>
      <c r="U56" s="2"/>
      <c r="V56" s="19">
        <f t="shared" si="19"/>
        <v>0</v>
      </c>
      <c r="W56" s="2"/>
      <c r="X56" s="2">
        <f t="shared" si="20"/>
        <v>0</v>
      </c>
      <c r="Y56" s="2"/>
      <c r="Z56" s="19">
        <f t="shared" si="21"/>
        <v>0</v>
      </c>
    </row>
    <row r="57" spans="1:26" s="23" customFormat="1" hidden="1" outlineLevel="1" x14ac:dyDescent="0.25">
      <c r="A57" s="44"/>
      <c r="B57" s="10" t="str">
        <f>CONCATENATE("          ", "5014", " - ", "PURCHASES @ COST-REMAINDERS")</f>
        <v xml:space="preserve">          5014 - PURCHASES @ COST-REMAINDERS</v>
      </c>
      <c r="C57" s="10"/>
      <c r="D57" s="2"/>
      <c r="E57" s="2"/>
      <c r="F57" s="19">
        <f t="shared" si="14"/>
        <v>0</v>
      </c>
      <c r="G57" s="2"/>
      <c r="H57" s="2"/>
      <c r="I57" s="2"/>
      <c r="J57" s="19">
        <f t="shared" si="15"/>
        <v>0</v>
      </c>
      <c r="K57" s="2"/>
      <c r="L57" s="2">
        <f t="shared" si="16"/>
        <v>0</v>
      </c>
      <c r="M57" s="2"/>
      <c r="N57" s="19">
        <f t="shared" si="17"/>
        <v>0</v>
      </c>
      <c r="O57" s="10"/>
      <c r="P57" s="2"/>
      <c r="Q57" s="2"/>
      <c r="R57" s="19">
        <f t="shared" si="18"/>
        <v>0</v>
      </c>
      <c r="S57" s="2"/>
      <c r="T57" s="2">
        <v>14.46</v>
      </c>
      <c r="U57" s="2"/>
      <c r="V57" s="19">
        <f t="shared" si="19"/>
        <v>1.7598044810974914E-5</v>
      </c>
      <c r="W57" s="2"/>
      <c r="X57" s="2">
        <f t="shared" si="20"/>
        <v>-14.46</v>
      </c>
      <c r="Y57" s="2"/>
      <c r="Z57" s="19">
        <f t="shared" si="21"/>
        <v>-1</v>
      </c>
    </row>
    <row r="58" spans="1:26" s="23" customFormat="1" hidden="1" outlineLevel="1" x14ac:dyDescent="0.25">
      <c r="A58" s="44"/>
      <c r="B58" s="10" t="str">
        <f>CONCATENATE("          ", "5017", " - ", "PURCHASES @ COST-DORM/HOUSEWAR")</f>
        <v xml:space="preserve">          5017 - PURCHASES @ COST-DORM/HOUSEWAR</v>
      </c>
      <c r="C58" s="10"/>
      <c r="D58" s="2"/>
      <c r="E58" s="2"/>
      <c r="F58" s="19">
        <f t="shared" si="14"/>
        <v>0</v>
      </c>
      <c r="G58" s="2"/>
      <c r="H58" s="2"/>
      <c r="I58" s="2"/>
      <c r="J58" s="19">
        <f t="shared" si="15"/>
        <v>0</v>
      </c>
      <c r="K58" s="2"/>
      <c r="L58" s="2">
        <f t="shared" si="16"/>
        <v>0</v>
      </c>
      <c r="M58" s="2"/>
      <c r="N58" s="19">
        <f t="shared" si="17"/>
        <v>0</v>
      </c>
      <c r="O58" s="10"/>
      <c r="P58" s="2"/>
      <c r="Q58" s="2"/>
      <c r="R58" s="19">
        <f t="shared" si="18"/>
        <v>0</v>
      </c>
      <c r="S58" s="2"/>
      <c r="T58" s="2">
        <v>14.46</v>
      </c>
      <c r="U58" s="2"/>
      <c r="V58" s="19">
        <f t="shared" si="19"/>
        <v>1.7598044810974914E-5</v>
      </c>
      <c r="W58" s="2"/>
      <c r="X58" s="2">
        <f t="shared" si="20"/>
        <v>-14.46</v>
      </c>
      <c r="Y58" s="2"/>
      <c r="Z58" s="19">
        <f t="shared" si="21"/>
        <v>-1</v>
      </c>
    </row>
    <row r="59" spans="1:26" s="23" customFormat="1" hidden="1" outlineLevel="1" x14ac:dyDescent="0.25">
      <c r="A59" s="44"/>
      <c r="B59" s="10" t="str">
        <f>CONCATENATE("          ", "5025", " - ", "PURCHASES @ COST-TEST FORMS")</f>
        <v xml:space="preserve">          5025 - PURCHASES @ COST-TEST FORMS</v>
      </c>
      <c r="C59" s="10"/>
      <c r="D59" s="2"/>
      <c r="E59" s="2"/>
      <c r="F59" s="19">
        <f t="shared" si="14"/>
        <v>0</v>
      </c>
      <c r="G59" s="2"/>
      <c r="H59" s="2"/>
      <c r="I59" s="2"/>
      <c r="J59" s="19">
        <f t="shared" si="15"/>
        <v>0</v>
      </c>
      <c r="K59" s="2"/>
      <c r="L59" s="2">
        <f t="shared" si="16"/>
        <v>0</v>
      </c>
      <c r="M59" s="2"/>
      <c r="N59" s="19">
        <f t="shared" si="17"/>
        <v>0</v>
      </c>
      <c r="O59" s="10"/>
      <c r="P59" s="2"/>
      <c r="Q59" s="2"/>
      <c r="R59" s="19">
        <f t="shared" si="18"/>
        <v>0</v>
      </c>
      <c r="S59" s="2"/>
      <c r="T59" s="2">
        <v>26394.33</v>
      </c>
      <c r="U59" s="2"/>
      <c r="V59" s="19">
        <f t="shared" si="19"/>
        <v>3.2122309965121679E-2</v>
      </c>
      <c r="W59" s="2"/>
      <c r="X59" s="2">
        <f t="shared" si="20"/>
        <v>-26394.33</v>
      </c>
      <c r="Y59" s="2"/>
      <c r="Z59" s="19">
        <f t="shared" si="21"/>
        <v>-1</v>
      </c>
    </row>
    <row r="60" spans="1:26" s="23" customFormat="1" hidden="1" outlineLevel="1" x14ac:dyDescent="0.25">
      <c r="A60" s="44"/>
      <c r="B60" s="10" t="str">
        <f>CONCATENATE("          ", "5026", " - ", "PURCHASES @ COST-WRITING INSTR")</f>
        <v xml:space="preserve">          5026 - PURCHASES @ COST-WRITING INSTR</v>
      </c>
      <c r="C60" s="10"/>
      <c r="D60" s="2"/>
      <c r="E60" s="2"/>
      <c r="F60" s="19">
        <f t="shared" si="14"/>
        <v>0</v>
      </c>
      <c r="G60" s="2"/>
      <c r="H60" s="2">
        <v>-7243.74</v>
      </c>
      <c r="I60" s="2"/>
      <c r="J60" s="19">
        <f t="shared" si="15"/>
        <v>-1.0374536501948515</v>
      </c>
      <c r="K60" s="2"/>
      <c r="L60" s="2">
        <f t="shared" si="16"/>
        <v>7243.74</v>
      </c>
      <c r="M60" s="2"/>
      <c r="N60" s="19">
        <f t="shared" si="17"/>
        <v>-1</v>
      </c>
      <c r="O60" s="10"/>
      <c r="P60" s="2">
        <v>364.91</v>
      </c>
      <c r="Q60" s="2"/>
      <c r="R60" s="19">
        <f t="shared" si="18"/>
        <v>1.7122342801587094E-2</v>
      </c>
      <c r="S60" s="2"/>
      <c r="T60" s="2">
        <v>42992.76</v>
      </c>
      <c r="U60" s="2"/>
      <c r="V60" s="19">
        <f t="shared" si="19"/>
        <v>5.2322857332468178E-2</v>
      </c>
      <c r="W60" s="2"/>
      <c r="X60" s="2">
        <f t="shared" si="20"/>
        <v>-42627.85</v>
      </c>
      <c r="Y60" s="2"/>
      <c r="Z60" s="19">
        <f t="shared" si="21"/>
        <v>-0.99151229183704415</v>
      </c>
    </row>
    <row r="61" spans="1:26" s="23" customFormat="1" hidden="1" outlineLevel="1" x14ac:dyDescent="0.25">
      <c r="A61" s="44"/>
      <c r="B61" s="10" t="str">
        <f>CONCATENATE("          ", "5027", " - ", "PURCHASES @ COST-SCHOOL SUPPLI")</f>
        <v xml:space="preserve">          5027 - PURCHASES @ COST-SCHOOL SUPPLI</v>
      </c>
      <c r="C61" s="10"/>
      <c r="D61" s="2"/>
      <c r="E61" s="2"/>
      <c r="F61" s="19">
        <f t="shared" si="14"/>
        <v>0</v>
      </c>
      <c r="G61" s="2"/>
      <c r="H61" s="2">
        <v>-2373.83</v>
      </c>
      <c r="I61" s="2"/>
      <c r="J61" s="19">
        <f t="shared" si="15"/>
        <v>-0.33998163910383922</v>
      </c>
      <c r="K61" s="2"/>
      <c r="L61" s="2">
        <f t="shared" si="16"/>
        <v>2373.83</v>
      </c>
      <c r="M61" s="2"/>
      <c r="N61" s="19">
        <f t="shared" si="17"/>
        <v>-1</v>
      </c>
      <c r="O61" s="10"/>
      <c r="P61" s="2">
        <v>895.47</v>
      </c>
      <c r="Q61" s="2"/>
      <c r="R61" s="19">
        <f t="shared" si="18"/>
        <v>4.201733114613794E-2</v>
      </c>
      <c r="S61" s="2"/>
      <c r="T61" s="2">
        <v>140908.89000000001</v>
      </c>
      <c r="U61" s="2"/>
      <c r="V61" s="19">
        <f t="shared" si="19"/>
        <v>0.17148830985371613</v>
      </c>
      <c r="W61" s="2"/>
      <c r="X61" s="2">
        <f t="shared" si="20"/>
        <v>-140013.42000000001</v>
      </c>
      <c r="Y61" s="2"/>
      <c r="Z61" s="19">
        <f t="shared" si="21"/>
        <v>-0.99364504255196384</v>
      </c>
    </row>
    <row r="62" spans="1:26" s="23" customFormat="1" hidden="1" outlineLevel="1" x14ac:dyDescent="0.25">
      <c r="A62" s="44"/>
      <c r="B62" s="10" t="str">
        <f>CONCATENATE("          ", "5028", " - ", "PURCHASES @ COST-ART/TECH")</f>
        <v xml:space="preserve">          5028 - PURCHASES @ COST-ART/TECH</v>
      </c>
      <c r="C62" s="10"/>
      <c r="D62" s="2"/>
      <c r="E62" s="2"/>
      <c r="F62" s="19">
        <f t="shared" si="14"/>
        <v>0</v>
      </c>
      <c r="G62" s="2"/>
      <c r="H62" s="2">
        <v>-60.3</v>
      </c>
      <c r="I62" s="2"/>
      <c r="J62" s="19">
        <f t="shared" si="15"/>
        <v>-8.6362093485892015E-3</v>
      </c>
      <c r="K62" s="2"/>
      <c r="L62" s="2">
        <f t="shared" si="16"/>
        <v>60.3</v>
      </c>
      <c r="M62" s="2"/>
      <c r="N62" s="19">
        <f t="shared" si="17"/>
        <v>-1</v>
      </c>
      <c r="O62" s="10"/>
      <c r="P62" s="2">
        <v>41441.85</v>
      </c>
      <c r="Q62" s="2"/>
      <c r="R62" s="19">
        <f t="shared" si="18"/>
        <v>1.9445385493188789</v>
      </c>
      <c r="S62" s="2"/>
      <c r="T62" s="2">
        <v>159627.69</v>
      </c>
      <c r="U62" s="2"/>
      <c r="V62" s="19">
        <f t="shared" si="19"/>
        <v>0.19426938047665368</v>
      </c>
      <c r="W62" s="2"/>
      <c r="X62" s="2">
        <f t="shared" si="20"/>
        <v>-118185.84</v>
      </c>
      <c r="Y62" s="2"/>
      <c r="Z62" s="19">
        <f t="shared" si="21"/>
        <v>-0.74038432805736898</v>
      </c>
    </row>
    <row r="63" spans="1:26" s="23" customFormat="1" hidden="1" outlineLevel="1" x14ac:dyDescent="0.25">
      <c r="A63" s="44"/>
      <c r="B63" s="10" t="str">
        <f>CONCATENATE("          ", "5031", " - ", "PURCHASES @ COST-FOOD")</f>
        <v xml:space="preserve">          5031 - PURCHASES @ COST-FOOD</v>
      </c>
      <c r="C63" s="10"/>
      <c r="D63" s="2"/>
      <c r="E63" s="2"/>
      <c r="F63" s="19">
        <f t="shared" si="14"/>
        <v>0</v>
      </c>
      <c r="G63" s="2"/>
      <c r="H63" s="2"/>
      <c r="I63" s="2"/>
      <c r="J63" s="19">
        <f t="shared" si="15"/>
        <v>0</v>
      </c>
      <c r="K63" s="2"/>
      <c r="L63" s="2">
        <f t="shared" si="16"/>
        <v>0</v>
      </c>
      <c r="M63" s="2"/>
      <c r="N63" s="19">
        <f t="shared" si="17"/>
        <v>0</v>
      </c>
      <c r="O63" s="10"/>
      <c r="P63" s="2">
        <v>2441.5700000000002</v>
      </c>
      <c r="Q63" s="2"/>
      <c r="R63" s="19">
        <f t="shared" si="18"/>
        <v>0.11456358695040149</v>
      </c>
      <c r="S63" s="2"/>
      <c r="T63" s="2">
        <v>33239.879999999997</v>
      </c>
      <c r="U63" s="2"/>
      <c r="V63" s="19">
        <f t="shared" si="19"/>
        <v>4.0453450743528963E-2</v>
      </c>
      <c r="W63" s="2"/>
      <c r="X63" s="2">
        <f t="shared" si="20"/>
        <v>-30798.309999999998</v>
      </c>
      <c r="Y63" s="2"/>
      <c r="Z63" s="19">
        <f t="shared" si="21"/>
        <v>-0.92654696707689677</v>
      </c>
    </row>
    <row r="64" spans="1:26" s="23" customFormat="1" hidden="1" outlineLevel="1" x14ac:dyDescent="0.25">
      <c r="A64" s="44"/>
      <c r="B64" s="10" t="str">
        <f>CONCATENATE("          ", "5032", " - ", "PURCHASES @ COST-JUICE")</f>
        <v xml:space="preserve">          5032 - PURCHASES @ COST-JUICE</v>
      </c>
      <c r="C64" s="10"/>
      <c r="D64" s="2"/>
      <c r="E64" s="2"/>
      <c r="F64" s="19">
        <f t="shared" si="14"/>
        <v>0</v>
      </c>
      <c r="G64" s="2"/>
      <c r="H64" s="2"/>
      <c r="I64" s="2"/>
      <c r="J64" s="19">
        <f t="shared" si="15"/>
        <v>0</v>
      </c>
      <c r="K64" s="2"/>
      <c r="L64" s="2">
        <f t="shared" si="16"/>
        <v>0</v>
      </c>
      <c r="M64" s="2"/>
      <c r="N64" s="19">
        <f t="shared" si="17"/>
        <v>0</v>
      </c>
      <c r="O64" s="10"/>
      <c r="P64" s="2"/>
      <c r="Q64" s="2"/>
      <c r="R64" s="19">
        <f t="shared" si="18"/>
        <v>0</v>
      </c>
      <c r="S64" s="2"/>
      <c r="T64" s="2">
        <v>7802.45</v>
      </c>
      <c r="U64" s="2"/>
      <c r="V64" s="19">
        <f t="shared" si="19"/>
        <v>9.4957029554212456E-3</v>
      </c>
      <c r="W64" s="2"/>
      <c r="X64" s="2">
        <f t="shared" si="20"/>
        <v>-7802.45</v>
      </c>
      <c r="Y64" s="2"/>
      <c r="Z64" s="19">
        <f t="shared" si="21"/>
        <v>-1</v>
      </c>
    </row>
    <row r="65" spans="1:26" s="23" customFormat="1" hidden="1" outlineLevel="1" x14ac:dyDescent="0.25">
      <c r="A65" s="44"/>
      <c r="B65" s="10" t="str">
        <f>CONCATENATE("          ", "5033", " - ", "PURCHASES @ COST-CANDY")</f>
        <v xml:space="preserve">          5033 - PURCHASES @ COST-CANDY</v>
      </c>
      <c r="C65" s="10"/>
      <c r="D65" s="2"/>
      <c r="E65" s="2"/>
      <c r="F65" s="19">
        <f t="shared" si="14"/>
        <v>0</v>
      </c>
      <c r="G65" s="2"/>
      <c r="H65" s="2"/>
      <c r="I65" s="2"/>
      <c r="J65" s="19">
        <f t="shared" si="15"/>
        <v>0</v>
      </c>
      <c r="K65" s="2"/>
      <c r="L65" s="2">
        <f t="shared" si="16"/>
        <v>0</v>
      </c>
      <c r="M65" s="2"/>
      <c r="N65" s="19">
        <f t="shared" si="17"/>
        <v>0</v>
      </c>
      <c r="O65" s="10"/>
      <c r="P65" s="2"/>
      <c r="Q65" s="2"/>
      <c r="R65" s="19">
        <f t="shared" si="18"/>
        <v>0</v>
      </c>
      <c r="S65" s="2"/>
      <c r="T65" s="2">
        <v>9998.41</v>
      </c>
      <c r="U65" s="2"/>
      <c r="V65" s="19">
        <f t="shared" si="19"/>
        <v>1.2168220416217129E-2</v>
      </c>
      <c r="W65" s="2"/>
      <c r="X65" s="2">
        <f t="shared" si="20"/>
        <v>-9998.41</v>
      </c>
      <c r="Y65" s="2"/>
      <c r="Z65" s="19">
        <f t="shared" si="21"/>
        <v>-1</v>
      </c>
    </row>
    <row r="66" spans="1:26" s="23" customFormat="1" hidden="1" outlineLevel="1" x14ac:dyDescent="0.25">
      <c r="A66" s="44"/>
      <c r="B66" s="10" t="str">
        <f>CONCATENATE("          ", "5034", " - ", "PURCHASES @ COST-SODA")</f>
        <v xml:space="preserve">          5034 - PURCHASES @ COST-SODA</v>
      </c>
      <c r="C66" s="10"/>
      <c r="D66" s="2"/>
      <c r="E66" s="2"/>
      <c r="F66" s="19">
        <f t="shared" si="14"/>
        <v>0</v>
      </c>
      <c r="G66" s="2"/>
      <c r="H66" s="2"/>
      <c r="I66" s="2"/>
      <c r="J66" s="19">
        <f t="shared" si="15"/>
        <v>0</v>
      </c>
      <c r="K66" s="2"/>
      <c r="L66" s="2">
        <f t="shared" si="16"/>
        <v>0</v>
      </c>
      <c r="M66" s="2"/>
      <c r="N66" s="19">
        <f t="shared" si="17"/>
        <v>0</v>
      </c>
      <c r="O66" s="10"/>
      <c r="P66" s="2"/>
      <c r="Q66" s="2"/>
      <c r="R66" s="19">
        <f t="shared" si="18"/>
        <v>0</v>
      </c>
      <c r="S66" s="2"/>
      <c r="T66" s="2">
        <v>4033.88</v>
      </c>
      <c r="U66" s="2"/>
      <c r="V66" s="19">
        <f t="shared" si="19"/>
        <v>4.9092946751103381E-3</v>
      </c>
      <c r="W66" s="2"/>
      <c r="X66" s="2">
        <f t="shared" si="20"/>
        <v>-4033.88</v>
      </c>
      <c r="Y66" s="2"/>
      <c r="Z66" s="19">
        <f t="shared" si="21"/>
        <v>-1</v>
      </c>
    </row>
    <row r="67" spans="1:26" s="23" customFormat="1" hidden="1" outlineLevel="1" x14ac:dyDescent="0.25">
      <c r="A67" s="44"/>
      <c r="B67" s="10" t="str">
        <f>CONCATENATE("          ", "5035", " - ", "PURCHASES @ COST-HEALTH &amp; BEAU")</f>
        <v xml:space="preserve">          5035 - PURCHASES @ COST-HEALTH &amp; BEAU</v>
      </c>
      <c r="C67" s="10"/>
      <c r="D67" s="2"/>
      <c r="E67" s="2"/>
      <c r="F67" s="19">
        <f t="shared" si="14"/>
        <v>0</v>
      </c>
      <c r="G67" s="2"/>
      <c r="H67" s="2"/>
      <c r="I67" s="2"/>
      <c r="J67" s="19">
        <f t="shared" si="15"/>
        <v>0</v>
      </c>
      <c r="K67" s="2"/>
      <c r="L67" s="2">
        <f t="shared" si="16"/>
        <v>0</v>
      </c>
      <c r="M67" s="2"/>
      <c r="N67" s="19">
        <f t="shared" si="17"/>
        <v>0</v>
      </c>
      <c r="O67" s="10"/>
      <c r="P67" s="2"/>
      <c r="Q67" s="2"/>
      <c r="R67" s="19">
        <f t="shared" si="18"/>
        <v>0</v>
      </c>
      <c r="S67" s="2"/>
      <c r="T67" s="2">
        <v>1117.6500000000001</v>
      </c>
      <c r="U67" s="2"/>
      <c r="V67" s="19">
        <f t="shared" si="19"/>
        <v>1.3601974262092747E-3</v>
      </c>
      <c r="W67" s="2"/>
      <c r="X67" s="2">
        <f t="shared" si="20"/>
        <v>-1117.6500000000001</v>
      </c>
      <c r="Y67" s="2"/>
      <c r="Z67" s="19">
        <f t="shared" si="21"/>
        <v>-1</v>
      </c>
    </row>
    <row r="68" spans="1:26" s="23" customFormat="1" hidden="1" outlineLevel="1" x14ac:dyDescent="0.25">
      <c r="A68" s="44"/>
      <c r="B68" s="10" t="str">
        <f>CONCATENATE("          ", "5037", " - ", "PURCHASES @ COST-WATER")</f>
        <v xml:space="preserve">          5037 - PURCHASES @ COST-WATER</v>
      </c>
      <c r="C68" s="10"/>
      <c r="D68" s="2"/>
      <c r="E68" s="2"/>
      <c r="F68" s="19">
        <f t="shared" si="14"/>
        <v>0</v>
      </c>
      <c r="G68" s="2"/>
      <c r="H68" s="2"/>
      <c r="I68" s="2"/>
      <c r="J68" s="19">
        <f t="shared" si="15"/>
        <v>0</v>
      </c>
      <c r="K68" s="2"/>
      <c r="L68" s="2">
        <f t="shared" si="16"/>
        <v>0</v>
      </c>
      <c r="M68" s="2"/>
      <c r="N68" s="19">
        <f t="shared" si="17"/>
        <v>0</v>
      </c>
      <c r="O68" s="10"/>
      <c r="P68" s="2"/>
      <c r="Q68" s="2"/>
      <c r="R68" s="19">
        <f t="shared" si="18"/>
        <v>0</v>
      </c>
      <c r="S68" s="2"/>
      <c r="T68" s="2">
        <v>5663.81</v>
      </c>
      <c r="U68" s="2"/>
      <c r="V68" s="19">
        <f t="shared" si="19"/>
        <v>6.8929448257847737E-3</v>
      </c>
      <c r="W68" s="2"/>
      <c r="X68" s="2">
        <f t="shared" si="20"/>
        <v>-5663.81</v>
      </c>
      <c r="Y68" s="2"/>
      <c r="Z68" s="19">
        <f t="shared" si="21"/>
        <v>-1</v>
      </c>
    </row>
    <row r="69" spans="1:26" s="23" customFormat="1" hidden="1" outlineLevel="1" x14ac:dyDescent="0.25">
      <c r="A69" s="44"/>
      <c r="B69" s="10" t="str">
        <f>CONCATENATE("          ", "5081", " - ", "PURCHASES @ COST-ELECTRONICS")</f>
        <v xml:space="preserve">          5081 - PURCHASES @ COST-ELECTRONICS</v>
      </c>
      <c r="C69" s="10"/>
      <c r="D69" s="2"/>
      <c r="E69" s="2"/>
      <c r="F69" s="19">
        <f t="shared" si="14"/>
        <v>0</v>
      </c>
      <c r="G69" s="2"/>
      <c r="H69" s="2"/>
      <c r="I69" s="2"/>
      <c r="J69" s="19">
        <f t="shared" si="15"/>
        <v>0</v>
      </c>
      <c r="K69" s="2"/>
      <c r="L69" s="2">
        <f t="shared" si="16"/>
        <v>0</v>
      </c>
      <c r="M69" s="2"/>
      <c r="N69" s="19">
        <f t="shared" si="17"/>
        <v>0</v>
      </c>
      <c r="O69" s="10"/>
      <c r="P69" s="2"/>
      <c r="Q69" s="2"/>
      <c r="R69" s="19">
        <f t="shared" si="18"/>
        <v>0</v>
      </c>
      <c r="S69" s="2"/>
      <c r="T69" s="2">
        <v>2008.03</v>
      </c>
      <c r="U69" s="2"/>
      <c r="V69" s="19">
        <f t="shared" si="19"/>
        <v>2.4438037290305638E-3</v>
      </c>
      <c r="W69" s="2"/>
      <c r="X69" s="2">
        <f t="shared" si="20"/>
        <v>-2008.03</v>
      </c>
      <c r="Y69" s="2"/>
      <c r="Z69" s="19">
        <f t="shared" si="21"/>
        <v>-1</v>
      </c>
    </row>
    <row r="70" spans="1:26" s="23" customFormat="1" hidden="1" outlineLevel="1" x14ac:dyDescent="0.25">
      <c r="A70" s="44"/>
      <c r="B70" s="10" t="str">
        <f>CONCATENATE("          ", "5082", " - ", "PURCHASES @ COST-COMPUTER HARD")</f>
        <v xml:space="preserve">          5082 - PURCHASES @ COST-COMPUTER HARD</v>
      </c>
      <c r="C70" s="10"/>
      <c r="D70" s="2"/>
      <c r="E70" s="2"/>
      <c r="F70" s="19">
        <f t="shared" si="14"/>
        <v>0</v>
      </c>
      <c r="G70" s="2"/>
      <c r="H70" s="2"/>
      <c r="I70" s="2"/>
      <c r="J70" s="19">
        <f t="shared" si="15"/>
        <v>0</v>
      </c>
      <c r="K70" s="2"/>
      <c r="L70" s="2">
        <f t="shared" si="16"/>
        <v>0</v>
      </c>
      <c r="M70" s="2"/>
      <c r="N70" s="19">
        <f t="shared" si="17"/>
        <v>0</v>
      </c>
      <c r="O70" s="10"/>
      <c r="P70" s="2"/>
      <c r="Q70" s="2"/>
      <c r="R70" s="19">
        <f t="shared" si="18"/>
        <v>0</v>
      </c>
      <c r="S70" s="2"/>
      <c r="T70" s="2">
        <v>349.6</v>
      </c>
      <c r="U70" s="2"/>
      <c r="V70" s="19">
        <f t="shared" si="19"/>
        <v>4.2546863526395784E-4</v>
      </c>
      <c r="W70" s="2"/>
      <c r="X70" s="2">
        <f t="shared" si="20"/>
        <v>-349.6</v>
      </c>
      <c r="Y70" s="2"/>
      <c r="Z70" s="19">
        <f t="shared" si="21"/>
        <v>-1</v>
      </c>
    </row>
    <row r="71" spans="1:26" s="23" customFormat="1" hidden="1" outlineLevel="1" x14ac:dyDescent="0.25">
      <c r="A71" s="44"/>
      <c r="B71" s="10" t="str">
        <f>CONCATENATE("          ", "5083", " - ", "PURCHASES @ COST-COMPUTER EQUI")</f>
        <v xml:space="preserve">          5083 - PURCHASES @ COST-COMPUTER EQUI</v>
      </c>
      <c r="C71" s="10"/>
      <c r="D71" s="2"/>
      <c r="E71" s="2"/>
      <c r="F71" s="19">
        <f t="shared" si="14"/>
        <v>0</v>
      </c>
      <c r="G71" s="2"/>
      <c r="H71" s="2"/>
      <c r="I71" s="2"/>
      <c r="J71" s="19">
        <f t="shared" si="15"/>
        <v>0</v>
      </c>
      <c r="K71" s="2"/>
      <c r="L71" s="2">
        <f t="shared" si="16"/>
        <v>0</v>
      </c>
      <c r="M71" s="2"/>
      <c r="N71" s="19">
        <f t="shared" si="17"/>
        <v>0</v>
      </c>
      <c r="O71" s="10"/>
      <c r="P71" s="2"/>
      <c r="Q71" s="2"/>
      <c r="R71" s="19">
        <f t="shared" si="18"/>
        <v>0</v>
      </c>
      <c r="S71" s="2"/>
      <c r="T71" s="2">
        <v>304.70999999999998</v>
      </c>
      <c r="U71" s="2"/>
      <c r="V71" s="19">
        <f t="shared" si="19"/>
        <v>3.7083680735492156E-4</v>
      </c>
      <c r="W71" s="2"/>
      <c r="X71" s="2">
        <f t="shared" si="20"/>
        <v>-304.70999999999998</v>
      </c>
      <c r="Y71" s="2"/>
      <c r="Z71" s="19">
        <f t="shared" si="21"/>
        <v>-1</v>
      </c>
    </row>
    <row r="72" spans="1:26" s="23" customFormat="1" hidden="1" outlineLevel="1" x14ac:dyDescent="0.25">
      <c r="A72" s="44"/>
      <c r="B72" s="10" t="str">
        <f>CONCATENATE("          ", "5086", " - ", "PURCHASES @ COST-COMPUTER SUPP")</f>
        <v xml:space="preserve">          5086 - PURCHASES @ COST-COMPUTER SUPP</v>
      </c>
      <c r="C72" s="10"/>
      <c r="D72" s="2"/>
      <c r="E72" s="2"/>
      <c r="F72" s="19">
        <f t="shared" si="14"/>
        <v>0</v>
      </c>
      <c r="G72" s="2"/>
      <c r="H72" s="2"/>
      <c r="I72" s="2"/>
      <c r="J72" s="19">
        <f t="shared" si="15"/>
        <v>0</v>
      </c>
      <c r="K72" s="2"/>
      <c r="L72" s="2">
        <f t="shared" si="16"/>
        <v>0</v>
      </c>
      <c r="M72" s="2"/>
      <c r="N72" s="19">
        <f t="shared" si="17"/>
        <v>0</v>
      </c>
      <c r="O72" s="10"/>
      <c r="P72" s="2"/>
      <c r="Q72" s="2"/>
      <c r="R72" s="19">
        <f t="shared" si="18"/>
        <v>0</v>
      </c>
      <c r="S72" s="2"/>
      <c r="T72" s="2">
        <v>426.22</v>
      </c>
      <c r="U72" s="2"/>
      <c r="V72" s="19">
        <f t="shared" si="19"/>
        <v>5.1871636648227715E-4</v>
      </c>
      <c r="W72" s="2"/>
      <c r="X72" s="2">
        <f t="shared" si="20"/>
        <v>-426.22</v>
      </c>
      <c r="Y72" s="2"/>
      <c r="Z72" s="19">
        <f t="shared" si="21"/>
        <v>-1</v>
      </c>
    </row>
    <row r="73" spans="1:26" s="23" customFormat="1" hidden="1" outlineLevel="1" x14ac:dyDescent="0.25">
      <c r="A73" s="44"/>
      <c r="B73" s="10" t="str">
        <f>CONCATENATE("          ", "5200", " - ", "PURCHASES OFFSET")</f>
        <v xml:space="preserve">          5200 - PURCHASES OFFSET</v>
      </c>
      <c r="C73" s="10"/>
      <c r="D73" s="2"/>
      <c r="E73" s="2"/>
      <c r="F73" s="19">
        <f t="shared" si="14"/>
        <v>0</v>
      </c>
      <c r="G73" s="2"/>
      <c r="H73" s="2">
        <v>9558</v>
      </c>
      <c r="I73" s="2"/>
      <c r="J73" s="19">
        <f t="shared" si="15"/>
        <v>1.3689036310748854</v>
      </c>
      <c r="K73" s="2"/>
      <c r="L73" s="2">
        <f t="shared" si="16"/>
        <v>-9558</v>
      </c>
      <c r="M73" s="2"/>
      <c r="N73" s="19">
        <f t="shared" si="17"/>
        <v>-1</v>
      </c>
      <c r="O73" s="10"/>
      <c r="P73" s="2">
        <v>-45863.33</v>
      </c>
      <c r="Q73" s="2"/>
      <c r="R73" s="19">
        <f t="shared" si="18"/>
        <v>-2.1520036674311842</v>
      </c>
      <c r="S73" s="2"/>
      <c r="T73" s="2">
        <v>-441421</v>
      </c>
      <c r="U73" s="2"/>
      <c r="V73" s="19">
        <f t="shared" si="19"/>
        <v>-0.53721621981364853</v>
      </c>
      <c r="W73" s="2"/>
      <c r="X73" s="2">
        <f t="shared" si="20"/>
        <v>395557.67</v>
      </c>
      <c r="Y73" s="2"/>
      <c r="Z73" s="19">
        <f t="shared" si="21"/>
        <v>-0.8961007065816986</v>
      </c>
    </row>
    <row r="74" spans="1:26" s="23" customFormat="1" hidden="1" outlineLevel="1" x14ac:dyDescent="0.25">
      <c r="A74" s="44"/>
      <c r="B74" s="10" t="str">
        <f>CONCATENATE("          ", "5300", " - ", "COG$ OFFSET")</f>
        <v xml:space="preserve">          5300 - COG$ OFFSET</v>
      </c>
      <c r="C74" s="10"/>
      <c r="D74" s="2"/>
      <c r="E74" s="2"/>
      <c r="F74" s="19">
        <f t="shared" si="14"/>
        <v>0</v>
      </c>
      <c r="G74" s="2"/>
      <c r="H74" s="2">
        <v>6103</v>
      </c>
      <c r="I74" s="2"/>
      <c r="J74" s="19">
        <f t="shared" si="15"/>
        <v>0.87407604733731181</v>
      </c>
      <c r="K74" s="2"/>
      <c r="L74" s="2">
        <f t="shared" si="16"/>
        <v>-6103</v>
      </c>
      <c r="M74" s="2"/>
      <c r="N74" s="19">
        <f t="shared" si="17"/>
        <v>-1</v>
      </c>
      <c r="O74" s="10"/>
      <c r="P74" s="2">
        <v>14145</v>
      </c>
      <c r="Q74" s="2"/>
      <c r="R74" s="19">
        <f t="shared" si="18"/>
        <v>0.66371307700103988</v>
      </c>
      <c r="S74" s="2"/>
      <c r="T74" s="2">
        <v>414035</v>
      </c>
      <c r="U74" s="2"/>
      <c r="V74" s="19">
        <f t="shared" si="19"/>
        <v>0.50388703204094043</v>
      </c>
      <c r="W74" s="2"/>
      <c r="X74" s="2">
        <f t="shared" si="20"/>
        <v>-399890</v>
      </c>
      <c r="Y74" s="2"/>
      <c r="Z74" s="19">
        <f t="shared" si="21"/>
        <v>-0.96583622157547067</v>
      </c>
    </row>
    <row r="75" spans="1:26" s="23" customFormat="1" hidden="1" outlineLevel="1" x14ac:dyDescent="0.25">
      <c r="A75" s="44"/>
      <c r="B75" s="10" t="str">
        <f>CONCATENATE("          ", "5500", " - ", "FREIGHT-IN")</f>
        <v xml:space="preserve">          5500 - FREIGHT-IN</v>
      </c>
      <c r="C75" s="10"/>
      <c r="D75" s="2"/>
      <c r="E75" s="2"/>
      <c r="F75" s="19">
        <f t="shared" si="14"/>
        <v>0</v>
      </c>
      <c r="G75" s="2"/>
      <c r="H75" s="2"/>
      <c r="I75" s="2"/>
      <c r="J75" s="19">
        <f t="shared" si="15"/>
        <v>0</v>
      </c>
      <c r="K75" s="2"/>
      <c r="L75" s="2">
        <f t="shared" si="16"/>
        <v>0</v>
      </c>
      <c r="M75" s="2"/>
      <c r="N75" s="19">
        <f t="shared" si="17"/>
        <v>0</v>
      </c>
      <c r="O75" s="10"/>
      <c r="P75" s="2"/>
      <c r="Q75" s="2"/>
      <c r="R75" s="19">
        <f t="shared" si="18"/>
        <v>0</v>
      </c>
      <c r="S75" s="2"/>
      <c r="T75" s="2">
        <v>86</v>
      </c>
      <c r="U75" s="2"/>
      <c r="V75" s="19">
        <f t="shared" si="19"/>
        <v>1.0466333705005827E-4</v>
      </c>
      <c r="W75" s="2"/>
      <c r="X75" s="2">
        <f t="shared" si="20"/>
        <v>-86</v>
      </c>
      <c r="Y75" s="2"/>
      <c r="Z75" s="19">
        <f t="shared" si="21"/>
        <v>-1</v>
      </c>
    </row>
    <row r="76" spans="1:26" s="23" customFormat="1" hidden="1" outlineLevel="1" x14ac:dyDescent="0.25">
      <c r="A76" s="44"/>
      <c r="B76" s="10" t="str">
        <f>CONCATENATE("          ", "5525", " - ", "FREIGHT-IN-TEST FORMS")</f>
        <v xml:space="preserve">          5525 - FREIGHT-IN-TEST FORMS</v>
      </c>
      <c r="C76" s="10"/>
      <c r="D76" s="2"/>
      <c r="E76" s="2"/>
      <c r="F76" s="19">
        <f t="shared" si="14"/>
        <v>0</v>
      </c>
      <c r="G76" s="2"/>
      <c r="H76" s="2">
        <v>377.1</v>
      </c>
      <c r="I76" s="2"/>
      <c r="J76" s="19">
        <f t="shared" si="15"/>
        <v>5.4008533090430987E-2</v>
      </c>
      <c r="K76" s="2"/>
      <c r="L76" s="2">
        <f t="shared" si="16"/>
        <v>-377.1</v>
      </c>
      <c r="M76" s="2"/>
      <c r="N76" s="19">
        <f t="shared" si="17"/>
        <v>-1</v>
      </c>
      <c r="O76" s="10"/>
      <c r="P76" s="2"/>
      <c r="Q76" s="2"/>
      <c r="R76" s="19">
        <f t="shared" si="18"/>
        <v>0</v>
      </c>
      <c r="S76" s="2"/>
      <c r="T76" s="2">
        <v>1614.32</v>
      </c>
      <c r="U76" s="2"/>
      <c r="V76" s="19">
        <f t="shared" si="19"/>
        <v>1.9646525379843028E-3</v>
      </c>
      <c r="W76" s="2"/>
      <c r="X76" s="2">
        <f t="shared" si="20"/>
        <v>-1614.32</v>
      </c>
      <c r="Y76" s="2"/>
      <c r="Z76" s="19">
        <f t="shared" si="21"/>
        <v>-1</v>
      </c>
    </row>
    <row r="77" spans="1:26" s="23" customFormat="1" hidden="1" outlineLevel="1" x14ac:dyDescent="0.25">
      <c r="A77" s="44"/>
      <c r="B77" s="10" t="str">
        <f>CONCATENATE("          ", "5526", " - ", "FREIGHT-IN-WRITING INSTRUMENTS")</f>
        <v xml:space="preserve">          5526 - FREIGHT-IN-WRITING INSTRUMENTS</v>
      </c>
      <c r="C77" s="10"/>
      <c r="D77" s="2"/>
      <c r="E77" s="2"/>
      <c r="F77" s="19">
        <f t="shared" si="14"/>
        <v>0</v>
      </c>
      <c r="G77" s="2"/>
      <c r="H77" s="2">
        <v>14.15</v>
      </c>
      <c r="I77" s="2"/>
      <c r="J77" s="19">
        <f t="shared" si="15"/>
        <v>2.0265731721813801E-3</v>
      </c>
      <c r="K77" s="2"/>
      <c r="L77" s="2">
        <f t="shared" si="16"/>
        <v>-14.15</v>
      </c>
      <c r="M77" s="2"/>
      <c r="N77" s="19">
        <f t="shared" si="17"/>
        <v>-1</v>
      </c>
      <c r="O77" s="10"/>
      <c r="P77" s="2"/>
      <c r="Q77" s="2"/>
      <c r="R77" s="19">
        <f t="shared" si="18"/>
        <v>0</v>
      </c>
      <c r="S77" s="2"/>
      <c r="T77" s="2">
        <v>274.5</v>
      </c>
      <c r="U77" s="2"/>
      <c r="V77" s="19">
        <f t="shared" si="19"/>
        <v>3.340707676772209E-4</v>
      </c>
      <c r="W77" s="2"/>
      <c r="X77" s="2">
        <f t="shared" si="20"/>
        <v>-274.5</v>
      </c>
      <c r="Y77" s="2"/>
      <c r="Z77" s="19">
        <f t="shared" si="21"/>
        <v>-1</v>
      </c>
    </row>
    <row r="78" spans="1:26" s="23" customFormat="1" hidden="1" outlineLevel="1" x14ac:dyDescent="0.25">
      <c r="A78" s="44"/>
      <c r="B78" s="10" t="str">
        <f>CONCATENATE("          ", "5527", " - ", "FREIGHT-IN-SCHOOL SUPPLIES")</f>
        <v xml:space="preserve">          5527 - FREIGHT-IN-SCHOOL SUPPLIES</v>
      </c>
      <c r="C78" s="10"/>
      <c r="D78" s="2"/>
      <c r="E78" s="2"/>
      <c r="F78" s="19">
        <f t="shared" si="14"/>
        <v>0</v>
      </c>
      <c r="G78" s="2"/>
      <c r="H78" s="2">
        <v>-250.91</v>
      </c>
      <c r="I78" s="2"/>
      <c r="J78" s="19">
        <f t="shared" si="15"/>
        <v>-3.5935510574701769E-2</v>
      </c>
      <c r="K78" s="2"/>
      <c r="L78" s="2">
        <f t="shared" si="16"/>
        <v>250.91</v>
      </c>
      <c r="M78" s="2"/>
      <c r="N78" s="19">
        <f t="shared" si="17"/>
        <v>-1</v>
      </c>
      <c r="O78" s="10"/>
      <c r="P78" s="2"/>
      <c r="Q78" s="2"/>
      <c r="R78" s="19">
        <f t="shared" si="18"/>
        <v>0</v>
      </c>
      <c r="S78" s="2"/>
      <c r="T78" s="2">
        <v>1808</v>
      </c>
      <c r="U78" s="2"/>
      <c r="V78" s="19">
        <f t="shared" si="19"/>
        <v>2.2003641091454113E-3</v>
      </c>
      <c r="W78" s="2"/>
      <c r="X78" s="2">
        <f t="shared" si="20"/>
        <v>-1808</v>
      </c>
      <c r="Y78" s="2"/>
      <c r="Z78" s="19">
        <f t="shared" si="21"/>
        <v>-1</v>
      </c>
    </row>
    <row r="79" spans="1:26" s="23" customFormat="1" hidden="1" outlineLevel="1" x14ac:dyDescent="0.25">
      <c r="A79" s="44"/>
      <c r="B79" s="10" t="str">
        <f>CONCATENATE("          ", "5528", " - ", "FREIGHT-IN-ART/TECH")</f>
        <v xml:space="preserve">          5528 - FREIGHT-IN-ART/TECH</v>
      </c>
      <c r="C79" s="10"/>
      <c r="D79" s="2">
        <v>28.53</v>
      </c>
      <c r="E79" s="2"/>
      <c r="F79" s="19">
        <f t="shared" si="14"/>
        <v>0</v>
      </c>
      <c r="G79" s="2"/>
      <c r="H79" s="2">
        <v>-19.75</v>
      </c>
      <c r="I79" s="2"/>
      <c r="J79" s="19">
        <f t="shared" si="15"/>
        <v>-2.8286091979210074E-3</v>
      </c>
      <c r="K79" s="2"/>
      <c r="L79" s="2">
        <f t="shared" si="16"/>
        <v>48.28</v>
      </c>
      <c r="M79" s="2"/>
      <c r="N79" s="19">
        <f t="shared" si="17"/>
        <v>-2.4445569620253167</v>
      </c>
      <c r="O79" s="10"/>
      <c r="P79" s="2">
        <v>396.05</v>
      </c>
      <c r="Q79" s="2"/>
      <c r="R79" s="19">
        <f t="shared" si="18"/>
        <v>1.8583496935048557E-2</v>
      </c>
      <c r="S79" s="2"/>
      <c r="T79" s="2">
        <v>2824.37</v>
      </c>
      <c r="U79" s="2"/>
      <c r="V79" s="19">
        <f t="shared" si="19"/>
        <v>3.4373022007450358E-3</v>
      </c>
      <c r="W79" s="2"/>
      <c r="X79" s="2">
        <f t="shared" si="20"/>
        <v>-2428.3199999999997</v>
      </c>
      <c r="Y79" s="2"/>
      <c r="Z79" s="19">
        <f t="shared" si="21"/>
        <v>-0.85977403810407271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x14ac:dyDescent="0.25">
      <c r="A81" s="11"/>
      <c r="B81" s="28" t="s">
        <v>107</v>
      </c>
      <c r="C81" s="28"/>
      <c r="D81" s="20">
        <f>D12-D55</f>
        <v>-28.53</v>
      </c>
      <c r="E81" s="14"/>
      <c r="F81" s="21">
        <f>IF(D$12=0,0,D81/D$12)</f>
        <v>0</v>
      </c>
      <c r="G81" s="14"/>
      <c r="H81" s="20">
        <f>H12-H55</f>
        <v>878.51000000000022</v>
      </c>
      <c r="I81" s="14"/>
      <c r="J81" s="21">
        <f>IF(H$12=0,0,H81/H$12)</f>
        <v>0.1258208337450929</v>
      </c>
      <c r="K81" s="15"/>
      <c r="L81" s="20">
        <f>+D81-H81</f>
        <v>-907.04000000000019</v>
      </c>
      <c r="M81" s="15"/>
      <c r="N81" s="21">
        <f>IF(H81=0,0,L81/H81)</f>
        <v>-1.0324754413723236</v>
      </c>
      <c r="O81" s="29"/>
      <c r="P81" s="20">
        <f>P12-P55</f>
        <v>7490.4000000000051</v>
      </c>
      <c r="Q81" s="14"/>
      <c r="R81" s="21">
        <f>IF(P$12=0,0,P81/P$12)</f>
        <v>0.35146528327809062</v>
      </c>
      <c r="S81" s="14"/>
      <c r="T81" s="20">
        <f>T12-T55</f>
        <v>407563.76999999979</v>
      </c>
      <c r="U81" s="14"/>
      <c r="V81" s="21">
        <f>IF(T$12=0,0,T81/T$12)</f>
        <v>0.49601144452212098</v>
      </c>
      <c r="W81" s="15"/>
      <c r="X81" s="20">
        <f>+P81-T81</f>
        <v>-400073.36999999976</v>
      </c>
      <c r="Y81" s="15"/>
      <c r="Z81" s="21">
        <f>IF(T81=0,0,X81/T81)</f>
        <v>-0.98162152636874467</v>
      </c>
    </row>
    <row r="82" spans="1:26" x14ac:dyDescent="0.25">
      <c r="A82" s="9"/>
      <c r="B82" s="11"/>
      <c r="C82" s="9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x14ac:dyDescent="0.25">
      <c r="A83" s="11"/>
      <c r="B83" s="29" t="s">
        <v>294</v>
      </c>
      <c r="C83" s="11"/>
      <c r="D83" s="22">
        <f>SUM(OSRRefD22x_0)</f>
        <v>53</v>
      </c>
      <c r="E83" s="22"/>
      <c r="F83" s="32">
        <f t="shared" ref="F83:F93" si="22">IF(D$12=0,0,D83/D$12)</f>
        <v>0</v>
      </c>
      <c r="G83" s="22"/>
      <c r="H83" s="22">
        <f>SUM(OSRRefH22x_0)</f>
        <v>8723.7099999999991</v>
      </c>
      <c r="I83" s="22"/>
      <c r="J83" s="32">
        <f t="shared" ref="J83:J93" si="23">IF(H$12=0,0,H83/H$12)</f>
        <v>1.2494160175187579</v>
      </c>
      <c r="K83" s="4"/>
      <c r="L83" s="22">
        <f t="shared" ref="L83:L93" si="24">+D83-H83</f>
        <v>-8670.7099999999991</v>
      </c>
      <c r="M83" s="4"/>
      <c r="N83" s="32">
        <f t="shared" ref="N83:N93" si="25">IF(H83=0,0,L83/H83)</f>
        <v>-0.99392460317915199</v>
      </c>
      <c r="O83" s="11"/>
      <c r="P83" s="22">
        <f>SUM(OSRRefP22x_0)</f>
        <v>12753.859999999997</v>
      </c>
      <c r="Q83" s="22"/>
      <c r="R83" s="32">
        <f t="shared" ref="R83:R93" si="26">IF(P$12=0,0,P83/P$12)</f>
        <v>0.59843786951152211</v>
      </c>
      <c r="S83" s="22"/>
      <c r="T83" s="22">
        <f>SUM(OSRRefT22x_0)</f>
        <v>216783.82999999993</v>
      </c>
      <c r="U83" s="22"/>
      <c r="V83" s="32">
        <f t="shared" ref="V83:V93" si="27">IF(T$12=0,0,T83/T$12)</f>
        <v>0.26382929146851775</v>
      </c>
      <c r="W83" s="4"/>
      <c r="X83" s="22">
        <f t="shared" ref="X83:X93" si="28">+P83-T83</f>
        <v>-204029.96999999994</v>
      </c>
      <c r="Y83" s="4"/>
      <c r="Z83" s="32">
        <f t="shared" ref="Z83:Z93" si="29">IF(T83=0,0,X83/T83)</f>
        <v>-0.9411678444836038</v>
      </c>
    </row>
    <row r="84" spans="1:26" s="26" customFormat="1" outlineLevel="1" collapsed="1" x14ac:dyDescent="0.25">
      <c r="A84" s="25"/>
      <c r="B84" s="12" t="str">
        <f>CONCATENATE("     ","*Benefits                                         ")</f>
        <v xml:space="preserve">     *Benefits                                         </v>
      </c>
      <c r="C84" s="12"/>
      <c r="D84" s="1">
        <f>SUM(OSRRefD22_0x_0)</f>
        <v>0</v>
      </c>
      <c r="E84" s="1"/>
      <c r="F84" s="5">
        <f t="shared" si="22"/>
        <v>0</v>
      </c>
      <c r="G84" s="1"/>
      <c r="H84" s="1">
        <f>SUM(OSRRefH22_0x_0)</f>
        <v>2869.59</v>
      </c>
      <c r="I84" s="1"/>
      <c r="J84" s="5">
        <f t="shared" si="23"/>
        <v>0.41098474269681745</v>
      </c>
      <c r="K84" s="1"/>
      <c r="L84" s="1">
        <f t="shared" si="24"/>
        <v>-2869.59</v>
      </c>
      <c r="M84" s="1"/>
      <c r="N84" s="5">
        <f t="shared" si="25"/>
        <v>-1</v>
      </c>
      <c r="O84" s="12"/>
      <c r="P84" s="1">
        <f>SUM(OSRRefP22_0x_0)</f>
        <v>778.2</v>
      </c>
      <c r="Q84" s="1"/>
      <c r="R84" s="5">
        <f t="shared" si="26"/>
        <v>3.6514776707119778E-2</v>
      </c>
      <c r="S84" s="1"/>
      <c r="T84" s="1">
        <f>SUM(OSRRefT22_0x_0)</f>
        <v>33587.680000000008</v>
      </c>
      <c r="U84" s="1"/>
      <c r="V84" s="5">
        <f t="shared" si="27"/>
        <v>4.087672875080816E-2</v>
      </c>
      <c r="W84" s="1"/>
      <c r="X84" s="1">
        <f t="shared" si="28"/>
        <v>-32809.48000000001</v>
      </c>
      <c r="Y84" s="1"/>
      <c r="Z84" s="5">
        <f t="shared" si="29"/>
        <v>-0.97683079033740949</v>
      </c>
    </row>
    <row r="85" spans="1:26" s="23" customFormat="1" hidden="1" outlineLevel="2" x14ac:dyDescent="0.25">
      <c r="A85" s="27"/>
      <c r="B85" s="10" t="str">
        <f>CONCATENATE("          ", "6111", " - ", "F.I.C.A.")</f>
        <v xml:space="preserve">          6111 - F.I.C.A.</v>
      </c>
      <c r="C85" s="10"/>
      <c r="D85" s="6"/>
      <c r="E85" s="2"/>
      <c r="F85" s="7">
        <f t="shared" si="22"/>
        <v>0</v>
      </c>
      <c r="G85" s="2"/>
      <c r="H85" s="6">
        <v>318.24</v>
      </c>
      <c r="I85" s="2"/>
      <c r="J85" s="7">
        <f t="shared" si="23"/>
        <v>4.5578561577031974E-2</v>
      </c>
      <c r="K85" s="2"/>
      <c r="L85" s="6">
        <f t="shared" si="24"/>
        <v>-318.24</v>
      </c>
      <c r="M85" s="2"/>
      <c r="N85" s="7">
        <f t="shared" si="25"/>
        <v>-1</v>
      </c>
      <c r="O85" s="10"/>
      <c r="P85" s="6">
        <v>484.61</v>
      </c>
      <c r="Q85" s="2"/>
      <c r="R85" s="7">
        <f t="shared" si="26"/>
        <v>2.2738917938881154E-2</v>
      </c>
      <c r="S85" s="2"/>
      <c r="T85" s="6">
        <v>6110.83</v>
      </c>
      <c r="U85" s="2"/>
      <c r="V85" s="7">
        <f t="shared" si="27"/>
        <v>7.4369751156465993E-3</v>
      </c>
      <c r="W85" s="2"/>
      <c r="X85" s="6">
        <f t="shared" si="28"/>
        <v>-5626.22</v>
      </c>
      <c r="Y85" s="2"/>
      <c r="Z85" s="7">
        <f t="shared" si="29"/>
        <v>-0.9206965338587394</v>
      </c>
    </row>
    <row r="86" spans="1:26" s="23" customFormat="1" hidden="1" outlineLevel="2" x14ac:dyDescent="0.25">
      <c r="A86" s="27"/>
      <c r="B86" s="10" t="str">
        <f>CONCATENATE("          ", "6112", " - ", "COMPENSATION INSURANCE")</f>
        <v xml:space="preserve">          6112 - COMPENSATION INSURANCE</v>
      </c>
      <c r="C86" s="10"/>
      <c r="D86" s="6"/>
      <c r="E86" s="2"/>
      <c r="F86" s="7">
        <f t="shared" si="22"/>
        <v>0</v>
      </c>
      <c r="G86" s="2"/>
      <c r="H86" s="6">
        <v>118.56</v>
      </c>
      <c r="I86" s="2"/>
      <c r="J86" s="7">
        <f t="shared" si="23"/>
        <v>1.698024843065897E-2</v>
      </c>
      <c r="K86" s="2"/>
      <c r="L86" s="6">
        <f t="shared" si="24"/>
        <v>-118.56</v>
      </c>
      <c r="M86" s="2"/>
      <c r="N86" s="7">
        <f t="shared" si="25"/>
        <v>-1</v>
      </c>
      <c r="O86" s="10"/>
      <c r="P86" s="6">
        <v>255.57</v>
      </c>
      <c r="Q86" s="2"/>
      <c r="R86" s="7">
        <f t="shared" si="26"/>
        <v>1.1991880600152403E-2</v>
      </c>
      <c r="S86" s="2"/>
      <c r="T86" s="6">
        <v>2755.99</v>
      </c>
      <c r="U86" s="2"/>
      <c r="V86" s="7">
        <f t="shared" si="27"/>
        <v>3.3540826776347682E-3</v>
      </c>
      <c r="W86" s="2"/>
      <c r="X86" s="6">
        <f t="shared" si="28"/>
        <v>-2500.4199999999996</v>
      </c>
      <c r="Y86" s="2"/>
      <c r="Z86" s="7">
        <f t="shared" si="29"/>
        <v>-0.90726744291524997</v>
      </c>
    </row>
    <row r="87" spans="1:26" s="23" customFormat="1" hidden="1" outlineLevel="2" x14ac:dyDescent="0.25">
      <c r="A87" s="27"/>
      <c r="B87" s="10" t="str">
        <f>CONCATENATE("          ", "6113", " - ", "GROUP INSURANCE")</f>
        <v xml:space="preserve">          6113 - GROUP INSURANCE</v>
      </c>
      <c r="C87" s="10"/>
      <c r="D87" s="6"/>
      <c r="E87" s="2"/>
      <c r="F87" s="7">
        <f t="shared" si="22"/>
        <v>0</v>
      </c>
      <c r="G87" s="2"/>
      <c r="H87" s="6">
        <v>1367.58</v>
      </c>
      <c r="I87" s="2"/>
      <c r="J87" s="7">
        <f t="shared" si="23"/>
        <v>0.19586579072874993</v>
      </c>
      <c r="K87" s="2"/>
      <c r="L87" s="6">
        <f t="shared" si="24"/>
        <v>-1367.58</v>
      </c>
      <c r="M87" s="2"/>
      <c r="N87" s="7">
        <f t="shared" si="25"/>
        <v>-1</v>
      </c>
      <c r="O87" s="10"/>
      <c r="P87" s="6">
        <v>0</v>
      </c>
      <c r="Q87" s="2"/>
      <c r="R87" s="7">
        <f t="shared" si="26"/>
        <v>0</v>
      </c>
      <c r="S87" s="2"/>
      <c r="T87" s="6">
        <v>19531.400000000001</v>
      </c>
      <c r="U87" s="2"/>
      <c r="V87" s="7">
        <f t="shared" si="27"/>
        <v>2.377001745650591E-2</v>
      </c>
      <c r="W87" s="2"/>
      <c r="X87" s="6">
        <f t="shared" si="28"/>
        <v>-19531.400000000001</v>
      </c>
      <c r="Y87" s="2"/>
      <c r="Z87" s="7">
        <f t="shared" si="29"/>
        <v>-1</v>
      </c>
    </row>
    <row r="88" spans="1:26" s="23" customFormat="1" hidden="1" outlineLevel="2" x14ac:dyDescent="0.25">
      <c r="A88" s="27"/>
      <c r="B88" s="10" t="str">
        <f>CONCATENATE("          ", "6114", " - ", "STATE UNEMPLOYMENT INSURANCE")</f>
        <v xml:space="preserve">          6114 - STATE UNEMPLOYMENT INSURANCE</v>
      </c>
      <c r="C88" s="10"/>
      <c r="D88" s="6"/>
      <c r="E88" s="2"/>
      <c r="F88" s="7">
        <f t="shared" si="22"/>
        <v>0</v>
      </c>
      <c r="G88" s="2"/>
      <c r="H88" s="6">
        <v>16.22</v>
      </c>
      <c r="I88" s="2"/>
      <c r="J88" s="7">
        <f t="shared" si="23"/>
        <v>2.3230400602672779E-3</v>
      </c>
      <c r="K88" s="2"/>
      <c r="L88" s="6">
        <f t="shared" si="24"/>
        <v>-16.22</v>
      </c>
      <c r="M88" s="2"/>
      <c r="N88" s="7">
        <f t="shared" si="25"/>
        <v>-1</v>
      </c>
      <c r="O88" s="10"/>
      <c r="P88" s="6">
        <v>38.020000000000003</v>
      </c>
      <c r="Q88" s="2"/>
      <c r="R88" s="7">
        <f t="shared" si="26"/>
        <v>1.7839781680862169E-3</v>
      </c>
      <c r="S88" s="2"/>
      <c r="T88" s="6">
        <v>419.11</v>
      </c>
      <c r="U88" s="2"/>
      <c r="V88" s="7">
        <f t="shared" si="27"/>
        <v>5.1006338594244093E-4</v>
      </c>
      <c r="W88" s="2"/>
      <c r="X88" s="6">
        <f t="shared" si="28"/>
        <v>-381.09000000000003</v>
      </c>
      <c r="Y88" s="2"/>
      <c r="Z88" s="7">
        <f t="shared" si="29"/>
        <v>-0.9092839588652144</v>
      </c>
    </row>
    <row r="89" spans="1:26" s="23" customFormat="1" hidden="1" outlineLevel="2" x14ac:dyDescent="0.25">
      <c r="A89" s="27"/>
      <c r="B89" s="10" t="str">
        <f>CONCATENATE("          ", "6115", " - ", "P.E.R.S.")</f>
        <v xml:space="preserve">          6115 - P.E.R.S.</v>
      </c>
      <c r="C89" s="10"/>
      <c r="D89" s="6"/>
      <c r="E89" s="2"/>
      <c r="F89" s="7">
        <f t="shared" si="22"/>
        <v>0</v>
      </c>
      <c r="G89" s="2"/>
      <c r="H89" s="6">
        <v>425.19</v>
      </c>
      <c r="I89" s="2"/>
      <c r="J89" s="7">
        <f t="shared" si="23"/>
        <v>6.0896017461470033E-2</v>
      </c>
      <c r="K89" s="2"/>
      <c r="L89" s="6">
        <f t="shared" si="24"/>
        <v>-425.19</v>
      </c>
      <c r="M89" s="2"/>
      <c r="N89" s="7">
        <f t="shared" si="25"/>
        <v>-1</v>
      </c>
      <c r="O89" s="10"/>
      <c r="P89" s="6"/>
      <c r="Q89" s="2"/>
      <c r="R89" s="7">
        <f t="shared" si="26"/>
        <v>0</v>
      </c>
      <c r="S89" s="2"/>
      <c r="T89" s="6">
        <v>4627.22</v>
      </c>
      <c r="U89" s="2"/>
      <c r="V89" s="7">
        <f t="shared" si="27"/>
        <v>5.6313986798229142E-3</v>
      </c>
      <c r="W89" s="2"/>
      <c r="X89" s="6">
        <f t="shared" si="28"/>
        <v>-4627.22</v>
      </c>
      <c r="Y89" s="2"/>
      <c r="Z89" s="7">
        <f t="shared" si="29"/>
        <v>-1</v>
      </c>
    </row>
    <row r="90" spans="1:26" s="23" customFormat="1" hidden="1" outlineLevel="2" x14ac:dyDescent="0.25">
      <c r="A90" s="27"/>
      <c r="B90" s="10" t="str">
        <f>CONCATENATE("          ", "6117", " - ", "RETIREMENT STAFF HOURLY")</f>
        <v xml:space="preserve">          6117 - RETIREMENT STAFF HOURLY</v>
      </c>
      <c r="C90" s="10"/>
      <c r="D90" s="6"/>
      <c r="E90" s="2"/>
      <c r="F90" s="7">
        <f t="shared" si="22"/>
        <v>0</v>
      </c>
      <c r="G90" s="2"/>
      <c r="H90" s="6"/>
      <c r="I90" s="2"/>
      <c r="J90" s="7">
        <f t="shared" si="23"/>
        <v>0</v>
      </c>
      <c r="K90" s="2"/>
      <c r="L90" s="6">
        <f t="shared" si="24"/>
        <v>0</v>
      </c>
      <c r="M90" s="2"/>
      <c r="N90" s="7">
        <f t="shared" si="25"/>
        <v>0</v>
      </c>
      <c r="O90" s="10"/>
      <c r="P90" s="6">
        <v>0</v>
      </c>
      <c r="Q90" s="2"/>
      <c r="R90" s="7">
        <f t="shared" si="26"/>
        <v>0</v>
      </c>
      <c r="S90" s="2"/>
      <c r="T90" s="6">
        <v>46.65</v>
      </c>
      <c r="U90" s="2"/>
      <c r="V90" s="7">
        <f t="shared" si="27"/>
        <v>5.6773775271921144E-5</v>
      </c>
      <c r="W90" s="2"/>
      <c r="X90" s="6">
        <f t="shared" si="28"/>
        <v>-46.65</v>
      </c>
      <c r="Y90" s="2"/>
      <c r="Z90" s="7">
        <f t="shared" si="29"/>
        <v>-1</v>
      </c>
    </row>
    <row r="91" spans="1:26" s="23" customFormat="1" hidden="1" outlineLevel="2" x14ac:dyDescent="0.25">
      <c r="A91" s="27"/>
      <c r="B91" s="10" t="str">
        <f>CONCATENATE("          ", "6118", " - ", "VACATION")</f>
        <v xml:space="preserve">          6118 - VACATION</v>
      </c>
      <c r="C91" s="10"/>
      <c r="D91" s="6"/>
      <c r="E91" s="2"/>
      <c r="F91" s="7">
        <f t="shared" si="22"/>
        <v>0</v>
      </c>
      <c r="G91" s="2"/>
      <c r="H91" s="6">
        <v>335.92</v>
      </c>
      <c r="I91" s="2"/>
      <c r="J91" s="7">
        <f t="shared" si="23"/>
        <v>4.8110703886867084E-2</v>
      </c>
      <c r="K91" s="2"/>
      <c r="L91" s="6">
        <f t="shared" si="24"/>
        <v>-335.92</v>
      </c>
      <c r="M91" s="2"/>
      <c r="N91" s="7">
        <f t="shared" si="25"/>
        <v>-1</v>
      </c>
      <c r="O91" s="10"/>
      <c r="P91" s="6"/>
      <c r="Q91" s="2"/>
      <c r="R91" s="7">
        <f t="shared" si="26"/>
        <v>0</v>
      </c>
      <c r="S91" s="2"/>
      <c r="T91" s="6">
        <v>4100.3999999999996</v>
      </c>
      <c r="U91" s="2"/>
      <c r="V91" s="7">
        <f t="shared" si="27"/>
        <v>4.9902505493030101E-3</v>
      </c>
      <c r="W91" s="2"/>
      <c r="X91" s="6">
        <f t="shared" si="28"/>
        <v>-4100.3999999999996</v>
      </c>
      <c r="Y91" s="2"/>
      <c r="Z91" s="7">
        <f t="shared" si="29"/>
        <v>-1</v>
      </c>
    </row>
    <row r="92" spans="1:26" s="23" customFormat="1" hidden="1" outlineLevel="2" x14ac:dyDescent="0.25">
      <c r="A92" s="27"/>
      <c r="B92" s="10" t="str">
        <f>CONCATENATE("          ", "6119", " - ", "SICK LEAVE")</f>
        <v xml:space="preserve">          6119 - SICK LEAVE</v>
      </c>
      <c r="C92" s="10"/>
      <c r="D92" s="6"/>
      <c r="E92" s="2"/>
      <c r="F92" s="7">
        <f t="shared" si="22"/>
        <v>0</v>
      </c>
      <c r="G92" s="2"/>
      <c r="H92" s="6">
        <v>191.88</v>
      </c>
      <c r="I92" s="2"/>
      <c r="J92" s="7">
        <f t="shared" si="23"/>
        <v>2.7481191539092804E-2</v>
      </c>
      <c r="K92" s="2"/>
      <c r="L92" s="6">
        <f t="shared" si="24"/>
        <v>-191.88</v>
      </c>
      <c r="M92" s="2"/>
      <c r="N92" s="7">
        <f t="shared" si="25"/>
        <v>-1</v>
      </c>
      <c r="O92" s="10"/>
      <c r="P92" s="6"/>
      <c r="Q92" s="2"/>
      <c r="R92" s="7">
        <f t="shared" si="26"/>
        <v>0</v>
      </c>
      <c r="S92" s="2"/>
      <c r="T92" s="6">
        <v>-5790.02</v>
      </c>
      <c r="U92" s="2"/>
      <c r="V92" s="7">
        <f t="shared" si="27"/>
        <v>-7.0465443579834702E-3</v>
      </c>
      <c r="W92" s="2"/>
      <c r="X92" s="6">
        <f t="shared" si="28"/>
        <v>5790.02</v>
      </c>
      <c r="Y92" s="2"/>
      <c r="Z92" s="7">
        <f t="shared" si="29"/>
        <v>-1</v>
      </c>
    </row>
    <row r="93" spans="1:26" s="23" customFormat="1" hidden="1" outlineLevel="2" x14ac:dyDescent="0.25">
      <c r="A93" s="27"/>
      <c r="B93" s="10" t="str">
        <f>CONCATENATE("          ", "6156", " - ", "EMPLOYEE MEALS")</f>
        <v xml:space="preserve">          6156 - EMPLOYEE MEALS</v>
      </c>
      <c r="C93" s="10"/>
      <c r="D93" s="6"/>
      <c r="E93" s="2"/>
      <c r="F93" s="7">
        <f t="shared" si="22"/>
        <v>0</v>
      </c>
      <c r="G93" s="2"/>
      <c r="H93" s="6">
        <v>96</v>
      </c>
      <c r="I93" s="2"/>
      <c r="J93" s="7">
        <f t="shared" si="23"/>
        <v>1.3749189012679328E-2</v>
      </c>
      <c r="K93" s="2"/>
      <c r="L93" s="6">
        <f t="shared" si="24"/>
        <v>-96</v>
      </c>
      <c r="M93" s="2"/>
      <c r="N93" s="7">
        <f t="shared" si="25"/>
        <v>-1</v>
      </c>
      <c r="O93" s="10"/>
      <c r="P93" s="6"/>
      <c r="Q93" s="2"/>
      <c r="R93" s="7">
        <f t="shared" si="26"/>
        <v>0</v>
      </c>
      <c r="S93" s="2"/>
      <c r="T93" s="6">
        <v>1786.1</v>
      </c>
      <c r="U93" s="2"/>
      <c r="V93" s="7">
        <f t="shared" si="27"/>
        <v>2.173711468664059E-3</v>
      </c>
      <c r="W93" s="2"/>
      <c r="X93" s="6">
        <f t="shared" si="28"/>
        <v>-1786.1</v>
      </c>
      <c r="Y93" s="2"/>
      <c r="Z93" s="7">
        <f t="shared" si="29"/>
        <v>-1</v>
      </c>
    </row>
    <row r="94" spans="1:26" s="26" customFormat="1" outlineLevel="1" collapsed="1" x14ac:dyDescent="0.25">
      <c r="A94" s="25"/>
      <c r="B94" s="12" t="str">
        <f>CONCATENATE("     ","*Payroll                                          ")</f>
        <v xml:space="preserve">     *Payroll                                          </v>
      </c>
      <c r="C94" s="12"/>
      <c r="D94" s="1">
        <f>SUM(OSRRefD22_1x_0)</f>
        <v>0</v>
      </c>
      <c r="E94" s="1"/>
      <c r="F94" s="5">
        <f t="shared" ref="F94:F99" si="30">IF(D$12=0,0,D94/D$12)</f>
        <v>0</v>
      </c>
      <c r="G94" s="1"/>
      <c r="H94" s="1">
        <f>SUM(OSRRefH22_1x_0)</f>
        <v>3952</v>
      </c>
      <c r="I94" s="1"/>
      <c r="J94" s="5">
        <f t="shared" ref="J94:J99" si="31">IF(H$12=0,0,H94/H$12)</f>
        <v>0.56600828102196565</v>
      </c>
      <c r="K94" s="1"/>
      <c r="L94" s="1">
        <f t="shared" ref="L94:L99" si="32">+D94-H94</f>
        <v>-3952</v>
      </c>
      <c r="M94" s="1"/>
      <c r="N94" s="5">
        <f t="shared" ref="N94:N99" si="33">IF(H94=0,0,L94/H94)</f>
        <v>-1</v>
      </c>
      <c r="O94" s="12"/>
      <c r="P94" s="1">
        <f>SUM(OSRRefP22_1x_0)</f>
        <v>8152.5399999999991</v>
      </c>
      <c r="Q94" s="1"/>
      <c r="R94" s="5">
        <f t="shared" ref="R94:R99" si="34">IF(P$12=0,0,P94/P$12)</f>
        <v>0.38253428128483963</v>
      </c>
      <c r="S94" s="1"/>
      <c r="T94" s="1">
        <f>SUM(OSRRefT22_1x_0)</f>
        <v>153025.27000000002</v>
      </c>
      <c r="U94" s="1"/>
      <c r="V94" s="5">
        <f t="shared" ref="V94:V99" si="35">IF(T$12=0,0,T94/T$12)</f>
        <v>0.18623413268821129</v>
      </c>
      <c r="W94" s="1"/>
      <c r="X94" s="1">
        <f t="shared" ref="X94:X99" si="36">+P94-T94</f>
        <v>-144872.73000000001</v>
      </c>
      <c r="Y94" s="1"/>
      <c r="Z94" s="5">
        <f t="shared" ref="Z94:Z99" si="37">IF(T94=0,0,X94/T94)</f>
        <v>-0.94672422404482603</v>
      </c>
    </row>
    <row r="95" spans="1:26" s="23" customFormat="1" hidden="1" outlineLevel="2" x14ac:dyDescent="0.25">
      <c r="A95" s="27"/>
      <c r="B95" s="10" t="str">
        <f>CONCATENATE("          ", "6002", " - ", "STAFF SALARIES")</f>
        <v xml:space="preserve">          6002 - STAFF SALARIES</v>
      </c>
      <c r="C95" s="10"/>
      <c r="D95" s="6"/>
      <c r="E95" s="2"/>
      <c r="F95" s="7">
        <f t="shared" si="30"/>
        <v>0</v>
      </c>
      <c r="G95" s="2"/>
      <c r="H95" s="6">
        <v>3952</v>
      </c>
      <c r="I95" s="2"/>
      <c r="J95" s="7">
        <f t="shared" si="31"/>
        <v>0.56600828102196565</v>
      </c>
      <c r="K95" s="2"/>
      <c r="L95" s="6">
        <f t="shared" si="32"/>
        <v>-3952</v>
      </c>
      <c r="M95" s="2"/>
      <c r="N95" s="7">
        <f t="shared" si="33"/>
        <v>-1</v>
      </c>
      <c r="O95" s="10"/>
      <c r="P95" s="6"/>
      <c r="Q95" s="2"/>
      <c r="R95" s="7">
        <f t="shared" si="34"/>
        <v>0</v>
      </c>
      <c r="S95" s="2"/>
      <c r="T95" s="6">
        <v>55743.82</v>
      </c>
      <c r="U95" s="2"/>
      <c r="V95" s="7">
        <f t="shared" si="35"/>
        <v>6.7841095594392775E-2</v>
      </c>
      <c r="W95" s="2"/>
      <c r="X95" s="6">
        <f t="shared" si="36"/>
        <v>-55743.82</v>
      </c>
      <c r="Y95" s="2"/>
      <c r="Z95" s="7">
        <f t="shared" si="37"/>
        <v>-1</v>
      </c>
    </row>
    <row r="96" spans="1:26" s="23" customFormat="1" hidden="1" outlineLevel="2" x14ac:dyDescent="0.25">
      <c r="A96" s="27"/>
      <c r="B96" s="10" t="str">
        <f>CONCATENATE("          ", "6004", " - ", "STAFF HOURLY")</f>
        <v xml:space="preserve">          6004 - STAFF HOURLY</v>
      </c>
      <c r="C96" s="10"/>
      <c r="D96" s="6"/>
      <c r="E96" s="2"/>
      <c r="F96" s="7">
        <f t="shared" si="30"/>
        <v>0</v>
      </c>
      <c r="G96" s="2"/>
      <c r="H96" s="6"/>
      <c r="I96" s="2"/>
      <c r="J96" s="7">
        <f t="shared" si="31"/>
        <v>0</v>
      </c>
      <c r="K96" s="2"/>
      <c r="L96" s="6">
        <f t="shared" si="32"/>
        <v>0</v>
      </c>
      <c r="M96" s="2"/>
      <c r="N96" s="7">
        <f t="shared" si="33"/>
        <v>0</v>
      </c>
      <c r="O96" s="10"/>
      <c r="P96" s="6"/>
      <c r="Q96" s="2"/>
      <c r="R96" s="7">
        <f t="shared" si="34"/>
        <v>0</v>
      </c>
      <c r="S96" s="2"/>
      <c r="T96" s="6">
        <v>-48</v>
      </c>
      <c r="U96" s="2"/>
      <c r="V96" s="7">
        <f t="shared" si="35"/>
        <v>-5.8416746260497636E-5</v>
      </c>
      <c r="W96" s="2"/>
      <c r="X96" s="6">
        <f t="shared" si="36"/>
        <v>48</v>
      </c>
      <c r="Y96" s="2"/>
      <c r="Z96" s="7">
        <f t="shared" si="37"/>
        <v>-1</v>
      </c>
    </row>
    <row r="97" spans="1:26" s="23" customFormat="1" hidden="1" outlineLevel="2" x14ac:dyDescent="0.25">
      <c r="A97" s="27"/>
      <c r="B97" s="10" t="str">
        <f>CONCATENATE("          ", "6005", " - ", "TEMPORARY WAGES-HOURLY")</f>
        <v xml:space="preserve">          6005 - TEMPORARY WAGES-HOURLY</v>
      </c>
      <c r="C97" s="10"/>
      <c r="D97" s="6"/>
      <c r="E97" s="2"/>
      <c r="F97" s="7">
        <f t="shared" si="30"/>
        <v>0</v>
      </c>
      <c r="G97" s="2"/>
      <c r="H97" s="6"/>
      <c r="I97" s="2"/>
      <c r="J97" s="7">
        <f t="shared" si="31"/>
        <v>0</v>
      </c>
      <c r="K97" s="2"/>
      <c r="L97" s="6">
        <f t="shared" si="32"/>
        <v>0</v>
      </c>
      <c r="M97" s="2"/>
      <c r="N97" s="7">
        <f t="shared" si="33"/>
        <v>0</v>
      </c>
      <c r="O97" s="10"/>
      <c r="P97" s="6">
        <v>5379.19</v>
      </c>
      <c r="Q97" s="2"/>
      <c r="R97" s="7">
        <f t="shared" si="34"/>
        <v>0.25240288064144384</v>
      </c>
      <c r="S97" s="2"/>
      <c r="T97" s="6">
        <v>7121.65</v>
      </c>
      <c r="U97" s="2"/>
      <c r="V97" s="7">
        <f t="shared" si="35"/>
        <v>8.6671587709598544E-3</v>
      </c>
      <c r="W97" s="2"/>
      <c r="X97" s="6">
        <f t="shared" si="36"/>
        <v>-1742.46</v>
      </c>
      <c r="Y97" s="2"/>
      <c r="Z97" s="7">
        <f t="shared" si="37"/>
        <v>-0.24467082768740392</v>
      </c>
    </row>
    <row r="98" spans="1:26" s="23" customFormat="1" hidden="1" outlineLevel="2" x14ac:dyDescent="0.25">
      <c r="A98" s="27"/>
      <c r="B98" s="10" t="str">
        <f>CONCATENATE("          ", "6006", " - ", "TEMPORARY PART TIME")</f>
        <v xml:space="preserve">          6006 - TEMPORARY PART TIME</v>
      </c>
      <c r="C98" s="10"/>
      <c r="D98" s="6"/>
      <c r="E98" s="2"/>
      <c r="F98" s="7">
        <f t="shared" si="30"/>
        <v>0</v>
      </c>
      <c r="G98" s="2"/>
      <c r="H98" s="6"/>
      <c r="I98" s="2"/>
      <c r="J98" s="7">
        <f t="shared" si="31"/>
        <v>0</v>
      </c>
      <c r="K98" s="2"/>
      <c r="L98" s="6">
        <f t="shared" si="32"/>
        <v>0</v>
      </c>
      <c r="M98" s="2"/>
      <c r="N98" s="7">
        <f t="shared" si="33"/>
        <v>0</v>
      </c>
      <c r="O98" s="10"/>
      <c r="P98" s="6"/>
      <c r="Q98" s="2"/>
      <c r="R98" s="7">
        <f t="shared" si="34"/>
        <v>0</v>
      </c>
      <c r="S98" s="2"/>
      <c r="T98" s="6">
        <v>25.5</v>
      </c>
      <c r="U98" s="2"/>
      <c r="V98" s="7">
        <f t="shared" si="35"/>
        <v>3.103389645088937E-5</v>
      </c>
      <c r="W98" s="2"/>
      <c r="X98" s="6">
        <f t="shared" si="36"/>
        <v>-25.5</v>
      </c>
      <c r="Y98" s="2"/>
      <c r="Z98" s="7">
        <f t="shared" si="37"/>
        <v>-1</v>
      </c>
    </row>
    <row r="99" spans="1:26" s="23" customFormat="1" hidden="1" outlineLevel="2" x14ac:dyDescent="0.25">
      <c r="A99" s="27"/>
      <c r="B99" s="10" t="str">
        <f>CONCATENATE("          ", "6007", " - ", "STUDENT HOURLY")</f>
        <v xml:space="preserve">          6007 - STUDENT HOURLY</v>
      </c>
      <c r="C99" s="10"/>
      <c r="D99" s="6"/>
      <c r="E99" s="2"/>
      <c r="F99" s="7">
        <f t="shared" si="30"/>
        <v>0</v>
      </c>
      <c r="G99" s="2"/>
      <c r="H99" s="6"/>
      <c r="I99" s="2"/>
      <c r="J99" s="7">
        <f t="shared" si="31"/>
        <v>0</v>
      </c>
      <c r="K99" s="2"/>
      <c r="L99" s="6">
        <f t="shared" si="32"/>
        <v>0</v>
      </c>
      <c r="M99" s="2"/>
      <c r="N99" s="7">
        <f t="shared" si="33"/>
        <v>0</v>
      </c>
      <c r="O99" s="10"/>
      <c r="P99" s="6">
        <v>2773.35</v>
      </c>
      <c r="Q99" s="2"/>
      <c r="R99" s="7">
        <f t="shared" si="34"/>
        <v>0.13013140064339582</v>
      </c>
      <c r="S99" s="2"/>
      <c r="T99" s="6">
        <v>90182.3</v>
      </c>
      <c r="U99" s="2"/>
      <c r="V99" s="7">
        <f t="shared" si="35"/>
        <v>0.10975326117266826</v>
      </c>
      <c r="W99" s="2"/>
      <c r="X99" s="6">
        <f t="shared" si="36"/>
        <v>-87408.95</v>
      </c>
      <c r="Y99" s="2"/>
      <c r="Z99" s="7">
        <f t="shared" si="37"/>
        <v>-0.96924729131991527</v>
      </c>
    </row>
    <row r="100" spans="1:26" s="26" customFormat="1" outlineLevel="1" collapsed="1" x14ac:dyDescent="0.25">
      <c r="A100" s="25"/>
      <c r="B100" s="12" t="str">
        <f>CONCATENATE("     ","Advertising/Promo                                 ")</f>
        <v xml:space="preserve">     Advertising/Promo                                 </v>
      </c>
      <c r="C100" s="12"/>
      <c r="D100" s="1">
        <f>SUM(OSRRefD22_2x_0)</f>
        <v>0</v>
      </c>
      <c r="E100" s="1"/>
      <c r="F100" s="5">
        <f t="shared" ref="F100:F106" si="38">IF(D$12=0,0,D100/D$12)</f>
        <v>0</v>
      </c>
      <c r="G100" s="1"/>
      <c r="H100" s="1">
        <f>SUM(OSRRefH22_2x_0)</f>
        <v>0</v>
      </c>
      <c r="I100" s="1"/>
      <c r="J100" s="5">
        <f t="shared" ref="J100:J106" si="39">IF(H$12=0,0,H100/H$12)</f>
        <v>0</v>
      </c>
      <c r="K100" s="1"/>
      <c r="L100" s="1">
        <f t="shared" ref="L100:L106" si="40">+D100-H100</f>
        <v>0</v>
      </c>
      <c r="M100" s="1"/>
      <c r="N100" s="5">
        <f t="shared" ref="N100:N106" si="41">IF(H100=0,0,L100/H100)</f>
        <v>0</v>
      </c>
      <c r="O100" s="12"/>
      <c r="P100" s="1">
        <f>SUM(OSRRefP22_2x_0)</f>
        <v>124.72</v>
      </c>
      <c r="Q100" s="1"/>
      <c r="R100" s="5">
        <f t="shared" ref="R100:R106" si="42">IF(P$12=0,0,P100/P$12)</f>
        <v>5.8521240695347957E-3</v>
      </c>
      <c r="S100" s="1"/>
      <c r="T100" s="1">
        <f>SUM(OSRRefT22_2x_0)</f>
        <v>2145.38</v>
      </c>
      <c r="U100" s="1"/>
      <c r="V100" s="5">
        <f t="shared" ref="V100:V106" si="43">IF(T$12=0,0,T100/T$12)</f>
        <v>2.6109608144238841E-3</v>
      </c>
      <c r="W100" s="1"/>
      <c r="X100" s="1">
        <f t="shared" ref="X100:X106" si="44">+P100-T100</f>
        <v>-2020.66</v>
      </c>
      <c r="Y100" s="1"/>
      <c r="Z100" s="5">
        <f t="shared" ref="Z100:Z106" si="45">IF(T100=0,0,X100/T100)</f>
        <v>-0.94186577669224103</v>
      </c>
    </row>
    <row r="101" spans="1:26" s="23" customFormat="1" hidden="1" outlineLevel="2" x14ac:dyDescent="0.25">
      <c r="A101" s="27"/>
      <c r="B101" s="10" t="str">
        <f>CONCATENATE("          ", "6362", " - ", "ADVERTISING EXPENSE")</f>
        <v xml:space="preserve">          6362 - ADVERTISING EXPENSE</v>
      </c>
      <c r="C101" s="10"/>
      <c r="D101" s="6"/>
      <c r="E101" s="2"/>
      <c r="F101" s="7">
        <f t="shared" si="38"/>
        <v>0</v>
      </c>
      <c r="G101" s="2"/>
      <c r="H101" s="6"/>
      <c r="I101" s="2"/>
      <c r="J101" s="7">
        <f t="shared" si="39"/>
        <v>0</v>
      </c>
      <c r="K101" s="2"/>
      <c r="L101" s="6">
        <f t="shared" si="40"/>
        <v>0</v>
      </c>
      <c r="M101" s="2"/>
      <c r="N101" s="7">
        <f t="shared" si="41"/>
        <v>0</v>
      </c>
      <c r="O101" s="10"/>
      <c r="P101" s="6">
        <v>124.72</v>
      </c>
      <c r="Q101" s="2"/>
      <c r="R101" s="7">
        <f t="shared" si="42"/>
        <v>5.8521240695347957E-3</v>
      </c>
      <c r="S101" s="2"/>
      <c r="T101" s="6">
        <v>2145.38</v>
      </c>
      <c r="U101" s="2"/>
      <c r="V101" s="7">
        <f t="shared" si="43"/>
        <v>2.6109608144238841E-3</v>
      </c>
      <c r="W101" s="2"/>
      <c r="X101" s="6">
        <f t="shared" si="44"/>
        <v>-2020.66</v>
      </c>
      <c r="Y101" s="2"/>
      <c r="Z101" s="7">
        <f t="shared" si="45"/>
        <v>-0.94186577669224103</v>
      </c>
    </row>
    <row r="102" spans="1:26" s="26" customFormat="1" outlineLevel="1" collapsed="1" x14ac:dyDescent="0.25">
      <c r="A102" s="25"/>
      <c r="B102" s="12" t="str">
        <f>CONCATENATE("     ","Bad Debts/Over/Short                              ")</f>
        <v xml:space="preserve">     Bad Debts/Over/Short                              </v>
      </c>
      <c r="C102" s="12"/>
      <c r="D102" s="1">
        <f>SUM(OSRRefD22_3x_0)</f>
        <v>0</v>
      </c>
      <c r="E102" s="1"/>
      <c r="F102" s="5">
        <f t="shared" si="38"/>
        <v>0</v>
      </c>
      <c r="G102" s="1"/>
      <c r="H102" s="1">
        <f>SUM(OSRRefH22_3x_0)</f>
        <v>0</v>
      </c>
      <c r="I102" s="1"/>
      <c r="J102" s="5">
        <f t="shared" si="39"/>
        <v>0</v>
      </c>
      <c r="K102" s="1"/>
      <c r="L102" s="1">
        <f t="shared" si="40"/>
        <v>0</v>
      </c>
      <c r="M102" s="1"/>
      <c r="N102" s="5">
        <f t="shared" si="41"/>
        <v>0</v>
      </c>
      <c r="O102" s="12"/>
      <c r="P102" s="1">
        <f>SUM(OSRRefP22_3x_0)</f>
        <v>1.1000000000000001</v>
      </c>
      <c r="Q102" s="1"/>
      <c r="R102" s="5">
        <f t="shared" si="42"/>
        <v>5.1614307861516002E-5</v>
      </c>
      <c r="S102" s="1"/>
      <c r="T102" s="1">
        <f>SUM(OSRRefT22_3x_0)</f>
        <v>-55.84</v>
      </c>
      <c r="U102" s="1"/>
      <c r="V102" s="5">
        <f t="shared" si="43"/>
        <v>-6.7958148149712254E-5</v>
      </c>
      <c r="W102" s="1"/>
      <c r="X102" s="1">
        <f t="shared" si="44"/>
        <v>56.940000000000005</v>
      </c>
      <c r="Y102" s="1"/>
      <c r="Z102" s="5">
        <f t="shared" si="45"/>
        <v>-1.0196991404011462</v>
      </c>
    </row>
    <row r="103" spans="1:26" s="23" customFormat="1" hidden="1" outlineLevel="2" x14ac:dyDescent="0.25">
      <c r="A103" s="27"/>
      <c r="B103" s="10" t="str">
        <f>CONCATENATE("          ", "6272", " - ", "CASH (OVER/SHORT)")</f>
        <v xml:space="preserve">          6272 - CASH (OVER/SHORT)</v>
      </c>
      <c r="C103" s="10"/>
      <c r="D103" s="6"/>
      <c r="E103" s="2"/>
      <c r="F103" s="7">
        <f t="shared" si="38"/>
        <v>0</v>
      </c>
      <c r="G103" s="2"/>
      <c r="H103" s="6"/>
      <c r="I103" s="2"/>
      <c r="J103" s="7">
        <f t="shared" si="39"/>
        <v>0</v>
      </c>
      <c r="K103" s="2"/>
      <c r="L103" s="6">
        <f t="shared" si="40"/>
        <v>0</v>
      </c>
      <c r="M103" s="2"/>
      <c r="N103" s="7">
        <f t="shared" si="41"/>
        <v>0</v>
      </c>
      <c r="O103" s="10"/>
      <c r="P103" s="6">
        <v>1.1000000000000001</v>
      </c>
      <c r="Q103" s="2"/>
      <c r="R103" s="7">
        <f t="shared" si="42"/>
        <v>5.1614307861516002E-5</v>
      </c>
      <c r="S103" s="2"/>
      <c r="T103" s="6">
        <v>-55.84</v>
      </c>
      <c r="U103" s="2"/>
      <c r="V103" s="7">
        <f t="shared" si="43"/>
        <v>-6.7958148149712254E-5</v>
      </c>
      <c r="W103" s="2"/>
      <c r="X103" s="6">
        <f t="shared" si="44"/>
        <v>56.940000000000005</v>
      </c>
      <c r="Y103" s="2"/>
      <c r="Z103" s="7">
        <f t="shared" si="45"/>
        <v>-1.0196991404011462</v>
      </c>
    </row>
    <row r="104" spans="1:26" s="26" customFormat="1" outlineLevel="1" collapsed="1" x14ac:dyDescent="0.25">
      <c r="A104" s="25"/>
      <c r="B104" s="12" t="str">
        <f>CONCATENATE("     ","Discounts and Markdowns                           ")</f>
        <v xml:space="preserve">     Discounts and Markdowns                           </v>
      </c>
      <c r="C104" s="12"/>
      <c r="D104" s="1">
        <f>SUM(OSRRefD22_4x_0)</f>
        <v>0</v>
      </c>
      <c r="E104" s="1"/>
      <c r="F104" s="5">
        <f t="shared" si="38"/>
        <v>0</v>
      </c>
      <c r="G104" s="1"/>
      <c r="H104" s="1">
        <f>SUM(OSRRefH22_4x_0)</f>
        <v>1720.37</v>
      </c>
      <c r="I104" s="1"/>
      <c r="J104" s="5">
        <f t="shared" si="39"/>
        <v>0.24639262814315763</v>
      </c>
      <c r="K104" s="1"/>
      <c r="L104" s="1">
        <f t="shared" si="40"/>
        <v>-1720.37</v>
      </c>
      <c r="M104" s="1"/>
      <c r="N104" s="5">
        <f t="shared" si="41"/>
        <v>-1</v>
      </c>
      <c r="O104" s="12"/>
      <c r="P104" s="1">
        <f>SUM(OSRRefP22_4x_0)</f>
        <v>0</v>
      </c>
      <c r="Q104" s="1"/>
      <c r="R104" s="5">
        <f t="shared" si="42"/>
        <v>0</v>
      </c>
      <c r="S104" s="1"/>
      <c r="T104" s="1">
        <f>SUM(OSRRefT22_4x_0)</f>
        <v>20863.03</v>
      </c>
      <c r="U104" s="1"/>
      <c r="V104" s="5">
        <f t="shared" si="43"/>
        <v>2.5390631869482292E-2</v>
      </c>
      <c r="W104" s="1"/>
      <c r="X104" s="1">
        <f t="shared" si="44"/>
        <v>-20863.03</v>
      </c>
      <c r="Y104" s="1"/>
      <c r="Z104" s="5">
        <f t="shared" si="45"/>
        <v>-1</v>
      </c>
    </row>
    <row r="105" spans="1:26" s="23" customFormat="1" hidden="1" outlineLevel="2" x14ac:dyDescent="0.25">
      <c r="A105" s="27"/>
      <c r="B105" s="10" t="str">
        <f>CONCATENATE("          ", "6382", " - ", "DISCOUNTS/MARK DOWNS")</f>
        <v xml:space="preserve">          6382 - DISCOUNTS/MARK DOWNS</v>
      </c>
      <c r="C105" s="10"/>
      <c r="D105" s="6"/>
      <c r="E105" s="2"/>
      <c r="F105" s="7">
        <f t="shared" si="38"/>
        <v>0</v>
      </c>
      <c r="G105" s="2"/>
      <c r="H105" s="6">
        <v>1720.37</v>
      </c>
      <c r="I105" s="2"/>
      <c r="J105" s="7">
        <f t="shared" si="39"/>
        <v>0.24639262814315763</v>
      </c>
      <c r="K105" s="2"/>
      <c r="L105" s="6">
        <f t="shared" si="40"/>
        <v>-1720.37</v>
      </c>
      <c r="M105" s="2"/>
      <c r="N105" s="7">
        <f t="shared" si="41"/>
        <v>-1</v>
      </c>
      <c r="O105" s="10"/>
      <c r="P105" s="6">
        <v>0</v>
      </c>
      <c r="Q105" s="2"/>
      <c r="R105" s="7">
        <f t="shared" si="42"/>
        <v>0</v>
      </c>
      <c r="S105" s="2"/>
      <c r="T105" s="6">
        <v>20863.03</v>
      </c>
      <c r="U105" s="2"/>
      <c r="V105" s="7">
        <f t="shared" si="43"/>
        <v>2.5390631869482292E-2</v>
      </c>
      <c r="W105" s="2"/>
      <c r="X105" s="6">
        <f t="shared" si="44"/>
        <v>-20863.03</v>
      </c>
      <c r="Y105" s="2"/>
      <c r="Z105" s="7">
        <f t="shared" si="45"/>
        <v>-1</v>
      </c>
    </row>
    <row r="106" spans="1:26" s="23" customFormat="1" hidden="1" outlineLevel="2" x14ac:dyDescent="0.25">
      <c r="A106" s="27"/>
      <c r="B106" s="10" t="str">
        <f>CONCATENATE("          ", "9175", " - ", "EARNED DISCOUNTS")</f>
        <v xml:space="preserve">          9175 - EARNED DISCOUNTS</v>
      </c>
      <c r="C106" s="10"/>
      <c r="D106" s="6">
        <v>0</v>
      </c>
      <c r="E106" s="2"/>
      <c r="F106" s="7">
        <f t="shared" si="38"/>
        <v>0</v>
      </c>
      <c r="G106" s="2"/>
      <c r="H106" s="6"/>
      <c r="I106" s="2"/>
      <c r="J106" s="7">
        <f t="shared" si="39"/>
        <v>0</v>
      </c>
      <c r="K106" s="2"/>
      <c r="L106" s="6">
        <f t="shared" si="40"/>
        <v>0</v>
      </c>
      <c r="M106" s="2"/>
      <c r="N106" s="7">
        <f t="shared" si="41"/>
        <v>0</v>
      </c>
      <c r="O106" s="10"/>
      <c r="P106" s="6">
        <v>0</v>
      </c>
      <c r="Q106" s="2"/>
      <c r="R106" s="7">
        <f t="shared" si="42"/>
        <v>0</v>
      </c>
      <c r="S106" s="2"/>
      <c r="T106" s="6">
        <v>0</v>
      </c>
      <c r="U106" s="2"/>
      <c r="V106" s="7">
        <f t="shared" si="43"/>
        <v>0</v>
      </c>
      <c r="W106" s="2"/>
      <c r="X106" s="6">
        <f t="shared" si="44"/>
        <v>0</v>
      </c>
      <c r="Y106" s="2"/>
      <c r="Z106" s="7">
        <f t="shared" si="45"/>
        <v>0</v>
      </c>
    </row>
    <row r="107" spans="1:26" s="26" customFormat="1" outlineLevel="1" collapsed="1" x14ac:dyDescent="0.25">
      <c r="A107" s="25"/>
      <c r="B107" s="12" t="str">
        <f>CONCATENATE("     ","Freight out/Postage                               ")</f>
        <v xml:space="preserve">     Freight out/Postage                               </v>
      </c>
      <c r="C107" s="12"/>
      <c r="D107" s="1">
        <f>SUM(OSRRefD22_5x_0)</f>
        <v>0</v>
      </c>
      <c r="E107" s="1"/>
      <c r="F107" s="5">
        <f t="shared" ref="F107:F115" si="46">IF(D$12=0,0,D107/D$12)</f>
        <v>0</v>
      </c>
      <c r="G107" s="1"/>
      <c r="H107" s="1">
        <f>SUM(OSRRefH22_5x_0)</f>
        <v>0</v>
      </c>
      <c r="I107" s="1"/>
      <c r="J107" s="5">
        <f t="shared" ref="J107:J115" si="47">IF(H$12=0,0,H107/H$12)</f>
        <v>0</v>
      </c>
      <c r="K107" s="1"/>
      <c r="L107" s="1">
        <f t="shared" ref="L107:L115" si="48">+D107-H107</f>
        <v>0</v>
      </c>
      <c r="M107" s="1"/>
      <c r="N107" s="5">
        <f t="shared" ref="N107:N115" si="49">IF(H107=0,0,L107/H107)</f>
        <v>0</v>
      </c>
      <c r="O107" s="12"/>
      <c r="P107" s="1">
        <f>SUM(OSRRefP22_5x_0)</f>
        <v>0</v>
      </c>
      <c r="Q107" s="1"/>
      <c r="R107" s="5">
        <f t="shared" ref="R107:R115" si="50">IF(P$12=0,0,P107/P$12)</f>
        <v>0</v>
      </c>
      <c r="S107" s="1"/>
      <c r="T107" s="1">
        <f>SUM(OSRRefT22_5x_0)</f>
        <v>15.81</v>
      </c>
      <c r="U107" s="1"/>
      <c r="V107" s="5">
        <f t="shared" ref="V107:V115" si="51">IF(T$12=0,0,T107/T$12)</f>
        <v>1.9241015799551409E-5</v>
      </c>
      <c r="W107" s="1"/>
      <c r="X107" s="1">
        <f t="shared" ref="X107:X115" si="52">+P107-T107</f>
        <v>-15.81</v>
      </c>
      <c r="Y107" s="1"/>
      <c r="Z107" s="5">
        <f t="shared" ref="Z107:Z115" si="53">IF(T107=0,0,X107/T107)</f>
        <v>-1</v>
      </c>
    </row>
    <row r="108" spans="1:26" s="23" customFormat="1" hidden="1" outlineLevel="2" x14ac:dyDescent="0.25">
      <c r="A108" s="27"/>
      <c r="B108" s="10" t="str">
        <f>CONCATENATE("          ", "6305", " - ", "FREIGHT OUT")</f>
        <v xml:space="preserve">          6305 - FREIGHT OUT</v>
      </c>
      <c r="C108" s="10"/>
      <c r="D108" s="6"/>
      <c r="E108" s="2"/>
      <c r="F108" s="7">
        <f t="shared" si="46"/>
        <v>0</v>
      </c>
      <c r="G108" s="2"/>
      <c r="H108" s="6"/>
      <c r="I108" s="2"/>
      <c r="J108" s="7">
        <f t="shared" si="47"/>
        <v>0</v>
      </c>
      <c r="K108" s="2"/>
      <c r="L108" s="6">
        <f t="shared" si="48"/>
        <v>0</v>
      </c>
      <c r="M108" s="2"/>
      <c r="N108" s="7">
        <f t="shared" si="49"/>
        <v>0</v>
      </c>
      <c r="O108" s="10"/>
      <c r="P108" s="6">
        <v>0</v>
      </c>
      <c r="Q108" s="2"/>
      <c r="R108" s="7">
        <f t="shared" si="50"/>
        <v>0</v>
      </c>
      <c r="S108" s="2"/>
      <c r="T108" s="6">
        <v>15.81</v>
      </c>
      <c r="U108" s="2"/>
      <c r="V108" s="7">
        <f t="shared" si="51"/>
        <v>1.9241015799551409E-5</v>
      </c>
      <c r="W108" s="2"/>
      <c r="X108" s="6">
        <f t="shared" si="52"/>
        <v>-15.81</v>
      </c>
      <c r="Y108" s="2"/>
      <c r="Z108" s="7">
        <f t="shared" si="53"/>
        <v>-1</v>
      </c>
    </row>
    <row r="109" spans="1:26" s="26" customFormat="1" outlineLevel="1" collapsed="1" x14ac:dyDescent="0.25">
      <c r="A109" s="25"/>
      <c r="B109" s="12" t="str">
        <f>CONCATENATE("     ","General                                           ")</f>
        <v xml:space="preserve">     General                                           </v>
      </c>
      <c r="C109" s="12"/>
      <c r="D109" s="1">
        <f>SUM(OSRRefD22_6x_0)</f>
        <v>0</v>
      </c>
      <c r="E109" s="1"/>
      <c r="F109" s="5">
        <f t="shared" si="46"/>
        <v>0</v>
      </c>
      <c r="G109" s="1"/>
      <c r="H109" s="1">
        <f>SUM(OSRRefH22_6x_0)</f>
        <v>0</v>
      </c>
      <c r="I109" s="1"/>
      <c r="J109" s="5">
        <f t="shared" si="47"/>
        <v>0</v>
      </c>
      <c r="K109" s="1"/>
      <c r="L109" s="1">
        <f t="shared" si="48"/>
        <v>0</v>
      </c>
      <c r="M109" s="1"/>
      <c r="N109" s="5">
        <f t="shared" si="49"/>
        <v>0</v>
      </c>
      <c r="O109" s="12"/>
      <c r="P109" s="1">
        <f>SUM(OSRRefP22_6x_0)</f>
        <v>879.55</v>
      </c>
      <c r="Q109" s="1"/>
      <c r="R109" s="5">
        <f t="shared" si="50"/>
        <v>4.1270331345087632E-2</v>
      </c>
      <c r="S109" s="1"/>
      <c r="T109" s="1">
        <f>SUM(OSRRefT22_6x_0)</f>
        <v>954.05</v>
      </c>
      <c r="U109" s="1"/>
      <c r="V109" s="5">
        <f t="shared" si="51"/>
        <v>1.1610936827047451E-3</v>
      </c>
      <c r="W109" s="1"/>
      <c r="X109" s="1">
        <f t="shared" si="52"/>
        <v>-74.5</v>
      </c>
      <c r="Y109" s="1"/>
      <c r="Z109" s="5">
        <f t="shared" si="53"/>
        <v>-7.8088150516220325E-2</v>
      </c>
    </row>
    <row r="110" spans="1:26" s="23" customFormat="1" hidden="1" outlineLevel="2" x14ac:dyDescent="0.25">
      <c r="A110" s="27"/>
      <c r="B110" s="10" t="str">
        <f>CONCATENATE("          ", "6279", " - ", "GENERAL EXPENSE")</f>
        <v xml:space="preserve">          6279 - GENERAL EXPENSE</v>
      </c>
      <c r="C110" s="10"/>
      <c r="D110" s="6"/>
      <c r="E110" s="2"/>
      <c r="F110" s="7">
        <f t="shared" si="46"/>
        <v>0</v>
      </c>
      <c r="G110" s="2"/>
      <c r="H110" s="6"/>
      <c r="I110" s="2"/>
      <c r="J110" s="7">
        <f t="shared" si="47"/>
        <v>0</v>
      </c>
      <c r="K110" s="2"/>
      <c r="L110" s="6">
        <f t="shared" si="48"/>
        <v>0</v>
      </c>
      <c r="M110" s="2"/>
      <c r="N110" s="7">
        <f t="shared" si="49"/>
        <v>0</v>
      </c>
      <c r="O110" s="10"/>
      <c r="P110" s="6">
        <v>879.55</v>
      </c>
      <c r="Q110" s="2"/>
      <c r="R110" s="7">
        <f t="shared" si="50"/>
        <v>4.1270331345087632E-2</v>
      </c>
      <c r="S110" s="2"/>
      <c r="T110" s="6">
        <v>954.05</v>
      </c>
      <c r="U110" s="2"/>
      <c r="V110" s="7">
        <f t="shared" si="51"/>
        <v>1.1610936827047451E-3</v>
      </c>
      <c r="W110" s="2"/>
      <c r="X110" s="6">
        <f t="shared" si="52"/>
        <v>-74.5</v>
      </c>
      <c r="Y110" s="2"/>
      <c r="Z110" s="7">
        <f t="shared" si="53"/>
        <v>-7.8088150516220325E-2</v>
      </c>
    </row>
    <row r="111" spans="1:26" s="26" customFormat="1" outlineLevel="1" collapsed="1" x14ac:dyDescent="0.25">
      <c r="A111" s="25"/>
      <c r="B111" s="12" t="str">
        <f>CONCATENATE("     ","Professional Services                             ")</f>
        <v xml:space="preserve">     Professional Services                             </v>
      </c>
      <c r="C111" s="12"/>
      <c r="D111" s="1">
        <f>SUM(OSRRefD22_7x_0)</f>
        <v>0</v>
      </c>
      <c r="E111" s="1"/>
      <c r="F111" s="5">
        <f t="shared" si="46"/>
        <v>0</v>
      </c>
      <c r="G111" s="1"/>
      <c r="H111" s="1">
        <f>SUM(OSRRefH22_7x_0)</f>
        <v>0</v>
      </c>
      <c r="I111" s="1"/>
      <c r="J111" s="5">
        <f t="shared" si="47"/>
        <v>0</v>
      </c>
      <c r="K111" s="1"/>
      <c r="L111" s="1">
        <f t="shared" si="48"/>
        <v>0</v>
      </c>
      <c r="M111" s="1"/>
      <c r="N111" s="5">
        <f t="shared" si="49"/>
        <v>0</v>
      </c>
      <c r="O111" s="12"/>
      <c r="P111" s="1">
        <f>SUM(OSRRefP22_7x_0)</f>
        <v>0</v>
      </c>
      <c r="Q111" s="1"/>
      <c r="R111" s="5">
        <f t="shared" si="50"/>
        <v>0</v>
      </c>
      <c r="S111" s="1"/>
      <c r="T111" s="1">
        <f>SUM(OSRRefT22_7x_0)</f>
        <v>791.15</v>
      </c>
      <c r="U111" s="1"/>
      <c r="V111" s="5">
        <f t="shared" si="51"/>
        <v>9.6284185008318134E-4</v>
      </c>
      <c r="W111" s="1"/>
      <c r="X111" s="1">
        <f t="shared" si="52"/>
        <v>-791.15</v>
      </c>
      <c r="Y111" s="1"/>
      <c r="Z111" s="5">
        <f t="shared" si="53"/>
        <v>-1</v>
      </c>
    </row>
    <row r="112" spans="1:26" s="23" customFormat="1" hidden="1" outlineLevel="2" x14ac:dyDescent="0.25">
      <c r="A112" s="27"/>
      <c r="B112" s="10" t="str">
        <f>CONCATENATE("          ", "6336", " - ", "PROFESSIONAL SERVICES")</f>
        <v xml:space="preserve">          6336 - PROFESSIONAL SERVICES</v>
      </c>
      <c r="C112" s="10"/>
      <c r="D112" s="6"/>
      <c r="E112" s="2"/>
      <c r="F112" s="7">
        <f t="shared" si="46"/>
        <v>0</v>
      </c>
      <c r="G112" s="2"/>
      <c r="H112" s="6"/>
      <c r="I112" s="2"/>
      <c r="J112" s="7">
        <f t="shared" si="47"/>
        <v>0</v>
      </c>
      <c r="K112" s="2"/>
      <c r="L112" s="6">
        <f t="shared" si="48"/>
        <v>0</v>
      </c>
      <c r="M112" s="2"/>
      <c r="N112" s="7">
        <f t="shared" si="49"/>
        <v>0</v>
      </c>
      <c r="O112" s="10"/>
      <c r="P112" s="6"/>
      <c r="Q112" s="2"/>
      <c r="R112" s="7">
        <f t="shared" si="50"/>
        <v>0</v>
      </c>
      <c r="S112" s="2"/>
      <c r="T112" s="6">
        <v>791.15</v>
      </c>
      <c r="U112" s="2"/>
      <c r="V112" s="7">
        <f t="shared" si="51"/>
        <v>9.6284185008318134E-4</v>
      </c>
      <c r="W112" s="2"/>
      <c r="X112" s="6">
        <f t="shared" si="52"/>
        <v>-791.15</v>
      </c>
      <c r="Y112" s="2"/>
      <c r="Z112" s="7">
        <f t="shared" si="53"/>
        <v>-1</v>
      </c>
    </row>
    <row r="113" spans="1:26" s="26" customFormat="1" outlineLevel="1" collapsed="1" x14ac:dyDescent="0.25">
      <c r="A113" s="25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SUM(OSRRefD22_8x_0)</f>
        <v>0</v>
      </c>
      <c r="E113" s="1"/>
      <c r="F113" s="5">
        <f t="shared" si="46"/>
        <v>0</v>
      </c>
      <c r="G113" s="1"/>
      <c r="H113" s="1">
        <f>SUM(OSRRefH22_8x_0)</f>
        <v>0</v>
      </c>
      <c r="I113" s="1"/>
      <c r="J113" s="5">
        <f t="shared" si="47"/>
        <v>0</v>
      </c>
      <c r="K113" s="1"/>
      <c r="L113" s="1">
        <f t="shared" si="48"/>
        <v>0</v>
      </c>
      <c r="M113" s="1"/>
      <c r="N113" s="5">
        <f t="shared" si="49"/>
        <v>0</v>
      </c>
      <c r="O113" s="12"/>
      <c r="P113" s="1">
        <f>SUM(OSRRefP22_8x_0)</f>
        <v>261.93</v>
      </c>
      <c r="Q113" s="1"/>
      <c r="R113" s="5">
        <f t="shared" si="50"/>
        <v>1.2290305143788078E-2</v>
      </c>
      <c r="S113" s="1"/>
      <c r="T113" s="1">
        <f>SUM(OSRRefT22_8x_0)</f>
        <v>190.64000000000001</v>
      </c>
      <c r="U113" s="1"/>
      <c r="V113" s="5">
        <f t="shared" si="51"/>
        <v>2.3201184389794313E-4</v>
      </c>
      <c r="W113" s="1"/>
      <c r="X113" s="1">
        <f t="shared" si="52"/>
        <v>71.289999999999992</v>
      </c>
      <c r="Y113" s="1"/>
      <c r="Z113" s="5">
        <f t="shared" si="53"/>
        <v>0.37395090222408722</v>
      </c>
    </row>
    <row r="114" spans="1:26" s="23" customFormat="1" hidden="1" outlineLevel="2" x14ac:dyDescent="0.25">
      <c r="A114" s="27"/>
      <c r="B114" s="10" t="str">
        <f>CONCATENATE("          ", "6373", " - ", "MAINTENANCE CONTRACTS")</f>
        <v xml:space="preserve">          6373 - MAINTENANCE CONTRACTS</v>
      </c>
      <c r="C114" s="10"/>
      <c r="D114" s="6"/>
      <c r="E114" s="2"/>
      <c r="F114" s="7">
        <f t="shared" si="46"/>
        <v>0</v>
      </c>
      <c r="G114" s="2"/>
      <c r="H114" s="6"/>
      <c r="I114" s="2"/>
      <c r="J114" s="7">
        <f t="shared" si="47"/>
        <v>0</v>
      </c>
      <c r="K114" s="2"/>
      <c r="L114" s="6">
        <f t="shared" si="48"/>
        <v>0</v>
      </c>
      <c r="M114" s="2"/>
      <c r="N114" s="7">
        <f t="shared" si="49"/>
        <v>0</v>
      </c>
      <c r="O114" s="10"/>
      <c r="P114" s="6">
        <v>261.93</v>
      </c>
      <c r="Q114" s="2"/>
      <c r="R114" s="7">
        <f t="shared" si="50"/>
        <v>1.2290305143788078E-2</v>
      </c>
      <c r="S114" s="2"/>
      <c r="T114" s="6">
        <v>180.84</v>
      </c>
      <c r="U114" s="2"/>
      <c r="V114" s="7">
        <f t="shared" si="51"/>
        <v>2.2008509153642486E-4</v>
      </c>
      <c r="W114" s="2"/>
      <c r="X114" s="6">
        <f t="shared" si="52"/>
        <v>81.09</v>
      </c>
      <c r="Y114" s="2"/>
      <c r="Z114" s="7">
        <f t="shared" si="53"/>
        <v>0.44840743198407434</v>
      </c>
    </row>
    <row r="115" spans="1:26" s="23" customFormat="1" hidden="1" outlineLevel="2" x14ac:dyDescent="0.25">
      <c r="A115" s="27"/>
      <c r="B115" s="10" t="str">
        <f>CONCATENATE("          ", "6375", " - ", "OUTSIDE REPAIRS &amp; MAINTENANCE")</f>
        <v xml:space="preserve">          6375 - OUTSIDE REPAIRS &amp; MAINTENANCE</v>
      </c>
      <c r="C115" s="10"/>
      <c r="D115" s="6"/>
      <c r="E115" s="2"/>
      <c r="F115" s="7">
        <f t="shared" si="46"/>
        <v>0</v>
      </c>
      <c r="G115" s="2"/>
      <c r="H115" s="6"/>
      <c r="I115" s="2"/>
      <c r="J115" s="7">
        <f t="shared" si="47"/>
        <v>0</v>
      </c>
      <c r="K115" s="2"/>
      <c r="L115" s="6">
        <f t="shared" si="48"/>
        <v>0</v>
      </c>
      <c r="M115" s="2"/>
      <c r="N115" s="7">
        <f t="shared" si="49"/>
        <v>0</v>
      </c>
      <c r="O115" s="10"/>
      <c r="P115" s="6"/>
      <c r="Q115" s="2"/>
      <c r="R115" s="7">
        <f t="shared" si="50"/>
        <v>0</v>
      </c>
      <c r="S115" s="2"/>
      <c r="T115" s="6">
        <v>9.8000000000000007</v>
      </c>
      <c r="U115" s="2"/>
      <c r="V115" s="7">
        <f t="shared" si="51"/>
        <v>1.1926752361518269E-5</v>
      </c>
      <c r="W115" s="2"/>
      <c r="X115" s="6">
        <f t="shared" si="52"/>
        <v>-9.8000000000000007</v>
      </c>
      <c r="Y115" s="2"/>
      <c r="Z115" s="7">
        <f t="shared" si="53"/>
        <v>-1</v>
      </c>
    </row>
    <row r="116" spans="1:26" s="26" customFormat="1" outlineLevel="1" collapsed="1" x14ac:dyDescent="0.25">
      <c r="A116" s="25"/>
      <c r="B116" s="12" t="str">
        <f>CONCATENATE("     ","Services                                          ")</f>
        <v xml:space="preserve">     Services                                          </v>
      </c>
      <c r="C116" s="12"/>
      <c r="D116" s="1">
        <f>SUM(OSRRefD22_9x_0)</f>
        <v>0</v>
      </c>
      <c r="E116" s="1"/>
      <c r="F116" s="5">
        <f t="shared" ref="F116:F118" si="54">IF(D$12=0,0,D116/D$12)</f>
        <v>0</v>
      </c>
      <c r="G116" s="1"/>
      <c r="H116" s="1">
        <f>SUM(OSRRefH22_9x_0)</f>
        <v>78.75</v>
      </c>
      <c r="I116" s="1"/>
      <c r="J116" s="5">
        <f t="shared" ref="J116:J118" si="55">IF(H$12=0,0,H116/H$12)</f>
        <v>1.127863161196351E-2</v>
      </c>
      <c r="K116" s="1"/>
      <c r="L116" s="1">
        <f t="shared" ref="L116:L118" si="56">+D116-H116</f>
        <v>-78.75</v>
      </c>
      <c r="M116" s="1"/>
      <c r="N116" s="5">
        <f t="shared" ref="N116:N118" si="57">IF(H116=0,0,L116/H116)</f>
        <v>-1</v>
      </c>
      <c r="O116" s="12"/>
      <c r="P116" s="1">
        <f>SUM(OSRRefP22_9x_0)</f>
        <v>18.5</v>
      </c>
      <c r="Q116" s="1"/>
      <c r="R116" s="5">
        <f t="shared" ref="R116:R118" si="58">IF(P$12=0,0,P116/P$12)</f>
        <v>8.6805881403458724E-4</v>
      </c>
      <c r="S116" s="1"/>
      <c r="T116" s="1">
        <f>SUM(OSRRefT22_9x_0)</f>
        <v>2093.91</v>
      </c>
      <c r="U116" s="1"/>
      <c r="V116" s="5">
        <f t="shared" ref="V116:V118" si="59">IF(T$12=0,0,T116/T$12)</f>
        <v>2.5483210242149708E-3</v>
      </c>
      <c r="W116" s="1"/>
      <c r="X116" s="1">
        <f t="shared" ref="X116:X118" si="60">+P116-T116</f>
        <v>-2075.41</v>
      </c>
      <c r="Y116" s="1"/>
      <c r="Z116" s="5">
        <f t="shared" ref="Z116:Z118" si="61">IF(T116=0,0,X116/T116)</f>
        <v>-0.99116485426785295</v>
      </c>
    </row>
    <row r="117" spans="1:26" s="23" customFormat="1" hidden="1" outlineLevel="2" x14ac:dyDescent="0.25">
      <c r="A117" s="27"/>
      <c r="B117" s="10" t="str">
        <f>CONCATENATE("          ", "6282", " - ", "JANITORIAL/EXTERMINATOR EXPENS")</f>
        <v xml:space="preserve">          6282 - JANITORIAL/EXTERMINATOR EXPENS</v>
      </c>
      <c r="C117" s="10"/>
      <c r="D117" s="6"/>
      <c r="E117" s="2"/>
      <c r="F117" s="7">
        <f t="shared" si="54"/>
        <v>0</v>
      </c>
      <c r="G117" s="2"/>
      <c r="H117" s="6"/>
      <c r="I117" s="2"/>
      <c r="J117" s="7">
        <f t="shared" si="55"/>
        <v>0</v>
      </c>
      <c r="K117" s="2"/>
      <c r="L117" s="6">
        <f t="shared" si="56"/>
        <v>0</v>
      </c>
      <c r="M117" s="2"/>
      <c r="N117" s="7">
        <f t="shared" si="57"/>
        <v>0</v>
      </c>
      <c r="O117" s="10"/>
      <c r="P117" s="6">
        <v>176</v>
      </c>
      <c r="Q117" s="2"/>
      <c r="R117" s="7">
        <f t="shared" si="58"/>
        <v>8.2582892578425601E-3</v>
      </c>
      <c r="S117" s="2"/>
      <c r="T117" s="6">
        <v>461.02</v>
      </c>
      <c r="U117" s="2"/>
      <c r="V117" s="7">
        <f t="shared" si="59"/>
        <v>5.6106850752113792E-4</v>
      </c>
      <c r="W117" s="2"/>
      <c r="X117" s="6">
        <f t="shared" si="60"/>
        <v>-285.02</v>
      </c>
      <c r="Y117" s="2"/>
      <c r="Z117" s="7">
        <f t="shared" si="61"/>
        <v>-0.61823782048501152</v>
      </c>
    </row>
    <row r="118" spans="1:26" s="23" customFormat="1" hidden="1" outlineLevel="2" x14ac:dyDescent="0.25">
      <c r="A118" s="27"/>
      <c r="B118" s="10" t="str">
        <f>CONCATENATE("          ", "6285", " - ", "JANITORIAL SERVICES")</f>
        <v xml:space="preserve">          6285 - JANITORIAL SERVICES</v>
      </c>
      <c r="C118" s="10"/>
      <c r="D118" s="6"/>
      <c r="E118" s="2"/>
      <c r="F118" s="7">
        <f t="shared" si="54"/>
        <v>0</v>
      </c>
      <c r="G118" s="2"/>
      <c r="H118" s="6">
        <v>78.75</v>
      </c>
      <c r="I118" s="2"/>
      <c r="J118" s="7">
        <f t="shared" si="55"/>
        <v>1.127863161196351E-2</v>
      </c>
      <c r="K118" s="2"/>
      <c r="L118" s="6">
        <f t="shared" si="56"/>
        <v>-78.75</v>
      </c>
      <c r="M118" s="2"/>
      <c r="N118" s="7">
        <f t="shared" si="57"/>
        <v>-1</v>
      </c>
      <c r="O118" s="10"/>
      <c r="P118" s="6">
        <v>-157.5</v>
      </c>
      <c r="Q118" s="2"/>
      <c r="R118" s="7">
        <f t="shared" si="58"/>
        <v>-7.3902304438079732E-3</v>
      </c>
      <c r="S118" s="2"/>
      <c r="T118" s="6">
        <v>1632.89</v>
      </c>
      <c r="U118" s="2"/>
      <c r="V118" s="7">
        <f t="shared" si="59"/>
        <v>1.9872525166938332E-3</v>
      </c>
      <c r="W118" s="2"/>
      <c r="X118" s="6">
        <f t="shared" si="60"/>
        <v>-1790.39</v>
      </c>
      <c r="Y118" s="2"/>
      <c r="Z118" s="7">
        <f t="shared" si="61"/>
        <v>-1.0964547520041155</v>
      </c>
    </row>
    <row r="119" spans="1:26" s="26" customFormat="1" outlineLevel="1" collapsed="1" x14ac:dyDescent="0.25">
      <c r="A119" s="25"/>
      <c r="B119" s="12" t="str">
        <f>CONCATENATE("     ","Subscriptions &amp; Dues                              ")</f>
        <v xml:space="preserve">     Subscriptions &amp; Dues                              </v>
      </c>
      <c r="C119" s="12"/>
      <c r="D119" s="1">
        <f>SUM(OSRRefD22_10x_0)</f>
        <v>0</v>
      </c>
      <c r="E119" s="1"/>
      <c r="F119" s="5">
        <f t="shared" ref="F119:F125" si="62">IF(D$12=0,0,D119/D$12)</f>
        <v>0</v>
      </c>
      <c r="G119" s="1"/>
      <c r="H119" s="1">
        <f>SUM(OSRRefH22_10x_0)</f>
        <v>0</v>
      </c>
      <c r="I119" s="1"/>
      <c r="J119" s="5">
        <f t="shared" ref="J119:J125" si="63">IF(H$12=0,0,H119/H$12)</f>
        <v>0</v>
      </c>
      <c r="K119" s="1"/>
      <c r="L119" s="1">
        <f t="shared" ref="L119:L125" si="64">+D119-H119</f>
        <v>0</v>
      </c>
      <c r="M119" s="1"/>
      <c r="N119" s="5">
        <f t="shared" ref="N119:N125" si="65">IF(H119=0,0,L119/H119)</f>
        <v>0</v>
      </c>
      <c r="O119" s="12"/>
      <c r="P119" s="1">
        <f>SUM(OSRRefP22_10x_0)</f>
        <v>0</v>
      </c>
      <c r="Q119" s="1"/>
      <c r="R119" s="5">
        <f t="shared" ref="R119:R125" si="66">IF(P$12=0,0,P119/P$12)</f>
        <v>0</v>
      </c>
      <c r="S119" s="1"/>
      <c r="T119" s="1">
        <f>SUM(OSRRefT22_10x_0)</f>
        <v>120</v>
      </c>
      <c r="U119" s="1"/>
      <c r="V119" s="5">
        <f t="shared" ref="V119:V125" si="67">IF(T$12=0,0,T119/T$12)</f>
        <v>1.4604186565124409E-4</v>
      </c>
      <c r="W119" s="1"/>
      <c r="X119" s="1">
        <f t="shared" ref="X119:X125" si="68">+P119-T119</f>
        <v>-120</v>
      </c>
      <c r="Y119" s="1"/>
      <c r="Z119" s="5">
        <f t="shared" ref="Z119:Z125" si="69">IF(T119=0,0,X119/T119)</f>
        <v>-1</v>
      </c>
    </row>
    <row r="120" spans="1:26" s="23" customFormat="1" hidden="1" outlineLevel="2" x14ac:dyDescent="0.25">
      <c r="A120" s="27"/>
      <c r="B120" s="10" t="str">
        <f>CONCATENATE("          ", "6258", " - ", "MEMBERSHIP DUES")</f>
        <v xml:space="preserve">          6258 - MEMBERSHIP DUES</v>
      </c>
      <c r="C120" s="10"/>
      <c r="D120" s="6"/>
      <c r="E120" s="2"/>
      <c r="F120" s="7">
        <f t="shared" si="62"/>
        <v>0</v>
      </c>
      <c r="G120" s="2"/>
      <c r="H120" s="6"/>
      <c r="I120" s="2"/>
      <c r="J120" s="7">
        <f t="shared" si="63"/>
        <v>0</v>
      </c>
      <c r="K120" s="2"/>
      <c r="L120" s="6">
        <f t="shared" si="64"/>
        <v>0</v>
      </c>
      <c r="M120" s="2"/>
      <c r="N120" s="7">
        <f t="shared" si="65"/>
        <v>0</v>
      </c>
      <c r="O120" s="10"/>
      <c r="P120" s="6"/>
      <c r="Q120" s="2"/>
      <c r="R120" s="7">
        <f t="shared" si="66"/>
        <v>0</v>
      </c>
      <c r="S120" s="2"/>
      <c r="T120" s="6">
        <v>120</v>
      </c>
      <c r="U120" s="2"/>
      <c r="V120" s="7">
        <f t="shared" si="67"/>
        <v>1.4604186565124409E-4</v>
      </c>
      <c r="W120" s="2"/>
      <c r="X120" s="6">
        <f t="shared" si="68"/>
        <v>-120</v>
      </c>
      <c r="Y120" s="2"/>
      <c r="Z120" s="7">
        <f t="shared" si="69"/>
        <v>-1</v>
      </c>
    </row>
    <row r="121" spans="1:26" s="26" customFormat="1" outlineLevel="1" collapsed="1" x14ac:dyDescent="0.25">
      <c r="A121" s="25"/>
      <c r="B121" s="12" t="str">
        <f>CONCATENATE("     ","Supplies                                          ")</f>
        <v xml:space="preserve">     Supplies                                          </v>
      </c>
      <c r="C121" s="12"/>
      <c r="D121" s="1">
        <f>SUM(OSRRefD22_11x_0)</f>
        <v>0</v>
      </c>
      <c r="E121" s="1"/>
      <c r="F121" s="5">
        <f t="shared" si="62"/>
        <v>0</v>
      </c>
      <c r="G121" s="1"/>
      <c r="H121" s="1">
        <f>SUM(OSRRefH22_11x_0)</f>
        <v>0</v>
      </c>
      <c r="I121" s="1"/>
      <c r="J121" s="5">
        <f t="shared" si="63"/>
        <v>0</v>
      </c>
      <c r="K121" s="1"/>
      <c r="L121" s="1">
        <f t="shared" si="64"/>
        <v>0</v>
      </c>
      <c r="M121" s="1"/>
      <c r="N121" s="5">
        <f t="shared" si="65"/>
        <v>0</v>
      </c>
      <c r="O121" s="12"/>
      <c r="P121" s="1">
        <f>SUM(OSRRefP22_11x_0)</f>
        <v>1892.27</v>
      </c>
      <c r="Q121" s="1"/>
      <c r="R121" s="5">
        <f t="shared" si="66"/>
        <v>8.8789278488282622E-2</v>
      </c>
      <c r="S121" s="1"/>
      <c r="T121" s="1">
        <f>SUM(OSRRefT22_11x_0)</f>
        <v>1967.59</v>
      </c>
      <c r="U121" s="1"/>
      <c r="V121" s="5">
        <f t="shared" si="67"/>
        <v>2.3945876203060948E-3</v>
      </c>
      <c r="W121" s="1"/>
      <c r="X121" s="1">
        <f t="shared" si="68"/>
        <v>-75.319999999999936</v>
      </c>
      <c r="Y121" s="1"/>
      <c r="Z121" s="5">
        <f t="shared" si="69"/>
        <v>-3.8280332792909058E-2</v>
      </c>
    </row>
    <row r="122" spans="1:26" s="23" customFormat="1" hidden="1" outlineLevel="2" x14ac:dyDescent="0.25">
      <c r="A122" s="27"/>
      <c r="B122" s="10" t="str">
        <f>CONCATENATE("          ", "6235", " - ", "COVID-19 EXPENSES")</f>
        <v xml:space="preserve">          6235 - COVID-19 EXPENSES</v>
      </c>
      <c r="C122" s="10"/>
      <c r="D122" s="6"/>
      <c r="E122" s="2"/>
      <c r="F122" s="7">
        <f t="shared" si="62"/>
        <v>0</v>
      </c>
      <c r="G122" s="2"/>
      <c r="H122" s="6"/>
      <c r="I122" s="2"/>
      <c r="J122" s="7">
        <f t="shared" si="63"/>
        <v>0</v>
      </c>
      <c r="K122" s="2"/>
      <c r="L122" s="6">
        <f t="shared" si="64"/>
        <v>0</v>
      </c>
      <c r="M122" s="2"/>
      <c r="N122" s="7">
        <f t="shared" si="65"/>
        <v>0</v>
      </c>
      <c r="O122" s="10"/>
      <c r="P122" s="6">
        <v>444.3</v>
      </c>
      <c r="Q122" s="2"/>
      <c r="R122" s="7">
        <f t="shared" si="66"/>
        <v>2.0847488166246871E-2</v>
      </c>
      <c r="S122" s="2"/>
      <c r="T122" s="6"/>
      <c r="U122" s="2"/>
      <c r="V122" s="7">
        <f t="shared" si="67"/>
        <v>0</v>
      </c>
      <c r="W122" s="2"/>
      <c r="X122" s="6">
        <f t="shared" si="68"/>
        <v>444.3</v>
      </c>
      <c r="Y122" s="2"/>
      <c r="Z122" s="7">
        <f t="shared" si="69"/>
        <v>0</v>
      </c>
    </row>
    <row r="123" spans="1:26" s="23" customFormat="1" hidden="1" outlineLevel="2" x14ac:dyDescent="0.25">
      <c r="A123" s="27"/>
      <c r="B123" s="10" t="str">
        <f>CONCATENATE("          ", "6241", " - ", "OFFICE EXPENSE")</f>
        <v xml:space="preserve">          6241 - OFFICE EXPENSE</v>
      </c>
      <c r="C123" s="10"/>
      <c r="D123" s="6"/>
      <c r="E123" s="2"/>
      <c r="F123" s="7">
        <f t="shared" si="62"/>
        <v>0</v>
      </c>
      <c r="G123" s="2"/>
      <c r="H123" s="6"/>
      <c r="I123" s="2"/>
      <c r="J123" s="7">
        <f t="shared" si="63"/>
        <v>0</v>
      </c>
      <c r="K123" s="2"/>
      <c r="L123" s="6">
        <f t="shared" si="64"/>
        <v>0</v>
      </c>
      <c r="M123" s="2"/>
      <c r="N123" s="7">
        <f t="shared" si="65"/>
        <v>0</v>
      </c>
      <c r="O123" s="10"/>
      <c r="P123" s="6">
        <v>225.24</v>
      </c>
      <c r="Q123" s="2"/>
      <c r="R123" s="7">
        <f t="shared" si="66"/>
        <v>1.056873336611624E-2</v>
      </c>
      <c r="S123" s="2"/>
      <c r="T123" s="6">
        <v>1673.46</v>
      </c>
      <c r="U123" s="2"/>
      <c r="V123" s="7">
        <f t="shared" si="67"/>
        <v>2.0366268374394244E-3</v>
      </c>
      <c r="W123" s="2"/>
      <c r="X123" s="6">
        <f t="shared" si="68"/>
        <v>-1448.22</v>
      </c>
      <c r="Y123" s="2"/>
      <c r="Z123" s="7">
        <f t="shared" si="69"/>
        <v>-0.86540461080635334</v>
      </c>
    </row>
    <row r="124" spans="1:26" s="23" customFormat="1" hidden="1" outlineLevel="2" x14ac:dyDescent="0.25">
      <c r="A124" s="27"/>
      <c r="B124" s="10" t="str">
        <f>CONCATENATE("          ", "6245", " - ", "PRINTING")</f>
        <v xml:space="preserve">          6245 - PRINTING</v>
      </c>
      <c r="C124" s="10"/>
      <c r="D124" s="6"/>
      <c r="E124" s="2"/>
      <c r="F124" s="7">
        <f t="shared" si="62"/>
        <v>0</v>
      </c>
      <c r="G124" s="2"/>
      <c r="H124" s="6"/>
      <c r="I124" s="2"/>
      <c r="J124" s="7">
        <f t="shared" si="63"/>
        <v>0</v>
      </c>
      <c r="K124" s="2"/>
      <c r="L124" s="6">
        <f t="shared" si="64"/>
        <v>0</v>
      </c>
      <c r="M124" s="2"/>
      <c r="N124" s="7">
        <f t="shared" si="65"/>
        <v>0</v>
      </c>
      <c r="O124" s="10"/>
      <c r="P124" s="6"/>
      <c r="Q124" s="2"/>
      <c r="R124" s="7">
        <f t="shared" si="66"/>
        <v>0</v>
      </c>
      <c r="S124" s="2"/>
      <c r="T124" s="6">
        <v>22.05</v>
      </c>
      <c r="U124" s="2"/>
      <c r="V124" s="7">
        <f t="shared" si="67"/>
        <v>2.6835192813416105E-5</v>
      </c>
      <c r="W124" s="2"/>
      <c r="X124" s="6">
        <f t="shared" si="68"/>
        <v>-22.05</v>
      </c>
      <c r="Y124" s="2"/>
      <c r="Z124" s="7">
        <f t="shared" si="69"/>
        <v>-1</v>
      </c>
    </row>
    <row r="125" spans="1:26" s="23" customFormat="1" hidden="1" outlineLevel="2" x14ac:dyDescent="0.25">
      <c r="A125" s="27"/>
      <c r="B125" s="10" t="str">
        <f>CONCATENATE("          ", "6247", " - ", "STORE SUPPLIES")</f>
        <v xml:space="preserve">          6247 - STORE SUPPLIES</v>
      </c>
      <c r="C125" s="10"/>
      <c r="D125" s="6"/>
      <c r="E125" s="2"/>
      <c r="F125" s="7">
        <f t="shared" si="62"/>
        <v>0</v>
      </c>
      <c r="G125" s="2"/>
      <c r="H125" s="6"/>
      <c r="I125" s="2"/>
      <c r="J125" s="7">
        <f t="shared" si="63"/>
        <v>0</v>
      </c>
      <c r="K125" s="2"/>
      <c r="L125" s="6">
        <f t="shared" si="64"/>
        <v>0</v>
      </c>
      <c r="M125" s="2"/>
      <c r="N125" s="7">
        <f t="shared" si="65"/>
        <v>0</v>
      </c>
      <c r="O125" s="10"/>
      <c r="P125" s="6">
        <v>1222.73</v>
      </c>
      <c r="Q125" s="2"/>
      <c r="R125" s="7">
        <f t="shared" si="66"/>
        <v>5.7373056955919509E-2</v>
      </c>
      <c r="S125" s="2"/>
      <c r="T125" s="6">
        <v>272.08</v>
      </c>
      <c r="U125" s="2"/>
      <c r="V125" s="7">
        <f t="shared" si="67"/>
        <v>3.3112559005325407E-4</v>
      </c>
      <c r="W125" s="2"/>
      <c r="X125" s="6">
        <f t="shared" si="68"/>
        <v>950.65000000000009</v>
      </c>
      <c r="Y125" s="2"/>
      <c r="Z125" s="7">
        <f t="shared" si="69"/>
        <v>3.4940091149661869</v>
      </c>
    </row>
    <row r="126" spans="1:26" s="26" customFormat="1" outlineLevel="1" collapsed="1" x14ac:dyDescent="0.25">
      <c r="A126" s="25"/>
      <c r="B126" s="12" t="str">
        <f>CONCATENATE("     ","Telephone/Data Lines                              ")</f>
        <v xml:space="preserve">     Telephone/Data Lines                              </v>
      </c>
      <c r="C126" s="12"/>
      <c r="D126" s="1">
        <f>SUM(OSRRefD22_12x_0)</f>
        <v>53</v>
      </c>
      <c r="E126" s="1"/>
      <c r="F126" s="5">
        <f t="shared" ref="F126:F131" si="70">IF(D$12=0,0,D126/D$12)</f>
        <v>0</v>
      </c>
      <c r="G126" s="1"/>
      <c r="H126" s="1">
        <f>SUM(OSRRefH22_12x_0)</f>
        <v>103</v>
      </c>
      <c r="I126" s="1"/>
      <c r="J126" s="5">
        <f t="shared" ref="J126:J131" si="71">IF(H$12=0,0,H126/H$12)</f>
        <v>1.4751734044853863E-2</v>
      </c>
      <c r="K126" s="1"/>
      <c r="L126" s="1">
        <f t="shared" ref="L126:L131" si="72">+D126-H126</f>
        <v>-50</v>
      </c>
      <c r="M126" s="1"/>
      <c r="N126" s="5">
        <f t="shared" ref="N126:N131" si="73">IF(H126=0,0,L126/H126)</f>
        <v>-0.4854368932038835</v>
      </c>
      <c r="O126" s="12"/>
      <c r="P126" s="1">
        <f>SUM(OSRRefP22_12x_0)</f>
        <v>631.04999999999995</v>
      </c>
      <c r="Q126" s="1"/>
      <c r="R126" s="5">
        <f t="shared" ref="R126:R131" si="74">IF(P$12=0,0,P126/P$12)</f>
        <v>2.961018997819061E-2</v>
      </c>
      <c r="S126" s="1"/>
      <c r="T126" s="1">
        <f>SUM(OSRRefT22_12x_0)</f>
        <v>1093.3699999999999</v>
      </c>
      <c r="U126" s="1"/>
      <c r="V126" s="5">
        <f t="shared" ref="V126:V131" si="75">IF(T$12=0,0,T126/T$12)</f>
        <v>1.3306482887258395E-3</v>
      </c>
      <c r="W126" s="1"/>
      <c r="X126" s="1">
        <f t="shared" ref="X126:X131" si="76">+P126-T126</f>
        <v>-462.31999999999994</v>
      </c>
      <c r="Y126" s="1"/>
      <c r="Z126" s="5">
        <f t="shared" ref="Z126:Z131" si="77">IF(T126=0,0,X126/T126)</f>
        <v>-0.42283947794433724</v>
      </c>
    </row>
    <row r="127" spans="1:26" s="23" customFormat="1" hidden="1" outlineLevel="2" x14ac:dyDescent="0.25">
      <c r="A127" s="27"/>
      <c r="B127" s="10" t="str">
        <f>CONCATENATE("          ", "6309", " - ", "TELEPHONE")</f>
        <v xml:space="preserve">          6309 - TELEPHONE</v>
      </c>
      <c r="C127" s="10"/>
      <c r="D127" s="6">
        <v>53</v>
      </c>
      <c r="E127" s="2"/>
      <c r="F127" s="7">
        <f t="shared" si="70"/>
        <v>0</v>
      </c>
      <c r="G127" s="2"/>
      <c r="H127" s="6">
        <v>103</v>
      </c>
      <c r="I127" s="2"/>
      <c r="J127" s="7">
        <f t="shared" si="71"/>
        <v>1.4751734044853863E-2</v>
      </c>
      <c r="K127" s="2"/>
      <c r="L127" s="6">
        <f t="shared" si="72"/>
        <v>-50</v>
      </c>
      <c r="M127" s="2"/>
      <c r="N127" s="7">
        <f t="shared" si="73"/>
        <v>-0.4854368932038835</v>
      </c>
      <c r="O127" s="10"/>
      <c r="P127" s="6">
        <v>631.04999999999995</v>
      </c>
      <c r="Q127" s="2"/>
      <c r="R127" s="7">
        <f t="shared" si="74"/>
        <v>2.961018997819061E-2</v>
      </c>
      <c r="S127" s="2"/>
      <c r="T127" s="6">
        <v>1093.3699999999999</v>
      </c>
      <c r="U127" s="2"/>
      <c r="V127" s="7">
        <f t="shared" si="75"/>
        <v>1.3306482887258395E-3</v>
      </c>
      <c r="W127" s="2"/>
      <c r="X127" s="6">
        <f t="shared" si="76"/>
        <v>-462.31999999999994</v>
      </c>
      <c r="Y127" s="2"/>
      <c r="Z127" s="7">
        <f t="shared" si="77"/>
        <v>-0.42283947794433724</v>
      </c>
    </row>
    <row r="128" spans="1:26" s="26" customFormat="1" outlineLevel="1" collapsed="1" x14ac:dyDescent="0.25">
      <c r="A128" s="25"/>
      <c r="B128" s="12" t="str">
        <f>CONCATENATE("     ","Training                                          ")</f>
        <v xml:space="preserve">     Training                                          </v>
      </c>
      <c r="C128" s="12"/>
      <c r="D128" s="1">
        <f>SUM(OSRRefD22_13x_0)</f>
        <v>0</v>
      </c>
      <c r="E128" s="1"/>
      <c r="F128" s="5">
        <f t="shared" si="70"/>
        <v>0</v>
      </c>
      <c r="G128" s="1"/>
      <c r="H128" s="1">
        <f>SUM(OSRRefH22_13x_0)</f>
        <v>0</v>
      </c>
      <c r="I128" s="1"/>
      <c r="J128" s="5">
        <f t="shared" si="71"/>
        <v>0</v>
      </c>
      <c r="K128" s="1"/>
      <c r="L128" s="1">
        <f t="shared" si="72"/>
        <v>0</v>
      </c>
      <c r="M128" s="1"/>
      <c r="N128" s="5">
        <f t="shared" si="73"/>
        <v>0</v>
      </c>
      <c r="O128" s="12"/>
      <c r="P128" s="1">
        <f>SUM(OSRRefP22_13x_0)</f>
        <v>14</v>
      </c>
      <c r="Q128" s="1"/>
      <c r="R128" s="5">
        <f t="shared" si="74"/>
        <v>6.5690937278293094E-4</v>
      </c>
      <c r="S128" s="1"/>
      <c r="T128" s="1">
        <f>SUM(OSRRefT22_13x_0)</f>
        <v>314.8</v>
      </c>
      <c r="U128" s="1"/>
      <c r="V128" s="5">
        <f t="shared" si="75"/>
        <v>3.8311649422509701E-4</v>
      </c>
      <c r="W128" s="1"/>
      <c r="X128" s="1">
        <f t="shared" si="76"/>
        <v>-300.8</v>
      </c>
      <c r="Y128" s="1"/>
      <c r="Z128" s="5">
        <f t="shared" si="77"/>
        <v>-0.95552731893265563</v>
      </c>
    </row>
    <row r="129" spans="1:26" s="23" customFormat="1" hidden="1" outlineLevel="2" x14ac:dyDescent="0.25">
      <c r="A129" s="27"/>
      <c r="B129" s="10" t="str">
        <f>CONCATENATE("          ", "6376", " - ", "TRAINING")</f>
        <v xml:space="preserve">          6376 - TRAINING</v>
      </c>
      <c r="C129" s="10"/>
      <c r="D129" s="6"/>
      <c r="E129" s="2"/>
      <c r="F129" s="7">
        <f t="shared" si="70"/>
        <v>0</v>
      </c>
      <c r="G129" s="2"/>
      <c r="H129" s="6"/>
      <c r="I129" s="2"/>
      <c r="J129" s="7">
        <f t="shared" si="71"/>
        <v>0</v>
      </c>
      <c r="K129" s="2"/>
      <c r="L129" s="6">
        <f t="shared" si="72"/>
        <v>0</v>
      </c>
      <c r="M129" s="2"/>
      <c r="N129" s="7">
        <f t="shared" si="73"/>
        <v>0</v>
      </c>
      <c r="O129" s="10"/>
      <c r="P129" s="6">
        <v>14</v>
      </c>
      <c r="Q129" s="2"/>
      <c r="R129" s="7">
        <f t="shared" si="74"/>
        <v>6.5690937278293094E-4</v>
      </c>
      <c r="S129" s="2"/>
      <c r="T129" s="6">
        <v>314.8</v>
      </c>
      <c r="U129" s="2"/>
      <c r="V129" s="7">
        <f t="shared" si="75"/>
        <v>3.8311649422509701E-4</v>
      </c>
      <c r="W129" s="2"/>
      <c r="X129" s="6">
        <f t="shared" si="76"/>
        <v>-300.8</v>
      </c>
      <c r="Y129" s="2"/>
      <c r="Z129" s="7">
        <f t="shared" si="77"/>
        <v>-0.95552731893265563</v>
      </c>
    </row>
    <row r="130" spans="1:26" s="26" customFormat="1" outlineLevel="1" collapsed="1" x14ac:dyDescent="0.25">
      <c r="A130" s="25"/>
      <c r="B130" s="12" t="str">
        <f>CONCATENATE("     ","Travel                                            ")</f>
        <v xml:space="preserve">     Travel                                            </v>
      </c>
      <c r="C130" s="12"/>
      <c r="D130" s="1">
        <f>SUM(OSRRefD22_14x_0)</f>
        <v>0</v>
      </c>
      <c r="E130" s="1"/>
      <c r="F130" s="5">
        <f t="shared" si="70"/>
        <v>0</v>
      </c>
      <c r="G130" s="1"/>
      <c r="H130" s="1">
        <f>SUM(OSRRefH22_14x_0)</f>
        <v>0</v>
      </c>
      <c r="I130" s="1"/>
      <c r="J130" s="5">
        <f t="shared" si="71"/>
        <v>0</v>
      </c>
      <c r="K130" s="1"/>
      <c r="L130" s="1">
        <f t="shared" si="72"/>
        <v>0</v>
      </c>
      <c r="M130" s="1"/>
      <c r="N130" s="5">
        <f t="shared" si="73"/>
        <v>0</v>
      </c>
      <c r="O130" s="12"/>
      <c r="P130" s="1">
        <f>SUM(OSRRefP22_14x_0)</f>
        <v>0</v>
      </c>
      <c r="Q130" s="1"/>
      <c r="R130" s="5">
        <f t="shared" si="74"/>
        <v>0</v>
      </c>
      <c r="S130" s="1"/>
      <c r="T130" s="1">
        <f>SUM(OSRRefT22_14x_0)</f>
        <v>-323.01</v>
      </c>
      <c r="U130" s="1"/>
      <c r="V130" s="5">
        <f t="shared" si="75"/>
        <v>-3.9310819186673629E-4</v>
      </c>
      <c r="W130" s="1"/>
      <c r="X130" s="1">
        <f t="shared" si="76"/>
        <v>323.01</v>
      </c>
      <c r="Y130" s="1"/>
      <c r="Z130" s="5">
        <f t="shared" si="77"/>
        <v>-1</v>
      </c>
    </row>
    <row r="131" spans="1:26" s="23" customFormat="1" hidden="1" outlineLevel="2" x14ac:dyDescent="0.25">
      <c r="A131" s="27"/>
      <c r="B131" s="10" t="str">
        <f>CONCATENATE("          ", "6292", " - ", "TRAVEL/CONFERENCE")</f>
        <v xml:space="preserve">          6292 - TRAVEL/CONFERENCE</v>
      </c>
      <c r="C131" s="10"/>
      <c r="D131" s="6"/>
      <c r="E131" s="2"/>
      <c r="F131" s="7">
        <f t="shared" si="70"/>
        <v>0</v>
      </c>
      <c r="G131" s="2"/>
      <c r="H131" s="6"/>
      <c r="I131" s="2"/>
      <c r="J131" s="7">
        <f t="shared" si="71"/>
        <v>0</v>
      </c>
      <c r="K131" s="2"/>
      <c r="L131" s="6">
        <f t="shared" si="72"/>
        <v>0</v>
      </c>
      <c r="M131" s="2"/>
      <c r="N131" s="7">
        <f t="shared" si="73"/>
        <v>0</v>
      </c>
      <c r="O131" s="10"/>
      <c r="P131" s="6"/>
      <c r="Q131" s="2"/>
      <c r="R131" s="7">
        <f t="shared" si="74"/>
        <v>0</v>
      </c>
      <c r="S131" s="2"/>
      <c r="T131" s="6">
        <v>-323.01</v>
      </c>
      <c r="U131" s="2"/>
      <c r="V131" s="7">
        <f t="shared" si="75"/>
        <v>-3.9310819186673629E-4</v>
      </c>
      <c r="W131" s="2"/>
      <c r="X131" s="6">
        <f t="shared" si="76"/>
        <v>323.01</v>
      </c>
      <c r="Y131" s="2"/>
      <c r="Z131" s="7">
        <f t="shared" si="77"/>
        <v>-1</v>
      </c>
    </row>
    <row r="132" spans="1:26" s="57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4" customFormat="1" collapsed="1" x14ac:dyDescent="0.25">
      <c r="A133" s="11"/>
      <c r="B133" s="29" t="s">
        <v>292</v>
      </c>
      <c r="C133" s="11"/>
      <c r="D133" s="4">
        <f>SUM(OSRRefD25x_0)</f>
        <v>0</v>
      </c>
      <c r="E133" s="4"/>
      <c r="F133" s="13">
        <f t="shared" ref="F133:F134" si="78">IF(D$12=0,0,D133/D$12)</f>
        <v>0</v>
      </c>
      <c r="G133" s="4"/>
      <c r="H133" s="4">
        <f>SUM(OSRRefH25x_0)</f>
        <v>0</v>
      </c>
      <c r="I133" s="4"/>
      <c r="J133" s="13">
        <f t="shared" ref="J133:J134" si="79">IF(H$12=0,0,H133/H$12)</f>
        <v>0</v>
      </c>
      <c r="K133" s="4"/>
      <c r="L133" s="4">
        <f t="shared" ref="L133:L134" si="80">+D133-H133</f>
        <v>0</v>
      </c>
      <c r="M133" s="4"/>
      <c r="N133" s="13">
        <f t="shared" ref="N133:N134" si="81">IF(H133=0,0,L133/H133)</f>
        <v>0</v>
      </c>
      <c r="O133" s="11"/>
      <c r="P133" s="4">
        <f>SUM(OSRRefP25x_0)</f>
        <v>0</v>
      </c>
      <c r="Q133" s="4"/>
      <c r="R133" s="13">
        <f t="shared" ref="R133:R134" si="82">IF(P$12=0,0,P133/P$12)</f>
        <v>0</v>
      </c>
      <c r="S133" s="4"/>
      <c r="T133" s="4">
        <f>SUM(OSRRefT25x_0)</f>
        <v>68.760000000000005</v>
      </c>
      <c r="U133" s="4"/>
      <c r="V133" s="13">
        <f t="shared" ref="V133:V134" si="83">IF(T$12=0,0,T133/T$12)</f>
        <v>8.3681989018162873E-5</v>
      </c>
      <c r="W133" s="4"/>
      <c r="X133" s="4">
        <f t="shared" ref="X133:X134" si="84">+P133-T133</f>
        <v>-68.760000000000005</v>
      </c>
      <c r="Y133" s="4"/>
      <c r="Z133" s="13">
        <f t="shared" ref="Z133:Z134" si="85">IF(T133=0,0,X133/T133)</f>
        <v>-1</v>
      </c>
    </row>
    <row r="134" spans="1:26" s="23" customFormat="1" hidden="1" outlineLevel="1" x14ac:dyDescent="0.25">
      <c r="A134" s="44"/>
      <c r="B134" s="10" t="str">
        <f>CONCATENATE("          ", "9150", " - ", "MISC. INCOME")</f>
        <v xml:space="preserve">          9150 - MISC. INCOME</v>
      </c>
      <c r="C134" s="10"/>
      <c r="D134" s="2">
        <f>0</f>
        <v>0</v>
      </c>
      <c r="E134" s="2"/>
      <c r="F134" s="19">
        <f t="shared" si="78"/>
        <v>0</v>
      </c>
      <c r="G134" s="2"/>
      <c r="H134" s="2">
        <f>0</f>
        <v>0</v>
      </c>
      <c r="I134" s="2"/>
      <c r="J134" s="19">
        <f t="shared" si="79"/>
        <v>0</v>
      </c>
      <c r="K134" s="2"/>
      <c r="L134" s="2">
        <f t="shared" si="80"/>
        <v>0</v>
      </c>
      <c r="M134" s="2"/>
      <c r="N134" s="19">
        <f t="shared" si="81"/>
        <v>0</v>
      </c>
      <c r="O134" s="10"/>
      <c r="P134" s="2">
        <f>0</f>
        <v>0</v>
      </c>
      <c r="Q134" s="2"/>
      <c r="R134" s="19">
        <f t="shared" si="82"/>
        <v>0</v>
      </c>
      <c r="S134" s="2"/>
      <c r="T134" s="2">
        <f>--68.76</f>
        <v>68.760000000000005</v>
      </c>
      <c r="U134" s="2"/>
      <c r="V134" s="19">
        <f t="shared" si="83"/>
        <v>8.3681989018162873E-5</v>
      </c>
      <c r="W134" s="2"/>
      <c r="X134" s="2">
        <f t="shared" si="84"/>
        <v>-68.760000000000005</v>
      </c>
      <c r="Y134" s="2"/>
      <c r="Z134" s="19">
        <f t="shared" si="85"/>
        <v>-1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x14ac:dyDescent="0.25">
      <c r="A136" s="11"/>
      <c r="B136" s="28" t="s">
        <v>276</v>
      </c>
      <c r="C136" s="28"/>
      <c r="D136" s="20">
        <f>+D81-D83+D133</f>
        <v>-81.53</v>
      </c>
      <c r="E136" s="14"/>
      <c r="F136" s="21">
        <f>IF(D$12=0,0,D136/D$12)</f>
        <v>0</v>
      </c>
      <c r="G136" s="14"/>
      <c r="H136" s="20">
        <f>+H81-H83+H133</f>
        <v>-7845.1999999999989</v>
      </c>
      <c r="I136" s="14"/>
      <c r="J136" s="21">
        <f>IF(H$12=0,0,H136/H$12)</f>
        <v>-1.1235951837736651</v>
      </c>
      <c r="K136" s="15"/>
      <c r="L136" s="20">
        <f>+D136-H136</f>
        <v>7763.6699999999992</v>
      </c>
      <c r="M136" s="15"/>
      <c r="N136" s="21">
        <f>IF(H136=0,0,L136/H136)</f>
        <v>-0.98960765818589713</v>
      </c>
      <c r="O136" s="29"/>
      <c r="P136" s="20">
        <f>+P81-P83+P133</f>
        <v>-5263.4599999999919</v>
      </c>
      <c r="Q136" s="14"/>
      <c r="R136" s="21">
        <f>IF(P$12=0,0,P136/P$12)</f>
        <v>-0.24697258623343143</v>
      </c>
      <c r="S136" s="14"/>
      <c r="T136" s="20">
        <f>+T81-T83+T133</f>
        <v>190848.69999999987</v>
      </c>
      <c r="U136" s="14"/>
      <c r="V136" s="21">
        <f>IF(T$12=0,0,T136/T$12)</f>
        <v>0.23226583504262141</v>
      </c>
      <c r="W136" s="15"/>
      <c r="X136" s="20">
        <f>+P136-T136</f>
        <v>-196112.15999999986</v>
      </c>
      <c r="Y136" s="15"/>
      <c r="Z136" s="21">
        <f>IF(T136=0,0,X136/T136)</f>
        <v>-1.0275792289913424</v>
      </c>
    </row>
    <row r="137" spans="1:26" x14ac:dyDescent="0.25">
      <c r="A137" s="9"/>
      <c r="B137" s="11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x14ac:dyDescent="0.25">
      <c r="A138" s="51"/>
      <c r="B138" s="11" t="s">
        <v>127</v>
      </c>
      <c r="C138" s="11"/>
      <c r="D138" s="4">
        <v>95.62</v>
      </c>
      <c r="E138" s="4"/>
      <c r="F138" s="13">
        <f>IF(D$12=0,0,D138/D$12)</f>
        <v>0</v>
      </c>
      <c r="G138" s="4"/>
      <c r="H138" s="4">
        <v>4800.7299999999996</v>
      </c>
      <c r="I138" s="4"/>
      <c r="J138" s="13">
        <f>IF(H$12=0,0,H138/H$12)</f>
        <v>0.68756400175875021</v>
      </c>
      <c r="K138" s="4"/>
      <c r="L138" s="4">
        <f>+D138-H138</f>
        <v>-4705.1099999999997</v>
      </c>
      <c r="M138" s="4"/>
      <c r="N138" s="13">
        <f>IF(H138=0,0,L138/H138)</f>
        <v>-0.98008219583271716</v>
      </c>
      <c r="O138" s="11"/>
      <c r="P138" s="4">
        <v>4554.16</v>
      </c>
      <c r="Q138" s="4"/>
      <c r="R138" s="13">
        <f>IF(P$12=0,0,P138/P$12)</f>
        <v>0.21369074208236519</v>
      </c>
      <c r="S138" s="4"/>
      <c r="T138" s="4">
        <v>97304.08</v>
      </c>
      <c r="U138" s="4"/>
      <c r="V138" s="13">
        <f>IF(T$12=0,0,T138/T$12)</f>
        <v>0.11842057815564923</v>
      </c>
      <c r="W138" s="4"/>
      <c r="X138" s="4">
        <f>+P138-T138</f>
        <v>-92749.92</v>
      </c>
      <c r="Y138" s="4"/>
      <c r="Z138" s="13">
        <f>IF(T138=0,0,X138/T138)</f>
        <v>-0.95319661827129953</v>
      </c>
    </row>
    <row r="139" spans="1:26" x14ac:dyDescent="0.25">
      <c r="A139" s="9"/>
      <c r="B139" s="11"/>
      <c r="C139" s="11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1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4" customFormat="1" ht="15.75" thickBot="1" x14ac:dyDescent="0.3">
      <c r="A140" s="11"/>
      <c r="B140" s="28" t="s">
        <v>125</v>
      </c>
      <c r="C140" s="28"/>
      <c r="D140" s="35">
        <f>+D136-D138</f>
        <v>-177.15</v>
      </c>
      <c r="E140" s="14"/>
      <c r="F140" s="36">
        <f>IF(D$12=0,0,D140/D$12)</f>
        <v>0</v>
      </c>
      <c r="G140" s="14"/>
      <c r="H140" s="35">
        <f>+H136-H138</f>
        <v>-12645.929999999998</v>
      </c>
      <c r="I140" s="14"/>
      <c r="J140" s="36">
        <f>IF(H$12=0,0,H140/H$12)</f>
        <v>-1.8111591855324154</v>
      </c>
      <c r="K140" s="15"/>
      <c r="L140" s="35">
        <f>D140-H140</f>
        <v>12468.779999999999</v>
      </c>
      <c r="M140" s="15"/>
      <c r="N140" s="36">
        <f>IF(H140=0,0,L140/H140)</f>
        <v>-0.98599154036120717</v>
      </c>
      <c r="O140" s="29"/>
      <c r="P140" s="35">
        <f>+P136-P138</f>
        <v>-9817.6199999999917</v>
      </c>
      <c r="Q140" s="14"/>
      <c r="R140" s="36">
        <f>IF(P$12=0,0,P140/P$12)</f>
        <v>-0.46066332831579665</v>
      </c>
      <c r="S140" s="14"/>
      <c r="T140" s="35">
        <f>+T136-T138</f>
        <v>93544.619999999864</v>
      </c>
      <c r="U140" s="14"/>
      <c r="V140" s="36">
        <f>IF(T$12=0,0,T140/T$12)</f>
        <v>0.11384525688697218</v>
      </c>
      <c r="W140" s="15"/>
      <c r="X140" s="35">
        <f>P140-T140</f>
        <v>-103362.23999999986</v>
      </c>
      <c r="Y140" s="15"/>
      <c r="Z140" s="36">
        <f>IF(T140=0,0,X140/T140)</f>
        <v>-1.1049511986899943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ht="15.75" thickBot="1" x14ac:dyDescent="0.3">
      <c r="A143" s="11"/>
      <c r="B143" s="28" t="s">
        <v>293</v>
      </c>
      <c r="C143" s="28"/>
      <c r="D143" s="30">
        <f>SUM(D140:D142)</f>
        <v>-177.15</v>
      </c>
      <c r="E143" s="14"/>
      <c r="F143" s="31">
        <f>IF(D$12=0,0,D143/D$12)</f>
        <v>0</v>
      </c>
      <c r="G143" s="14"/>
      <c r="H143" s="30">
        <f>SUM(H140:H142)</f>
        <v>-12645.929999999998</v>
      </c>
      <c r="I143" s="14"/>
      <c r="J143" s="31">
        <f>IF(H$12=0,0,H143/H$12)</f>
        <v>-1.8111591855324154</v>
      </c>
      <c r="K143" s="15"/>
      <c r="L143" s="30">
        <f>+D143-H143</f>
        <v>12468.779999999999</v>
      </c>
      <c r="M143" s="15"/>
      <c r="N143" s="31">
        <f>IF(H143=0,0,L143/H143)</f>
        <v>-0.98599154036120717</v>
      </c>
      <c r="O143" s="29"/>
      <c r="P143" s="30">
        <f>SUM(P140:P142)</f>
        <v>-9817.6199999999917</v>
      </c>
      <c r="Q143" s="14"/>
      <c r="R143" s="31">
        <f>IF(P$12=0,0,P143/P$12)</f>
        <v>-0.46066332831579665</v>
      </c>
      <c r="S143" s="14"/>
      <c r="T143" s="30">
        <f>SUM(T140:T142)</f>
        <v>93544.619999999864</v>
      </c>
      <c r="U143" s="14"/>
      <c r="V143" s="31">
        <f>IF(T$12=0,0,T143/T$12)</f>
        <v>0.11384525688697218</v>
      </c>
      <c r="W143" s="15"/>
      <c r="X143" s="30">
        <f>+P143-T143</f>
        <v>-103362.23999999986</v>
      </c>
      <c r="Y143" s="15"/>
      <c r="Z143" s="31">
        <f>IF(T143=0,0,X143/T143)</f>
        <v>-1.1049511986899943</v>
      </c>
    </row>
    <row r="144" spans="1:26" ht="15.75" thickTop="1" x14ac:dyDescent="0.25">
      <c r="A144" s="9"/>
      <c r="C144" s="9"/>
      <c r="D144" s="18"/>
      <c r="E144" s="18"/>
      <c r="G144" s="18"/>
      <c r="H144" s="18"/>
      <c r="I144" s="18"/>
      <c r="J144" s="42"/>
      <c r="K144" s="18"/>
      <c r="L144" s="18"/>
      <c r="M144" s="18"/>
      <c r="P144" s="18"/>
      <c r="Q144" s="18"/>
      <c r="R144" s="42"/>
      <c r="S144" s="18"/>
      <c r="T144" s="18"/>
      <c r="U144" s="18"/>
      <c r="V144" s="42"/>
      <c r="W144" s="18"/>
      <c r="X144" s="18"/>
    </row>
    <row r="145" spans="1:24" x14ac:dyDescent="0.25">
      <c r="A145" s="9"/>
      <c r="B145" s="59">
        <v>44356.893328472222</v>
      </c>
      <c r="D145" s="18"/>
      <c r="E145" s="18"/>
      <c r="G145" s="18"/>
      <c r="H145" s="18"/>
      <c r="I145" s="18"/>
      <c r="J145" s="42"/>
      <c r="K145" s="18"/>
      <c r="L145" s="18"/>
      <c r="M145" s="18"/>
      <c r="P145" s="18"/>
      <c r="Q145" s="18"/>
      <c r="R145" s="42"/>
      <c r="S145" s="18"/>
      <c r="T145" s="18"/>
      <c r="U145" s="18"/>
      <c r="V145" s="42"/>
      <c r="W145" s="18"/>
      <c r="X145" s="18"/>
    </row>
    <row r="146" spans="1:24" x14ac:dyDescent="0.25">
      <c r="A146" s="9"/>
      <c r="B146" s="52" t="s">
        <v>56</v>
      </c>
      <c r="D146" s="18"/>
      <c r="E146" s="18"/>
      <c r="G146" s="18"/>
      <c r="H146" s="18"/>
      <c r="I146" s="18"/>
      <c r="J146" s="42"/>
      <c r="K146" s="18"/>
      <c r="L146" s="18"/>
      <c r="M146" s="18"/>
      <c r="P146" s="18"/>
      <c r="Q146" s="18"/>
      <c r="R146" s="42"/>
      <c r="S146" s="18"/>
      <c r="T146" s="18"/>
      <c r="U146" s="18"/>
      <c r="V146" s="42"/>
      <c r="W146" s="18"/>
      <c r="X146" s="18"/>
    </row>
    <row r="147" spans="1:24" x14ac:dyDescent="0.25">
      <c r="A147" s="9"/>
      <c r="B147" s="54"/>
      <c r="D147" s="18"/>
      <c r="E147" s="18"/>
      <c r="G147" s="18"/>
      <c r="H147" s="18"/>
      <c r="I147" s="18"/>
      <c r="J147" s="42"/>
      <c r="K147" s="18"/>
      <c r="L147" s="18"/>
      <c r="M147" s="18"/>
      <c r="P147" s="18"/>
      <c r="Q147" s="18"/>
      <c r="R147" s="42"/>
      <c r="S147" s="18"/>
      <c r="T147" s="18"/>
      <c r="U147" s="18"/>
      <c r="V147" s="42"/>
      <c r="W147" s="18"/>
      <c r="X147" s="18"/>
    </row>
    <row r="148" spans="1:24" x14ac:dyDescent="0.25">
      <c r="D148" s="18"/>
      <c r="E148" s="18"/>
      <c r="G148" s="18"/>
      <c r="H148" s="18"/>
      <c r="I148" s="18"/>
      <c r="J148" s="42"/>
      <c r="K148" s="18"/>
      <c r="L148" s="18"/>
      <c r="M148" s="18"/>
      <c r="P148" s="18"/>
      <c r="Q148" s="18"/>
      <c r="R148" s="42"/>
      <c r="S148" s="18"/>
      <c r="T148" s="18"/>
      <c r="U148" s="18"/>
      <c r="V148" s="42"/>
      <c r="W148" s="18"/>
      <c r="X148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","307", " - ", "Art Store")</f>
        <v>Department 307 - Art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49" si="0">+D12-H12</f>
        <v>0</v>
      </c>
      <c r="M12" s="4"/>
      <c r="N12" s="13">
        <f t="shared" ref="N12:N49" si="1">IF(H12=0,0,L12/H12)</f>
        <v>0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410549.44000000024</v>
      </c>
      <c r="U12" s="4"/>
      <c r="V12" s="13"/>
      <c r="W12" s="4"/>
      <c r="X12" s="4">
        <f t="shared" ref="X12:X49" si="2">+P12-T12</f>
        <v>-389237.52000000025</v>
      </c>
      <c r="Y12" s="4"/>
      <c r="Z12" s="13">
        <f t="shared" ref="Z12:Z49" si="3">IF(T12=0,0,X12/T12)</f>
        <v>-0.94808927275604138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49" si="4">0</f>
        <v>0</v>
      </c>
      <c r="E13" s="2"/>
      <c r="F13" s="19"/>
      <c r="G13" s="2"/>
      <c r="H13" s="2">
        <f t="shared" ref="H13:H49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5" si="6">0</f>
        <v>0</v>
      </c>
      <c r="Q14" s="2"/>
      <c r="R14" s="19"/>
      <c r="S14" s="2"/>
      <c r="T14" s="2">
        <f>--71.37</f>
        <v>71.37</v>
      </c>
      <c r="U14" s="2"/>
      <c r="V14" s="19"/>
      <c r="W14" s="2"/>
      <c r="X14" s="2">
        <f t="shared" si="2"/>
        <v>-71.37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--2262.94</f>
        <v>2262.94</v>
      </c>
      <c r="U15" s="2"/>
      <c r="V15" s="19"/>
      <c r="W15" s="2"/>
      <c r="X15" s="2">
        <f t="shared" si="2"/>
        <v>-2262.94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--17.51</f>
        <v>17.510000000000002</v>
      </c>
      <c r="Q16" s="2"/>
      <c r="R16" s="19"/>
      <c r="S16" s="2"/>
      <c r="T16" s="2">
        <f>--6663.38</f>
        <v>6663.38</v>
      </c>
      <c r="U16" s="2"/>
      <c r="V16" s="19"/>
      <c r="W16" s="2"/>
      <c r="X16" s="2">
        <f t="shared" si="2"/>
        <v>-6645.87</v>
      </c>
      <c r="Y16" s="2"/>
      <c r="Z16" s="19">
        <f t="shared" si="3"/>
        <v>-0.99737220449681685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--7990.32</f>
        <v>7990.32</v>
      </c>
      <c r="Q17" s="2"/>
      <c r="R17" s="19"/>
      <c r="S17" s="2"/>
      <c r="T17" s="2">
        <f>--9231.13</f>
        <v>9231.1299999999992</v>
      </c>
      <c r="U17" s="2"/>
      <c r="V17" s="19"/>
      <c r="W17" s="2"/>
      <c r="X17" s="2">
        <f t="shared" si="2"/>
        <v>-1240.8099999999995</v>
      </c>
      <c r="Y17" s="2"/>
      <c r="Z17" s="19">
        <f t="shared" si="3"/>
        <v>-0.13441582991464746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--12479.05</f>
        <v>12479.05</v>
      </c>
      <c r="Q18" s="2"/>
      <c r="R18" s="19"/>
      <c r="S18" s="2"/>
      <c r="T18" s="2">
        <f>--280493.72</f>
        <v>280493.71999999997</v>
      </c>
      <c r="U18" s="2"/>
      <c r="V18" s="19"/>
      <c r="W18" s="2"/>
      <c r="X18" s="2">
        <f t="shared" si="2"/>
        <v>-268014.67</v>
      </c>
      <c r="Y18" s="2"/>
      <c r="Z18" s="19">
        <f t="shared" si="3"/>
        <v>-0.95551041214042154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--374.55</f>
        <v>374.55</v>
      </c>
      <c r="Q19" s="2"/>
      <c r="R19" s="19"/>
      <c r="S19" s="2"/>
      <c r="T19" s="2">
        <f>--486.34</f>
        <v>486.34</v>
      </c>
      <c r="U19" s="2"/>
      <c r="V19" s="19"/>
      <c r="W19" s="2"/>
      <c r="X19" s="2">
        <f t="shared" si="2"/>
        <v>-111.78999999999996</v>
      </c>
      <c r="Y19" s="2"/>
      <c r="Z19" s="19">
        <f t="shared" si="3"/>
        <v>-0.22985976888596449</v>
      </c>
    </row>
    <row r="20" spans="1:26" s="23" customFormat="1" hidden="1" outlineLevel="1" x14ac:dyDescent="0.25">
      <c r="A20" s="44"/>
      <c r="B20" s="10" t="str">
        <f>CONCATENATE("          ", "4032", " - ", "TAXABLE SALES-JUICE")</f>
        <v xml:space="preserve">          4032 - TAXABLE SALES-JUICE</v>
      </c>
      <c r="C20" s="10"/>
      <c r="D20" s="2">
        <f t="shared" si="4"/>
        <v>0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ref="P20:P27" si="7">0</f>
        <v>0</v>
      </c>
      <c r="Q20" s="2"/>
      <c r="R20" s="19"/>
      <c r="S20" s="2"/>
      <c r="T20" s="2">
        <f>--1905.06</f>
        <v>1905.06</v>
      </c>
      <c r="U20" s="2"/>
      <c r="V20" s="19"/>
      <c r="W20" s="2"/>
      <c r="X20" s="2">
        <f t="shared" si="2"/>
        <v>-1905.06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"4033", " - ", "TAXABLE SALES-CANDY")</f>
        <v xml:space="preserve">          4033 - TAXABLE SALES-CANDY</v>
      </c>
      <c r="C21" s="10"/>
      <c r="D21" s="2">
        <f t="shared" si="4"/>
        <v>0</v>
      </c>
      <c r="E21" s="2"/>
      <c r="F21" s="19"/>
      <c r="G21" s="2"/>
      <c r="H21" s="2">
        <f t="shared" si="5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7"/>
        <v>0</v>
      </c>
      <c r="Q21" s="2"/>
      <c r="R21" s="19"/>
      <c r="S21" s="2"/>
      <c r="T21" s="2">
        <f>--205.53</f>
        <v>205.53</v>
      </c>
      <c r="U21" s="2"/>
      <c r="V21" s="19"/>
      <c r="W21" s="2"/>
      <c r="X21" s="2">
        <f t="shared" si="2"/>
        <v>-205.53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"4034", " - ", "TAXABLE SALES-SODA")</f>
        <v xml:space="preserve">          4034 - TAXABLE SALES-SODA</v>
      </c>
      <c r="C22" s="10"/>
      <c r="D22" s="2">
        <f t="shared" si="4"/>
        <v>0</v>
      </c>
      <c r="E22" s="2"/>
      <c r="F22" s="19"/>
      <c r="G22" s="2"/>
      <c r="H22" s="2">
        <f t="shared" si="5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7"/>
        <v>0</v>
      </c>
      <c r="Q22" s="2"/>
      <c r="R22" s="19"/>
      <c r="S22" s="2"/>
      <c r="T22" s="2">
        <f>--7803.51</f>
        <v>7803.51</v>
      </c>
      <c r="U22" s="2"/>
      <c r="V22" s="19"/>
      <c r="W22" s="2"/>
      <c r="X22" s="2">
        <f t="shared" si="2"/>
        <v>-7803.51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"4035", " - ", "TAXABLE SALES-HEALTH &amp; BEAUTY")</f>
        <v xml:space="preserve">          4035 - TAXABLE SALES-HEALTH &amp; BEAUTY</v>
      </c>
      <c r="C23" s="10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7"/>
        <v>0</v>
      </c>
      <c r="Q23" s="2"/>
      <c r="R23" s="19"/>
      <c r="S23" s="2"/>
      <c r="T23" s="2">
        <f>--1961.69</f>
        <v>1961.69</v>
      </c>
      <c r="U23" s="2"/>
      <c r="V23" s="19"/>
      <c r="W23" s="2"/>
      <c r="X23" s="2">
        <f t="shared" si="2"/>
        <v>-1961.69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"4037", " - ", "TAXABLE SALES-WATER")</f>
        <v xml:space="preserve">          4037 - TAXABLE SALES-WATER</v>
      </c>
      <c r="C24" s="10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7"/>
        <v>0</v>
      </c>
      <c r="Q24" s="2"/>
      <c r="R24" s="19"/>
      <c r="S24" s="2"/>
      <c r="T24" s="2">
        <f>--513.51</f>
        <v>513.51</v>
      </c>
      <c r="U24" s="2"/>
      <c r="V24" s="19"/>
      <c r="W24" s="2"/>
      <c r="X24" s="2">
        <f t="shared" si="2"/>
        <v>-513.51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"4041", " - ", "TAXABLE SALES-LOGO GIFTS")</f>
        <v xml:space="preserve">          4041 - TAXABLE SALES-LOGO GIFTS</v>
      </c>
      <c r="C25" s="10"/>
      <c r="D25" s="2">
        <f t="shared" si="4"/>
        <v>0</v>
      </c>
      <c r="E25" s="2"/>
      <c r="F25" s="19"/>
      <c r="G25" s="2"/>
      <c r="H25" s="2">
        <f t="shared" si="5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7"/>
        <v>0</v>
      </c>
      <c r="Q25" s="2"/>
      <c r="R25" s="19"/>
      <c r="S25" s="2"/>
      <c r="T25" s="2">
        <f>--494.2</f>
        <v>494.2</v>
      </c>
      <c r="U25" s="2"/>
      <c r="V25" s="19"/>
      <c r="W25" s="2"/>
      <c r="X25" s="2">
        <f t="shared" si="2"/>
        <v>-494.2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"4042", " - ", "TAXABLE SALES-EVERYDAY GIFTS")</f>
        <v xml:space="preserve">          4042 - TAXABLE SALES-EVERYDAY GIFTS</v>
      </c>
      <c r="C26" s="10"/>
      <c r="D26" s="2">
        <f t="shared" si="4"/>
        <v>0</v>
      </c>
      <c r="E26" s="2"/>
      <c r="F26" s="19"/>
      <c r="G26" s="2"/>
      <c r="H26" s="2">
        <f t="shared" si="5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7"/>
        <v>0</v>
      </c>
      <c r="Q26" s="2"/>
      <c r="R26" s="19"/>
      <c r="S26" s="2"/>
      <c r="T26" s="2">
        <f>--583.7</f>
        <v>583.70000000000005</v>
      </c>
      <c r="U26" s="2"/>
      <c r="V26" s="19"/>
      <c r="W26" s="2"/>
      <c r="X26" s="2">
        <f t="shared" si="2"/>
        <v>-583.70000000000005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"4044", " - ", "TAXABLE SALES-ACCESSORIES")</f>
        <v xml:space="preserve">          4044 - TAXABLE SALES-ACCESSORIES</v>
      </c>
      <c r="C27" s="10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7"/>
        <v>0</v>
      </c>
      <c r="Q27" s="2"/>
      <c r="R27" s="19"/>
      <c r="S27" s="2"/>
      <c r="T27" s="2">
        <f>--179.5</f>
        <v>179.5</v>
      </c>
      <c r="U27" s="2"/>
      <c r="V27" s="19"/>
      <c r="W27" s="2"/>
      <c r="X27" s="2">
        <f t="shared" si="2"/>
        <v>-179.5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"4081", " - ", "TAXABLE SALES-ELECTRONICS")</f>
        <v xml:space="preserve">          4081 - TAXABLE SALES-ELECTRONICS</v>
      </c>
      <c r="C28" s="10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--71.95</f>
        <v>71.95</v>
      </c>
      <c r="Q28" s="2"/>
      <c r="R28" s="19"/>
      <c r="S28" s="2"/>
      <c r="T28" s="2">
        <f>--3174.93</f>
        <v>3174.93</v>
      </c>
      <c r="U28" s="2"/>
      <c r="V28" s="19"/>
      <c r="W28" s="2"/>
      <c r="X28" s="2">
        <f t="shared" si="2"/>
        <v>-3102.98</v>
      </c>
      <c r="Y28" s="2"/>
      <c r="Z28" s="19">
        <f t="shared" si="3"/>
        <v>-0.97733808304435066</v>
      </c>
    </row>
    <row r="29" spans="1:26" s="23" customFormat="1" hidden="1" outlineLevel="1" x14ac:dyDescent="0.25">
      <c r="A29" s="44"/>
      <c r="B29" s="10" t="str">
        <f>CONCATENATE("          ", "4082", " - ", "TAXABLE SALES-COMPUTER HARDWAR")</f>
        <v xml:space="preserve">          4082 - TAXABLE SALES-COMPUTER HARDWAR</v>
      </c>
      <c r="C29" s="10"/>
      <c r="D29" s="2">
        <f t="shared" si="4"/>
        <v>0</v>
      </c>
      <c r="E29" s="2"/>
      <c r="F29" s="19"/>
      <c r="G29" s="2"/>
      <c r="H29" s="2">
        <f t="shared" si="5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--363.94</f>
        <v>363.94</v>
      </c>
      <c r="U29" s="2"/>
      <c r="V29" s="19"/>
      <c r="W29" s="2"/>
      <c r="X29" s="2">
        <f t="shared" si="2"/>
        <v>-363.94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"4083", " - ", "TAXABLE SALES-COMPUTER EQUIPME")</f>
        <v xml:space="preserve">          4083 - TAXABLE SALES-COMPUTER EQUIPME</v>
      </c>
      <c r="C30" s="10"/>
      <c r="D30" s="2">
        <f t="shared" si="4"/>
        <v>0</v>
      </c>
      <c r="E30" s="2"/>
      <c r="F30" s="19"/>
      <c r="G30" s="2"/>
      <c r="H30" s="2">
        <f t="shared" si="5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--9.99</f>
        <v>9.99</v>
      </c>
      <c r="Q30" s="2"/>
      <c r="R30" s="19"/>
      <c r="S30" s="2"/>
      <c r="T30" s="2">
        <f>--914.33</f>
        <v>914.33</v>
      </c>
      <c r="U30" s="2"/>
      <c r="V30" s="19"/>
      <c r="W30" s="2"/>
      <c r="X30" s="2">
        <f t="shared" si="2"/>
        <v>-904.34</v>
      </c>
      <c r="Y30" s="2"/>
      <c r="Z30" s="19">
        <f t="shared" si="3"/>
        <v>-0.98907396672973646</v>
      </c>
    </row>
    <row r="31" spans="1:26" s="23" customFormat="1" hidden="1" outlineLevel="1" x14ac:dyDescent="0.25">
      <c r="A31" s="44"/>
      <c r="B31" s="10" t="str">
        <f>CONCATENATE("          ", "4086", " - ", "TAXABLE SALES-COMPUTER SUPPLIE")</f>
        <v xml:space="preserve">          4086 - TAXABLE SALES-COMPUTER SUPPLIE</v>
      </c>
      <c r="C31" s="10"/>
      <c r="D31" s="2">
        <f t="shared" si="4"/>
        <v>0</v>
      </c>
      <c r="E31" s="2"/>
      <c r="F31" s="19"/>
      <c r="G31" s="2"/>
      <c r="H31" s="2">
        <f t="shared" si="5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ref="P31:P34" si="8">0</f>
        <v>0</v>
      </c>
      <c r="Q31" s="2"/>
      <c r="R31" s="19"/>
      <c r="S31" s="2"/>
      <c r="T31" s="2">
        <f>--813.74</f>
        <v>813.74</v>
      </c>
      <c r="U31" s="2"/>
      <c r="V31" s="19"/>
      <c r="W31" s="2"/>
      <c r="X31" s="2">
        <f t="shared" si="2"/>
        <v>-813.74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"4126", " - ", "NON-TAXABLE SALES-WRITING INST")</f>
        <v xml:space="preserve">          4126 - NON-TAXABLE SALES-WRITING INST</v>
      </c>
      <c r="C32" s="10"/>
      <c r="D32" s="2">
        <f t="shared" si="4"/>
        <v>0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8"/>
        <v>0</v>
      </c>
      <c r="Q32" s="2"/>
      <c r="R32" s="19"/>
      <c r="S32" s="2"/>
      <c r="T32" s="2">
        <f>--2.49</f>
        <v>2.4900000000000002</v>
      </c>
      <c r="U32" s="2"/>
      <c r="V32" s="19"/>
      <c r="W32" s="2"/>
      <c r="X32" s="2">
        <f t="shared" si="2"/>
        <v>-2.4900000000000002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"4127", " - ", "NON-TAXABLE SALES-SCHOOL SUPPL")</f>
        <v xml:space="preserve">          4127 - NON-TAXABLE SALES-SCHOOL SUPPL</v>
      </c>
      <c r="C33" s="10"/>
      <c r="D33" s="2">
        <f t="shared" si="4"/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8"/>
        <v>0</v>
      </c>
      <c r="Q33" s="2"/>
      <c r="R33" s="19"/>
      <c r="S33" s="2"/>
      <c r="T33" s="2">
        <f>--16.45</f>
        <v>16.45</v>
      </c>
      <c r="U33" s="2"/>
      <c r="V33" s="19"/>
      <c r="W33" s="2"/>
      <c r="X33" s="2">
        <f t="shared" si="2"/>
        <v>-16.45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"4128", " - ", "NON-TAXABLE SALES-ART/TECH")</f>
        <v xml:space="preserve">          4128 - NON-TAXABLE SALES-ART/TECH</v>
      </c>
      <c r="C34" s="10"/>
      <c r="D34" s="2">
        <f t="shared" si="4"/>
        <v>0</v>
      </c>
      <c r="E34" s="2"/>
      <c r="F34" s="19"/>
      <c r="G34" s="2"/>
      <c r="H34" s="2">
        <f t="shared" si="5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 t="shared" si="8"/>
        <v>0</v>
      </c>
      <c r="Q34" s="2"/>
      <c r="R34" s="19"/>
      <c r="S34" s="2"/>
      <c r="T34" s="2">
        <f>--242.09</f>
        <v>242.09</v>
      </c>
      <c r="U34" s="2"/>
      <c r="V34" s="19"/>
      <c r="W34" s="2"/>
      <c r="X34" s="2">
        <f t="shared" si="2"/>
        <v>-242.09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"4131", " - ", "NON-TAXABLE SALES-FOOD")</f>
        <v xml:space="preserve">          4131 - NON-TAXABLE SALES-FOOD</v>
      </c>
      <c r="C35" s="10"/>
      <c r="D35" s="2">
        <f t="shared" si="4"/>
        <v>0</v>
      </c>
      <c r="E35" s="2"/>
      <c r="F35" s="19"/>
      <c r="G35" s="2"/>
      <c r="H35" s="2">
        <f t="shared" si="5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--1847.16</f>
        <v>1847.16</v>
      </c>
      <c r="Q35" s="2"/>
      <c r="R35" s="19"/>
      <c r="S35" s="2"/>
      <c r="T35" s="2">
        <f>--56310.14</f>
        <v>56310.14</v>
      </c>
      <c r="U35" s="2"/>
      <c r="V35" s="19"/>
      <c r="W35" s="2"/>
      <c r="X35" s="2">
        <f t="shared" si="2"/>
        <v>-54462.979999999996</v>
      </c>
      <c r="Y35" s="2"/>
      <c r="Z35" s="19">
        <f t="shared" si="3"/>
        <v>-0.96719667186052094</v>
      </c>
    </row>
    <row r="36" spans="1:26" s="23" customFormat="1" hidden="1" outlineLevel="1" x14ac:dyDescent="0.25">
      <c r="A36" s="44"/>
      <c r="B36" s="10" t="str">
        <f>CONCATENATE("          ", "4132", " - ", "NON-TAXABLE SALES-JUICE")</f>
        <v xml:space="preserve">          4132 - NON-TAXABLE SALES-JUICE</v>
      </c>
      <c r="C36" s="10"/>
      <c r="D36" s="2">
        <f t="shared" si="4"/>
        <v>0</v>
      </c>
      <c r="E36" s="2"/>
      <c r="F36" s="19"/>
      <c r="G36" s="2"/>
      <c r="H36" s="2">
        <f t="shared" si="5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ref="P36:P43" si="9">0</f>
        <v>0</v>
      </c>
      <c r="Q36" s="2"/>
      <c r="R36" s="19"/>
      <c r="S36" s="2"/>
      <c r="T36" s="2">
        <f>--16199.63</f>
        <v>16199.63</v>
      </c>
      <c r="U36" s="2"/>
      <c r="V36" s="19"/>
      <c r="W36" s="2"/>
      <c r="X36" s="2">
        <f t="shared" si="2"/>
        <v>-16199.63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"4133", " - ", "NON-TAXABLE SALES-CANDY")</f>
        <v xml:space="preserve">          4133 - NON-TAXABLE SALES-CANDY</v>
      </c>
      <c r="C37" s="10"/>
      <c r="D37" s="2">
        <f t="shared" si="4"/>
        <v>0</v>
      </c>
      <c r="E37" s="2"/>
      <c r="F37" s="19"/>
      <c r="G37" s="2"/>
      <c r="H37" s="2">
        <f t="shared" si="5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 t="shared" si="9"/>
        <v>0</v>
      </c>
      <c r="Q37" s="2"/>
      <c r="R37" s="19"/>
      <c r="S37" s="2"/>
      <c r="T37" s="2">
        <f>--15823.84</f>
        <v>15823.84</v>
      </c>
      <c r="U37" s="2"/>
      <c r="V37" s="19"/>
      <c r="W37" s="2"/>
      <c r="X37" s="2">
        <f t="shared" si="2"/>
        <v>-15823.84</v>
      </c>
      <c r="Y37" s="2"/>
      <c r="Z37" s="19">
        <f t="shared" si="3"/>
        <v>-1</v>
      </c>
    </row>
    <row r="38" spans="1:26" s="23" customFormat="1" hidden="1" outlineLevel="1" x14ac:dyDescent="0.25">
      <c r="A38" s="44"/>
      <c r="B38" s="10" t="str">
        <f>CONCATENATE("          ", "4134", " - ", "NON-TAXABLE SALES-SODA")</f>
        <v xml:space="preserve">          4134 - NON-TAXABLE SALES-SODA</v>
      </c>
      <c r="C38" s="10"/>
      <c r="D38" s="2">
        <f t="shared" si="4"/>
        <v>0</v>
      </c>
      <c r="E38" s="2"/>
      <c r="F38" s="19"/>
      <c r="G38" s="2"/>
      <c r="H38" s="2">
        <f t="shared" si="5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si="9"/>
        <v>0</v>
      </c>
      <c r="Q38" s="2"/>
      <c r="R38" s="19"/>
      <c r="S38" s="2"/>
      <c r="T38" s="2">
        <f>--1.89</f>
        <v>1.89</v>
      </c>
      <c r="U38" s="2"/>
      <c r="V38" s="19"/>
      <c r="W38" s="2"/>
      <c r="X38" s="2">
        <f t="shared" si="2"/>
        <v>-1.89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"4135", " - ", "NON-TAXABLE SALES")</f>
        <v xml:space="preserve">          4135 - NON-TAXABLE SALES</v>
      </c>
      <c r="C39" s="10"/>
      <c r="D39" s="2">
        <f t="shared" si="4"/>
        <v>0</v>
      </c>
      <c r="E39" s="2"/>
      <c r="F39" s="19"/>
      <c r="G39" s="2"/>
      <c r="H39" s="2">
        <f t="shared" si="5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 t="shared" si="9"/>
        <v>0</v>
      </c>
      <c r="Q39" s="2"/>
      <c r="R39" s="19"/>
      <c r="S39" s="2"/>
      <c r="T39" s="2">
        <f>--111.24</f>
        <v>111.24</v>
      </c>
      <c r="U39" s="2"/>
      <c r="V39" s="19"/>
      <c r="W39" s="2"/>
      <c r="X39" s="2">
        <f t="shared" si="2"/>
        <v>-111.24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"4137", " - ", "NON-TAXABLE SALES-WATER")</f>
        <v xml:space="preserve">          4137 - NON-TAXABLE SALES-WATER</v>
      </c>
      <c r="C40" s="10"/>
      <c r="D40" s="2">
        <f t="shared" si="4"/>
        <v>0</v>
      </c>
      <c r="E40" s="2"/>
      <c r="F40" s="19"/>
      <c r="G40" s="2"/>
      <c r="H40" s="2">
        <f t="shared" si="5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9"/>
        <v>0</v>
      </c>
      <c r="Q40" s="2"/>
      <c r="R40" s="19"/>
      <c r="S40" s="2"/>
      <c r="T40" s="2">
        <f>--8396.06</f>
        <v>8396.06</v>
      </c>
      <c r="U40" s="2"/>
      <c r="V40" s="19"/>
      <c r="W40" s="2"/>
      <c r="X40" s="2">
        <f t="shared" si="2"/>
        <v>-8396.06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"4186", " - ", "NON-TAXABLE SALES-COMPUTER SUP")</f>
        <v xml:space="preserve">          4186 - NON-TAXABLE SALES-COMPUTER SUP</v>
      </c>
      <c r="C41" s="10"/>
      <c r="D41" s="2">
        <f t="shared" si="4"/>
        <v>0</v>
      </c>
      <c r="E41" s="2"/>
      <c r="F41" s="19"/>
      <c r="G41" s="2"/>
      <c r="H41" s="2">
        <f t="shared" si="5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9"/>
        <v>0</v>
      </c>
      <c r="Q41" s="2"/>
      <c r="R41" s="19"/>
      <c r="S41" s="2"/>
      <c r="T41" s="2">
        <f>-30.97</f>
        <v>-30.97</v>
      </c>
      <c r="U41" s="2"/>
      <c r="V41" s="19"/>
      <c r="W41" s="2"/>
      <c r="X41" s="2">
        <f t="shared" si="2"/>
        <v>30.97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"4225", " - ", "SALES RETURN TAXABLE-TEST FORM")</f>
        <v xml:space="preserve">          4225 - SALES RETURN TAXABLE-TEST FORM</v>
      </c>
      <c r="C42" s="10"/>
      <c r="D42" s="2">
        <f t="shared" si="4"/>
        <v>0</v>
      </c>
      <c r="E42" s="2"/>
      <c r="F42" s="19"/>
      <c r="G42" s="2"/>
      <c r="H42" s="2">
        <f t="shared" si="5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9"/>
        <v>0</v>
      </c>
      <c r="Q42" s="2"/>
      <c r="R42" s="19"/>
      <c r="S42" s="2"/>
      <c r="T42" s="2">
        <f>-35.13</f>
        <v>-35.130000000000003</v>
      </c>
      <c r="U42" s="2"/>
      <c r="V42" s="19"/>
      <c r="W42" s="2"/>
      <c r="X42" s="2">
        <f t="shared" si="2"/>
        <v>35.130000000000003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"4226", " - ", "SALES RETURN TAXABLE-WRITING I")</f>
        <v xml:space="preserve">          4226 - SALES RETURN TAXABLE-WRITING I</v>
      </c>
      <c r="C43" s="10"/>
      <c r="D43" s="2">
        <f t="shared" si="4"/>
        <v>0</v>
      </c>
      <c r="E43" s="2"/>
      <c r="F43" s="19"/>
      <c r="G43" s="2"/>
      <c r="H43" s="2">
        <f t="shared" si="5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9"/>
        <v>0</v>
      </c>
      <c r="Q43" s="2"/>
      <c r="R43" s="19"/>
      <c r="S43" s="2"/>
      <c r="T43" s="2">
        <f>-11.05</f>
        <v>-11.05</v>
      </c>
      <c r="U43" s="2"/>
      <c r="V43" s="19"/>
      <c r="W43" s="2"/>
      <c r="X43" s="2">
        <f t="shared" si="2"/>
        <v>11.05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"4227", " - ", "SALES RETURN TAXABLE-SCHOOL SU")</f>
        <v xml:space="preserve">          4227 - SALES RETURN TAXABLE-SCHOOL SU</v>
      </c>
      <c r="C44" s="10"/>
      <c r="D44" s="2">
        <f t="shared" si="4"/>
        <v>0</v>
      </c>
      <c r="E44" s="2"/>
      <c r="F44" s="19"/>
      <c r="G44" s="2"/>
      <c r="H44" s="2">
        <f t="shared" si="5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-159.97</f>
        <v>-159.97</v>
      </c>
      <c r="Q44" s="2"/>
      <c r="R44" s="19"/>
      <c r="S44" s="2"/>
      <c r="T44" s="2">
        <f>-42.06</f>
        <v>-42.06</v>
      </c>
      <c r="U44" s="2"/>
      <c r="V44" s="19"/>
      <c r="W44" s="2"/>
      <c r="X44" s="2">
        <f t="shared" si="2"/>
        <v>-117.91</v>
      </c>
      <c r="Y44" s="2"/>
      <c r="Z44" s="19">
        <f t="shared" si="3"/>
        <v>2.8033761293390391</v>
      </c>
    </row>
    <row r="45" spans="1:26" s="23" customFormat="1" hidden="1" outlineLevel="1" x14ac:dyDescent="0.25">
      <c r="A45" s="44"/>
      <c r="B45" s="10" t="str">
        <f>CONCATENATE("          ", "4228", " - ", "SALES RETURN TAXABLE-ART/TECH")</f>
        <v xml:space="preserve">          4228 - SALES RETURN TAXABLE-ART/TECH</v>
      </c>
      <c r="C45" s="10"/>
      <c r="D45" s="2">
        <f t="shared" si="4"/>
        <v>0</v>
      </c>
      <c r="E45" s="2"/>
      <c r="F45" s="19"/>
      <c r="G45" s="2"/>
      <c r="H45" s="2">
        <f t="shared" si="5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-222.2</f>
        <v>-222.2</v>
      </c>
      <c r="Q45" s="2"/>
      <c r="R45" s="19"/>
      <c r="S45" s="2"/>
      <c r="T45" s="2">
        <f>-4479.12</f>
        <v>-4479.12</v>
      </c>
      <c r="U45" s="2"/>
      <c r="V45" s="19"/>
      <c r="W45" s="2"/>
      <c r="X45" s="2">
        <f t="shared" si="2"/>
        <v>4256.92</v>
      </c>
      <c r="Y45" s="2"/>
      <c r="Z45" s="19">
        <f t="shared" si="3"/>
        <v>-0.9503920412938256</v>
      </c>
    </row>
    <row r="46" spans="1:26" s="23" customFormat="1" hidden="1" outlineLevel="1" x14ac:dyDescent="0.25">
      <c r="A46" s="44"/>
      <c r="B46" s="10" t="str">
        <f>CONCATENATE("          ", "4233", " - ", "SALES RETURN TAXABLE-CANDY")</f>
        <v xml:space="preserve">          4233 - SALES RETURN TAXABLE-CANDY</v>
      </c>
      <c r="C46" s="10"/>
      <c r="D46" s="2">
        <f t="shared" si="4"/>
        <v>0</v>
      </c>
      <c r="E46" s="2"/>
      <c r="F46" s="19"/>
      <c r="G46" s="2"/>
      <c r="H46" s="2">
        <f t="shared" si="5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0"/>
      <c r="P46" s="2">
        <f t="shared" ref="P46:P49" si="10">0</f>
        <v>0</v>
      </c>
      <c r="Q46" s="2"/>
      <c r="R46" s="19"/>
      <c r="S46" s="2"/>
      <c r="T46" s="2">
        <f>-8.25</f>
        <v>-8.25</v>
      </c>
      <c r="U46" s="2"/>
      <c r="V46" s="19"/>
      <c r="W46" s="2"/>
      <c r="X46" s="2">
        <f t="shared" si="2"/>
        <v>8.25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"4281", " - ", "SALES RETURN TAXABLE-ELECTRONI")</f>
        <v xml:space="preserve">          4281 - SALES RETURN TAXABLE-ELECTRONI</v>
      </c>
      <c r="C47" s="10"/>
      <c r="D47" s="2">
        <f t="shared" si="4"/>
        <v>0</v>
      </c>
      <c r="E47" s="2"/>
      <c r="F47" s="19"/>
      <c r="G47" s="2"/>
      <c r="H47" s="2">
        <f t="shared" si="5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0"/>
      <c r="P47" s="2">
        <f t="shared" si="10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"4331", " - ", "SALES RETURN NON TAXABLE-FOOD")</f>
        <v xml:space="preserve">          4331 - SALES RETURN NON TAXABLE-FOOD</v>
      </c>
      <c r="C48" s="10"/>
      <c r="D48" s="2">
        <f t="shared" si="4"/>
        <v>0</v>
      </c>
      <c r="E48" s="2"/>
      <c r="F48" s="19"/>
      <c r="G48" s="2"/>
      <c r="H48" s="2">
        <f t="shared" si="5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 t="shared" si="10"/>
        <v>0</v>
      </c>
      <c r="Q48" s="2"/>
      <c r="R48" s="19"/>
      <c r="S48" s="2"/>
      <c r="T48" s="2">
        <f>-12.57</f>
        <v>-12.57</v>
      </c>
      <c r="U48" s="2"/>
      <c r="V48" s="19"/>
      <c r="W48" s="2"/>
      <c r="X48" s="2">
        <f t="shared" si="2"/>
        <v>12.57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"4332", " - ", "SALES RETURN NON TAXABLE-JUICE")</f>
        <v xml:space="preserve">          4332 - SALES RETURN NON TAXABLE-JUICE</v>
      </c>
      <c r="C49" s="10"/>
      <c r="D49" s="2">
        <f t="shared" si="4"/>
        <v>0</v>
      </c>
      <c r="E49" s="2"/>
      <c r="F49" s="19"/>
      <c r="G49" s="2"/>
      <c r="H49" s="2">
        <f t="shared" si="5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si="10"/>
        <v>0</v>
      </c>
      <c r="Q49" s="2"/>
      <c r="R49" s="19"/>
      <c r="S49" s="2"/>
      <c r="T49" s="2">
        <f>-2.79</f>
        <v>-2.79</v>
      </c>
      <c r="U49" s="2"/>
      <c r="V49" s="19"/>
      <c r="W49" s="2"/>
      <c r="X49" s="2">
        <f t="shared" si="2"/>
        <v>2.79</v>
      </c>
      <c r="Y49" s="2"/>
      <c r="Z49" s="19">
        <f t="shared" si="3"/>
        <v>-1</v>
      </c>
    </row>
    <row r="50" spans="1:26" x14ac:dyDescent="0.25">
      <c r="A50" s="9"/>
      <c r="B50" s="11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collapsed="1" x14ac:dyDescent="0.25">
      <c r="A51" s="11"/>
      <c r="B51" s="29" t="s">
        <v>256</v>
      </c>
      <c r="C51" s="11"/>
      <c r="D51" s="4">
        <f>SUM(OSRRefD16x_0)</f>
        <v>28.53</v>
      </c>
      <c r="E51" s="4"/>
      <c r="F51" s="13">
        <f t="shared" ref="F51:F72" si="11">IF(D$12=0,0,D51/D$12)</f>
        <v>0</v>
      </c>
      <c r="G51" s="4"/>
      <c r="H51" s="4">
        <f>SUM(OSRRefH16x_0)</f>
        <v>0.54000000000010573</v>
      </c>
      <c r="I51" s="4"/>
      <c r="J51" s="13">
        <f t="shared" ref="J51:J72" si="12">IF(H$12=0,0,H51/H$12)</f>
        <v>0</v>
      </c>
      <c r="K51" s="4"/>
      <c r="L51" s="4">
        <f t="shared" ref="L51:L72" si="13">+D51-H51</f>
        <v>27.989999999999895</v>
      </c>
      <c r="M51" s="4"/>
      <c r="N51" s="13">
        <f t="shared" ref="N51:N72" si="14">IF(H51=0,0,L51/H51)</f>
        <v>51.83333333332299</v>
      </c>
      <c r="O51" s="11"/>
      <c r="P51" s="4">
        <f>SUM(OSRRefP16x_0)</f>
        <v>13821.519999999993</v>
      </c>
      <c r="Q51" s="4"/>
      <c r="R51" s="13">
        <f t="shared" ref="R51:R72" si="15">IF(P$12=0,0,P51/P$12)</f>
        <v>0.64853471672190932</v>
      </c>
      <c r="S51" s="4"/>
      <c r="T51" s="4">
        <f>SUM(OSRRefT16x_0)</f>
        <v>215794.72999999998</v>
      </c>
      <c r="U51" s="4"/>
      <c r="V51" s="13">
        <f t="shared" ref="V51:V72" si="16">IF(T$12=0,0,T51/T$12)</f>
        <v>0.52562422201818093</v>
      </c>
      <c r="W51" s="4"/>
      <c r="X51" s="4">
        <f t="shared" ref="X51:X72" si="17">+P51-T51</f>
        <v>-201973.21</v>
      </c>
      <c r="Y51" s="4"/>
      <c r="Z51" s="13">
        <f t="shared" ref="Z51:Z72" si="18">IF(T51=0,0,X51/T51)</f>
        <v>-0.93595061380785349</v>
      </c>
    </row>
    <row r="52" spans="1:26" s="23" customFormat="1" hidden="1" outlineLevel="1" x14ac:dyDescent="0.25">
      <c r="A52" s="44"/>
      <c r="B52" s="10" t="str">
        <f>CONCATENATE("          ", "5000", " - ", "PURCHASES @ COST")</f>
        <v xml:space="preserve">          5000 - PURCHASES @ COST</v>
      </c>
      <c r="C52" s="10"/>
      <c r="D52" s="2"/>
      <c r="E52" s="2"/>
      <c r="F52" s="19">
        <f t="shared" si="11"/>
        <v>0</v>
      </c>
      <c r="G52" s="2"/>
      <c r="H52" s="2"/>
      <c r="I52" s="2"/>
      <c r="J52" s="19">
        <f t="shared" si="12"/>
        <v>0</v>
      </c>
      <c r="K52" s="2"/>
      <c r="L52" s="2">
        <f t="shared" si="13"/>
        <v>0</v>
      </c>
      <c r="M52" s="2"/>
      <c r="N52" s="19">
        <f t="shared" si="14"/>
        <v>0</v>
      </c>
      <c r="O52" s="10"/>
      <c r="P52" s="2"/>
      <c r="Q52" s="2"/>
      <c r="R52" s="19">
        <f t="shared" si="15"/>
        <v>0</v>
      </c>
      <c r="S52" s="2"/>
      <c r="T52" s="2">
        <v>0</v>
      </c>
      <c r="U52" s="2"/>
      <c r="V52" s="19">
        <f t="shared" si="16"/>
        <v>0</v>
      </c>
      <c r="W52" s="2"/>
      <c r="X52" s="2">
        <f t="shared" si="17"/>
        <v>0</v>
      </c>
      <c r="Y52" s="2"/>
      <c r="Z52" s="19">
        <f t="shared" si="18"/>
        <v>0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0"/>
      <c r="P53" s="2"/>
      <c r="Q53" s="2"/>
      <c r="R53" s="19">
        <f t="shared" si="15"/>
        <v>0</v>
      </c>
      <c r="S53" s="2"/>
      <c r="T53" s="2">
        <v>14.46</v>
      </c>
      <c r="U53" s="2"/>
      <c r="V53" s="19">
        <f t="shared" si="16"/>
        <v>3.522109298212657E-5</v>
      </c>
      <c r="W53" s="2"/>
      <c r="X53" s="2">
        <f t="shared" si="17"/>
        <v>-14.46</v>
      </c>
      <c r="Y53" s="2"/>
      <c r="Z53" s="19">
        <f t="shared" si="18"/>
        <v>-1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0"/>
      <c r="P54" s="2"/>
      <c r="Q54" s="2"/>
      <c r="R54" s="19">
        <f t="shared" si="15"/>
        <v>0</v>
      </c>
      <c r="S54" s="2"/>
      <c r="T54" s="2">
        <v>688.18</v>
      </c>
      <c r="U54" s="2"/>
      <c r="V54" s="19">
        <f t="shared" si="16"/>
        <v>1.6762414777620927E-3</v>
      </c>
      <c r="W54" s="2"/>
      <c r="X54" s="2">
        <f t="shared" si="17"/>
        <v>-688.18</v>
      </c>
      <c r="Y54" s="2"/>
      <c r="Z54" s="19">
        <f t="shared" si="18"/>
        <v>-1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/>
      <c r="E55" s="2"/>
      <c r="F55" s="19">
        <f t="shared" si="11"/>
        <v>0</v>
      </c>
      <c r="G55" s="2"/>
      <c r="H55" s="2">
        <v>-1156.5999999999999</v>
      </c>
      <c r="I55" s="2"/>
      <c r="J55" s="19">
        <f t="shared" si="12"/>
        <v>0</v>
      </c>
      <c r="K55" s="2"/>
      <c r="L55" s="2">
        <f t="shared" si="13"/>
        <v>1156.5999999999999</v>
      </c>
      <c r="M55" s="2"/>
      <c r="N55" s="19">
        <f t="shared" si="14"/>
        <v>-1</v>
      </c>
      <c r="O55" s="10"/>
      <c r="P55" s="2">
        <v>364.91</v>
      </c>
      <c r="Q55" s="2"/>
      <c r="R55" s="19">
        <f t="shared" si="15"/>
        <v>1.7122342801587094E-2</v>
      </c>
      <c r="S55" s="2"/>
      <c r="T55" s="2">
        <v>3365.91</v>
      </c>
      <c r="U55" s="2"/>
      <c r="V55" s="19">
        <f t="shared" si="16"/>
        <v>8.1985497288706525E-3</v>
      </c>
      <c r="W55" s="2"/>
      <c r="X55" s="2">
        <f t="shared" si="17"/>
        <v>-3001</v>
      </c>
      <c r="Y55" s="2"/>
      <c r="Z55" s="19">
        <f t="shared" si="18"/>
        <v>-0.89158652489222834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/>
      <c r="E56" s="2"/>
      <c r="F56" s="19">
        <f t="shared" si="11"/>
        <v>0</v>
      </c>
      <c r="G56" s="2"/>
      <c r="H56" s="2">
        <v>-208.72</v>
      </c>
      <c r="I56" s="2"/>
      <c r="J56" s="19">
        <f t="shared" si="12"/>
        <v>0</v>
      </c>
      <c r="K56" s="2"/>
      <c r="L56" s="2">
        <f t="shared" si="13"/>
        <v>208.72</v>
      </c>
      <c r="M56" s="2"/>
      <c r="N56" s="19">
        <f t="shared" si="14"/>
        <v>-1</v>
      </c>
      <c r="O56" s="10"/>
      <c r="P56" s="2">
        <v>895.47</v>
      </c>
      <c r="Q56" s="2"/>
      <c r="R56" s="19">
        <f t="shared" si="15"/>
        <v>4.201733114613794E-2</v>
      </c>
      <c r="S56" s="2"/>
      <c r="T56" s="2">
        <v>3855.85</v>
      </c>
      <c r="U56" s="2"/>
      <c r="V56" s="19">
        <f t="shared" si="16"/>
        <v>9.3919260978653323E-3</v>
      </c>
      <c r="W56" s="2"/>
      <c r="X56" s="2">
        <f t="shared" si="17"/>
        <v>-2960.38</v>
      </c>
      <c r="Y56" s="2"/>
      <c r="Z56" s="19">
        <f t="shared" si="18"/>
        <v>-0.76776326879935686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/>
      <c r="E57" s="2"/>
      <c r="F57" s="19">
        <f t="shared" si="11"/>
        <v>0</v>
      </c>
      <c r="G57" s="2"/>
      <c r="H57" s="2">
        <v>-72.790000000000006</v>
      </c>
      <c r="I57" s="2"/>
      <c r="J57" s="19">
        <f t="shared" si="12"/>
        <v>0</v>
      </c>
      <c r="K57" s="2"/>
      <c r="L57" s="2">
        <f t="shared" si="13"/>
        <v>72.790000000000006</v>
      </c>
      <c r="M57" s="2"/>
      <c r="N57" s="19">
        <f t="shared" si="14"/>
        <v>-1</v>
      </c>
      <c r="O57" s="10"/>
      <c r="P57" s="2">
        <v>41441.85</v>
      </c>
      <c r="Q57" s="2"/>
      <c r="R57" s="19">
        <f t="shared" si="15"/>
        <v>1.9445385493188789</v>
      </c>
      <c r="S57" s="2"/>
      <c r="T57" s="2">
        <v>151965.68</v>
      </c>
      <c r="U57" s="2"/>
      <c r="V57" s="19">
        <f t="shared" si="16"/>
        <v>0.37015196026086383</v>
      </c>
      <c r="W57" s="2"/>
      <c r="X57" s="2">
        <f t="shared" si="17"/>
        <v>-110523.82999999999</v>
      </c>
      <c r="Y57" s="2"/>
      <c r="Z57" s="19">
        <f t="shared" si="18"/>
        <v>-0.72729467600842501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/>
      <c r="E58" s="2"/>
      <c r="F58" s="19">
        <f t="shared" si="11"/>
        <v>0</v>
      </c>
      <c r="G58" s="2"/>
      <c r="H58" s="2"/>
      <c r="I58" s="2"/>
      <c r="J58" s="19">
        <f t="shared" si="12"/>
        <v>0</v>
      </c>
      <c r="K58" s="2"/>
      <c r="L58" s="2">
        <f t="shared" si="13"/>
        <v>0</v>
      </c>
      <c r="M58" s="2"/>
      <c r="N58" s="19">
        <f t="shared" si="14"/>
        <v>0</v>
      </c>
      <c r="O58" s="10"/>
      <c r="P58" s="2">
        <v>2441.5700000000002</v>
      </c>
      <c r="Q58" s="2"/>
      <c r="R58" s="19">
        <f t="shared" si="15"/>
        <v>0.11456358695040149</v>
      </c>
      <c r="S58" s="2"/>
      <c r="T58" s="2">
        <v>32459.35</v>
      </c>
      <c r="U58" s="2"/>
      <c r="V58" s="19">
        <f t="shared" si="16"/>
        <v>7.9063193948090582E-2</v>
      </c>
      <c r="W58" s="2"/>
      <c r="X58" s="2">
        <f t="shared" si="17"/>
        <v>-30017.78</v>
      </c>
      <c r="Y58" s="2"/>
      <c r="Z58" s="19">
        <f t="shared" si="18"/>
        <v>-0.92478068722879536</v>
      </c>
    </row>
    <row r="59" spans="1:26" s="23" customFormat="1" hidden="1" outlineLevel="1" x14ac:dyDescent="0.25">
      <c r="A59" s="44"/>
      <c r="B59" s="10" t="str">
        <f>CONCATENATE("          ", "5032", " - ", "PURCHASES @ COST-JUICE")</f>
        <v xml:space="preserve">          5032 - PURCHASES @ COST-JUICE</v>
      </c>
      <c r="C59" s="10"/>
      <c r="D59" s="2"/>
      <c r="E59" s="2"/>
      <c r="F59" s="19">
        <f t="shared" si="11"/>
        <v>0</v>
      </c>
      <c r="G59" s="2"/>
      <c r="H59" s="2"/>
      <c r="I59" s="2"/>
      <c r="J59" s="19">
        <f t="shared" si="12"/>
        <v>0</v>
      </c>
      <c r="K59" s="2"/>
      <c r="L59" s="2">
        <f t="shared" si="13"/>
        <v>0</v>
      </c>
      <c r="M59" s="2"/>
      <c r="N59" s="19">
        <f t="shared" si="14"/>
        <v>0</v>
      </c>
      <c r="O59" s="10"/>
      <c r="P59" s="2"/>
      <c r="Q59" s="2"/>
      <c r="R59" s="19">
        <f t="shared" si="15"/>
        <v>0</v>
      </c>
      <c r="S59" s="2"/>
      <c r="T59" s="2">
        <v>7802.45</v>
      </c>
      <c r="U59" s="2"/>
      <c r="V59" s="19">
        <f t="shared" si="16"/>
        <v>1.9004897436956669E-2</v>
      </c>
      <c r="W59" s="2"/>
      <c r="X59" s="2">
        <f t="shared" si="17"/>
        <v>-7802.45</v>
      </c>
      <c r="Y59" s="2"/>
      <c r="Z59" s="19">
        <f t="shared" si="18"/>
        <v>-1</v>
      </c>
    </row>
    <row r="60" spans="1:26" s="23" customFormat="1" hidden="1" outlineLevel="1" x14ac:dyDescent="0.25">
      <c r="A60" s="44"/>
      <c r="B60" s="10" t="str">
        <f>CONCATENATE("          ", "5033", " - ", "PURCHASES @ COST-CANDY")</f>
        <v xml:space="preserve">          5033 - PURCHASES @ COST-CANDY</v>
      </c>
      <c r="C60" s="10"/>
      <c r="D60" s="2"/>
      <c r="E60" s="2"/>
      <c r="F60" s="19">
        <f t="shared" si="11"/>
        <v>0</v>
      </c>
      <c r="G60" s="2"/>
      <c r="H60" s="2"/>
      <c r="I60" s="2"/>
      <c r="J60" s="19">
        <f t="shared" si="12"/>
        <v>0</v>
      </c>
      <c r="K60" s="2"/>
      <c r="L60" s="2">
        <f t="shared" si="13"/>
        <v>0</v>
      </c>
      <c r="M60" s="2"/>
      <c r="N60" s="19">
        <f t="shared" si="14"/>
        <v>0</v>
      </c>
      <c r="O60" s="10"/>
      <c r="P60" s="2"/>
      <c r="Q60" s="2"/>
      <c r="R60" s="19">
        <f t="shared" si="15"/>
        <v>0</v>
      </c>
      <c r="S60" s="2"/>
      <c r="T60" s="2">
        <v>8879.33</v>
      </c>
      <c r="U60" s="2"/>
      <c r="V60" s="19">
        <f t="shared" si="16"/>
        <v>2.1627918917633878E-2</v>
      </c>
      <c r="W60" s="2"/>
      <c r="X60" s="2">
        <f t="shared" si="17"/>
        <v>-8879.33</v>
      </c>
      <c r="Y60" s="2"/>
      <c r="Z60" s="19">
        <f t="shared" si="18"/>
        <v>-1</v>
      </c>
    </row>
    <row r="61" spans="1:26" s="23" customFormat="1" hidden="1" outlineLevel="1" x14ac:dyDescent="0.25">
      <c r="A61" s="44"/>
      <c r="B61" s="10" t="str">
        <f>CONCATENATE("          ", "5034", " - ", "PURCHASES @ COST-SODA")</f>
        <v xml:space="preserve">          5034 - PURCHASES @ COST-SODA</v>
      </c>
      <c r="C61" s="10"/>
      <c r="D61" s="2"/>
      <c r="E61" s="2"/>
      <c r="F61" s="19">
        <f t="shared" si="11"/>
        <v>0</v>
      </c>
      <c r="G61" s="2"/>
      <c r="H61" s="2"/>
      <c r="I61" s="2"/>
      <c r="J61" s="19">
        <f t="shared" si="12"/>
        <v>0</v>
      </c>
      <c r="K61" s="2"/>
      <c r="L61" s="2">
        <f t="shared" si="13"/>
        <v>0</v>
      </c>
      <c r="M61" s="2"/>
      <c r="N61" s="19">
        <f t="shared" si="14"/>
        <v>0</v>
      </c>
      <c r="O61" s="10"/>
      <c r="P61" s="2"/>
      <c r="Q61" s="2"/>
      <c r="R61" s="19">
        <f t="shared" si="15"/>
        <v>0</v>
      </c>
      <c r="S61" s="2"/>
      <c r="T61" s="2">
        <v>4033.88</v>
      </c>
      <c r="U61" s="2"/>
      <c r="V61" s="19">
        <f t="shared" si="16"/>
        <v>9.8255644923057207E-3</v>
      </c>
      <c r="W61" s="2"/>
      <c r="X61" s="2">
        <f t="shared" si="17"/>
        <v>-4033.88</v>
      </c>
      <c r="Y61" s="2"/>
      <c r="Z61" s="19">
        <f t="shared" si="18"/>
        <v>-1</v>
      </c>
    </row>
    <row r="62" spans="1:26" s="23" customFormat="1" hidden="1" outlineLevel="1" x14ac:dyDescent="0.25">
      <c r="A62" s="44"/>
      <c r="B62" s="10" t="str">
        <f>CONCATENATE("          ", "5035", " - ", "PURCHASES @ COST-HEALTH &amp; BEAU")</f>
        <v xml:space="preserve">          5035 - PURCHASES @ COST-HEALTH &amp; BEAU</v>
      </c>
      <c r="C62" s="10"/>
      <c r="D62" s="2"/>
      <c r="E62" s="2"/>
      <c r="F62" s="19">
        <f t="shared" si="11"/>
        <v>0</v>
      </c>
      <c r="G62" s="2"/>
      <c r="H62" s="2"/>
      <c r="I62" s="2"/>
      <c r="J62" s="19">
        <f t="shared" si="12"/>
        <v>0</v>
      </c>
      <c r="K62" s="2"/>
      <c r="L62" s="2">
        <f t="shared" si="13"/>
        <v>0</v>
      </c>
      <c r="M62" s="2"/>
      <c r="N62" s="19">
        <f t="shared" si="14"/>
        <v>0</v>
      </c>
      <c r="O62" s="10"/>
      <c r="P62" s="2"/>
      <c r="Q62" s="2"/>
      <c r="R62" s="19">
        <f t="shared" si="15"/>
        <v>0</v>
      </c>
      <c r="S62" s="2"/>
      <c r="T62" s="2">
        <v>1081.4000000000001</v>
      </c>
      <c r="U62" s="2"/>
      <c r="V62" s="19">
        <f t="shared" si="16"/>
        <v>2.6340311169344172E-3</v>
      </c>
      <c r="W62" s="2"/>
      <c r="X62" s="2">
        <f t="shared" si="17"/>
        <v>-1081.4000000000001</v>
      </c>
      <c r="Y62" s="2"/>
      <c r="Z62" s="19">
        <f t="shared" si="18"/>
        <v>-1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/>
      <c r="E63" s="2"/>
      <c r="F63" s="19">
        <f t="shared" si="11"/>
        <v>0</v>
      </c>
      <c r="G63" s="2"/>
      <c r="H63" s="2"/>
      <c r="I63" s="2"/>
      <c r="J63" s="19">
        <f t="shared" si="12"/>
        <v>0</v>
      </c>
      <c r="K63" s="2"/>
      <c r="L63" s="2">
        <f t="shared" si="13"/>
        <v>0</v>
      </c>
      <c r="M63" s="2"/>
      <c r="N63" s="19">
        <f t="shared" si="14"/>
        <v>0</v>
      </c>
      <c r="O63" s="10"/>
      <c r="P63" s="2"/>
      <c r="Q63" s="2"/>
      <c r="R63" s="19">
        <f t="shared" si="15"/>
        <v>0</v>
      </c>
      <c r="S63" s="2"/>
      <c r="T63" s="2">
        <v>5663.81</v>
      </c>
      <c r="U63" s="2"/>
      <c r="V63" s="19">
        <f t="shared" si="16"/>
        <v>1.3795683170338746E-2</v>
      </c>
      <c r="W63" s="2"/>
      <c r="X63" s="2">
        <f t="shared" si="17"/>
        <v>-5663.81</v>
      </c>
      <c r="Y63" s="2"/>
      <c r="Z63" s="19">
        <f t="shared" si="18"/>
        <v>-1</v>
      </c>
    </row>
    <row r="64" spans="1:26" s="23" customFormat="1" hidden="1" outlineLevel="1" x14ac:dyDescent="0.25">
      <c r="A64" s="44"/>
      <c r="B64" s="10" t="str">
        <f>CONCATENATE("          ", "5081", " - ", "PURCHASES @ COST-ELECTRONICS")</f>
        <v xml:space="preserve">          5081 - PURCHASES @ COST-ELECTRONICS</v>
      </c>
      <c r="C64" s="10"/>
      <c r="D64" s="2"/>
      <c r="E64" s="2"/>
      <c r="F64" s="19">
        <f t="shared" si="11"/>
        <v>0</v>
      </c>
      <c r="G64" s="2"/>
      <c r="H64" s="2"/>
      <c r="I64" s="2"/>
      <c r="J64" s="19">
        <f t="shared" si="12"/>
        <v>0</v>
      </c>
      <c r="K64" s="2"/>
      <c r="L64" s="2">
        <f t="shared" si="13"/>
        <v>0</v>
      </c>
      <c r="M64" s="2"/>
      <c r="N64" s="19">
        <f t="shared" si="14"/>
        <v>0</v>
      </c>
      <c r="O64" s="10"/>
      <c r="P64" s="2"/>
      <c r="Q64" s="2"/>
      <c r="R64" s="19">
        <f t="shared" si="15"/>
        <v>0</v>
      </c>
      <c r="S64" s="2"/>
      <c r="T64" s="2">
        <v>2008.03</v>
      </c>
      <c r="U64" s="2"/>
      <c r="V64" s="19">
        <f t="shared" si="16"/>
        <v>4.8910796224688529E-3</v>
      </c>
      <c r="W64" s="2"/>
      <c r="X64" s="2">
        <f t="shared" si="17"/>
        <v>-2008.03</v>
      </c>
      <c r="Y64" s="2"/>
      <c r="Z64" s="19">
        <f t="shared" si="18"/>
        <v>-1</v>
      </c>
    </row>
    <row r="65" spans="1:26" s="23" customFormat="1" hidden="1" outlineLevel="1" x14ac:dyDescent="0.25">
      <c r="A65" s="44"/>
      <c r="B65" s="10" t="str">
        <f>CONCATENATE("          ", "5082", " - ", "PURCHASES @ COST-COMPUTER HARD")</f>
        <v xml:space="preserve">          5082 - PURCHASES @ COST-COMPUTER HARD</v>
      </c>
      <c r="C65" s="10"/>
      <c r="D65" s="2"/>
      <c r="E65" s="2"/>
      <c r="F65" s="19">
        <f t="shared" si="11"/>
        <v>0</v>
      </c>
      <c r="G65" s="2"/>
      <c r="H65" s="2"/>
      <c r="I65" s="2"/>
      <c r="J65" s="19">
        <f t="shared" si="12"/>
        <v>0</v>
      </c>
      <c r="K65" s="2"/>
      <c r="L65" s="2">
        <f t="shared" si="13"/>
        <v>0</v>
      </c>
      <c r="M65" s="2"/>
      <c r="N65" s="19">
        <f t="shared" si="14"/>
        <v>0</v>
      </c>
      <c r="O65" s="10"/>
      <c r="P65" s="2"/>
      <c r="Q65" s="2"/>
      <c r="R65" s="19">
        <f t="shared" si="15"/>
        <v>0</v>
      </c>
      <c r="S65" s="2"/>
      <c r="T65" s="2">
        <v>349.6</v>
      </c>
      <c r="U65" s="2"/>
      <c r="V65" s="19">
        <f t="shared" si="16"/>
        <v>8.5154177776980975E-4</v>
      </c>
      <c r="W65" s="2"/>
      <c r="X65" s="2">
        <f t="shared" si="17"/>
        <v>-349.6</v>
      </c>
      <c r="Y65" s="2"/>
      <c r="Z65" s="19">
        <f t="shared" si="18"/>
        <v>-1</v>
      </c>
    </row>
    <row r="66" spans="1:26" s="23" customFormat="1" hidden="1" outlineLevel="1" x14ac:dyDescent="0.25">
      <c r="A66" s="44"/>
      <c r="B66" s="10" t="str">
        <f>CONCATENATE("          ", "5083", " - ", "PURCHASES @ COST-COMPUTER EQUI")</f>
        <v xml:space="preserve">          5083 - PURCHASES @ COST-COMPUTER EQUI</v>
      </c>
      <c r="C66" s="10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0"/>
      <c r="P66" s="2"/>
      <c r="Q66" s="2"/>
      <c r="R66" s="19">
        <f t="shared" si="15"/>
        <v>0</v>
      </c>
      <c r="S66" s="2"/>
      <c r="T66" s="2">
        <v>304.70999999999998</v>
      </c>
      <c r="U66" s="2"/>
      <c r="V66" s="19">
        <f t="shared" si="16"/>
        <v>7.4220050087024799E-4</v>
      </c>
      <c r="W66" s="2"/>
      <c r="X66" s="2">
        <f t="shared" si="17"/>
        <v>-304.70999999999998</v>
      </c>
      <c r="Y66" s="2"/>
      <c r="Z66" s="19">
        <f t="shared" si="18"/>
        <v>-1</v>
      </c>
    </row>
    <row r="67" spans="1:26" s="23" customFormat="1" hidden="1" outlineLevel="1" x14ac:dyDescent="0.25">
      <c r="A67" s="44"/>
      <c r="B67" s="10" t="str">
        <f>CONCATENATE("          ", "5086", " - ", "PURCHASES @ COST-COMPUTER SUPP")</f>
        <v xml:space="preserve">          5086 - PURCHASES @ COST-COMPUTER SUPP</v>
      </c>
      <c r="C67" s="10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0"/>
      <c r="P67" s="2"/>
      <c r="Q67" s="2"/>
      <c r="R67" s="19">
        <f t="shared" si="15"/>
        <v>0</v>
      </c>
      <c r="S67" s="2"/>
      <c r="T67" s="2">
        <v>426.22</v>
      </c>
      <c r="U67" s="2"/>
      <c r="V67" s="19">
        <f t="shared" si="16"/>
        <v>1.0381697268908704E-3</v>
      </c>
      <c r="W67" s="2"/>
      <c r="X67" s="2">
        <f t="shared" si="17"/>
        <v>-426.22</v>
      </c>
      <c r="Y67" s="2"/>
      <c r="Z67" s="19">
        <f t="shared" si="18"/>
        <v>-1</v>
      </c>
    </row>
    <row r="68" spans="1:26" s="23" customFormat="1" hidden="1" outlineLevel="1" x14ac:dyDescent="0.25">
      <c r="A68" s="44"/>
      <c r="B68" s="10" t="str">
        <f>CONCATENATE("          ", "5200", " - ", "PURCHASES OFFSET")</f>
        <v xml:space="preserve">          5200 - PURCHASES OFFSET</v>
      </c>
      <c r="C68" s="10"/>
      <c r="D68" s="2"/>
      <c r="E68" s="2"/>
      <c r="F68" s="19">
        <f t="shared" si="11"/>
        <v>0</v>
      </c>
      <c r="G68" s="2"/>
      <c r="H68" s="2">
        <v>1527</v>
      </c>
      <c r="I68" s="2"/>
      <c r="J68" s="19">
        <f t="shared" si="12"/>
        <v>0</v>
      </c>
      <c r="K68" s="2"/>
      <c r="L68" s="2">
        <f t="shared" si="13"/>
        <v>-1527</v>
      </c>
      <c r="M68" s="2"/>
      <c r="N68" s="19">
        <f t="shared" si="14"/>
        <v>-1</v>
      </c>
      <c r="O68" s="10"/>
      <c r="P68" s="2">
        <v>-45863.33</v>
      </c>
      <c r="Q68" s="2"/>
      <c r="R68" s="19">
        <f t="shared" si="15"/>
        <v>-2.1520036674311842</v>
      </c>
      <c r="S68" s="2"/>
      <c r="T68" s="2">
        <v>-225994</v>
      </c>
      <c r="U68" s="2"/>
      <c r="V68" s="19">
        <f t="shared" si="16"/>
        <v>-0.55046719829894264</v>
      </c>
      <c r="W68" s="2"/>
      <c r="X68" s="2">
        <f t="shared" si="17"/>
        <v>180130.66999999998</v>
      </c>
      <c r="Y68" s="2"/>
      <c r="Z68" s="19">
        <f t="shared" si="18"/>
        <v>-0.7970595237041691</v>
      </c>
    </row>
    <row r="69" spans="1:26" s="23" customFormat="1" hidden="1" outlineLevel="1" x14ac:dyDescent="0.25">
      <c r="A69" s="44"/>
      <c r="B69" s="10" t="str">
        <f>CONCATENATE("          ", "5300", " - ", "COG$ OFFSET")</f>
        <v xml:space="preserve">          5300 - COG$ OFFSET</v>
      </c>
      <c r="C69" s="10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0"/>
      <c r="P69" s="2">
        <v>14145</v>
      </c>
      <c r="Q69" s="2"/>
      <c r="R69" s="19">
        <f t="shared" si="15"/>
        <v>0.66371307700103988</v>
      </c>
      <c r="S69" s="2"/>
      <c r="T69" s="2">
        <v>215717</v>
      </c>
      <c r="U69" s="2"/>
      <c r="V69" s="19">
        <f t="shared" si="16"/>
        <v>0.5254348903752003</v>
      </c>
      <c r="W69" s="2"/>
      <c r="X69" s="2">
        <f t="shared" si="17"/>
        <v>-201572</v>
      </c>
      <c r="Y69" s="2"/>
      <c r="Z69" s="19">
        <f t="shared" si="18"/>
        <v>-0.93442797739631089</v>
      </c>
    </row>
    <row r="70" spans="1:26" s="23" customFormat="1" hidden="1" outlineLevel="1" x14ac:dyDescent="0.25">
      <c r="A70" s="44"/>
      <c r="B70" s="10" t="str">
        <f>CONCATENATE("          ", "5500", " - ", "FREIGHT-IN")</f>
        <v xml:space="preserve">          5500 - FREIGHT-IN</v>
      </c>
      <c r="C70" s="10"/>
      <c r="D70" s="2"/>
      <c r="E70" s="2"/>
      <c r="F70" s="19">
        <f t="shared" si="11"/>
        <v>0</v>
      </c>
      <c r="G70" s="2"/>
      <c r="H70" s="2"/>
      <c r="I70" s="2"/>
      <c r="J70" s="19">
        <f t="shared" si="12"/>
        <v>0</v>
      </c>
      <c r="K70" s="2"/>
      <c r="L70" s="2">
        <f t="shared" si="13"/>
        <v>0</v>
      </c>
      <c r="M70" s="2"/>
      <c r="N70" s="19">
        <f t="shared" si="14"/>
        <v>0</v>
      </c>
      <c r="O70" s="10"/>
      <c r="P70" s="2"/>
      <c r="Q70" s="2"/>
      <c r="R70" s="19">
        <f t="shared" si="15"/>
        <v>0</v>
      </c>
      <c r="S70" s="2"/>
      <c r="T70" s="2">
        <v>80</v>
      </c>
      <c r="U70" s="2"/>
      <c r="V70" s="19">
        <f t="shared" si="16"/>
        <v>1.9486081871162691E-4</v>
      </c>
      <c r="W70" s="2"/>
      <c r="X70" s="2">
        <f t="shared" si="17"/>
        <v>-80</v>
      </c>
      <c r="Y70" s="2"/>
      <c r="Z70" s="19">
        <f t="shared" si="18"/>
        <v>-1</v>
      </c>
    </row>
    <row r="71" spans="1:26" s="23" customFormat="1" hidden="1" outlineLevel="1" x14ac:dyDescent="0.25">
      <c r="A71" s="44"/>
      <c r="B71" s="10" t="str">
        <f>CONCATENATE("          ", "5527", " - ", "FREIGHT-IN-SCHOOL SUPPLIES")</f>
        <v xml:space="preserve">          5527 - FREIGHT-IN-SCHOOL SUPPLIES</v>
      </c>
      <c r="C71" s="10"/>
      <c r="D71" s="2"/>
      <c r="E71" s="2"/>
      <c r="F71" s="19">
        <f t="shared" si="11"/>
        <v>0</v>
      </c>
      <c r="G71" s="2"/>
      <c r="H71" s="2">
        <v>-95.6</v>
      </c>
      <c r="I71" s="2"/>
      <c r="J71" s="19">
        <f t="shared" si="12"/>
        <v>0</v>
      </c>
      <c r="K71" s="2"/>
      <c r="L71" s="2">
        <f t="shared" si="13"/>
        <v>95.6</v>
      </c>
      <c r="M71" s="2"/>
      <c r="N71" s="19">
        <f t="shared" si="14"/>
        <v>-1</v>
      </c>
      <c r="O71" s="10"/>
      <c r="P71" s="2"/>
      <c r="Q71" s="2"/>
      <c r="R71" s="19">
        <f t="shared" si="15"/>
        <v>0</v>
      </c>
      <c r="S71" s="2"/>
      <c r="T71" s="2">
        <v>369.28</v>
      </c>
      <c r="U71" s="2"/>
      <c r="V71" s="19">
        <f t="shared" si="16"/>
        <v>8.9947753917286985E-4</v>
      </c>
      <c r="W71" s="2"/>
      <c r="X71" s="2">
        <f t="shared" si="17"/>
        <v>-369.28</v>
      </c>
      <c r="Y71" s="2"/>
      <c r="Z71" s="19">
        <f t="shared" si="18"/>
        <v>-1</v>
      </c>
    </row>
    <row r="72" spans="1:26" s="23" customFormat="1" hidden="1" outlineLevel="1" x14ac:dyDescent="0.25">
      <c r="A72" s="44"/>
      <c r="B72" s="10" t="str">
        <f>CONCATENATE("          ", "5528", " - ", "FREIGHT-IN-ART/TECH")</f>
        <v xml:space="preserve">          5528 - FREIGHT-IN-ART/TECH</v>
      </c>
      <c r="C72" s="10"/>
      <c r="D72" s="2">
        <v>28.53</v>
      </c>
      <c r="E72" s="2"/>
      <c r="F72" s="19">
        <f t="shared" si="11"/>
        <v>0</v>
      </c>
      <c r="G72" s="2"/>
      <c r="H72" s="2">
        <v>7.25</v>
      </c>
      <c r="I72" s="2"/>
      <c r="J72" s="19">
        <f t="shared" si="12"/>
        <v>0</v>
      </c>
      <c r="K72" s="2"/>
      <c r="L72" s="2">
        <f t="shared" si="13"/>
        <v>21.28</v>
      </c>
      <c r="M72" s="2"/>
      <c r="N72" s="19">
        <f t="shared" si="14"/>
        <v>2.9351724137931035</v>
      </c>
      <c r="O72" s="10"/>
      <c r="P72" s="2">
        <v>396.05</v>
      </c>
      <c r="Q72" s="2"/>
      <c r="R72" s="19">
        <f t="shared" si="15"/>
        <v>1.8583496935048557E-2</v>
      </c>
      <c r="S72" s="2"/>
      <c r="T72" s="2">
        <v>2723.59</v>
      </c>
      <c r="U72" s="2"/>
      <c r="V72" s="19">
        <f t="shared" si="16"/>
        <v>6.6340122154349996E-3</v>
      </c>
      <c r="W72" s="2"/>
      <c r="X72" s="2">
        <f t="shared" si="17"/>
        <v>-2327.54</v>
      </c>
      <c r="Y72" s="2"/>
      <c r="Z72" s="19">
        <f t="shared" si="18"/>
        <v>-0.85458530836139057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8" t="s">
        <v>107</v>
      </c>
      <c r="C74" s="28"/>
      <c r="D74" s="20">
        <f>D12-D51</f>
        <v>-28.53</v>
      </c>
      <c r="E74" s="14"/>
      <c r="F74" s="21">
        <f>IF(D$12=0,0,D74/D$12)</f>
        <v>0</v>
      </c>
      <c r="G74" s="14"/>
      <c r="H74" s="20">
        <f>H12-H51</f>
        <v>-0.54000000000010573</v>
      </c>
      <c r="I74" s="14"/>
      <c r="J74" s="21">
        <f>IF(H$12=0,0,H74/H$12)</f>
        <v>0</v>
      </c>
      <c r="K74" s="15"/>
      <c r="L74" s="20">
        <f>+D74-H74</f>
        <v>-27.989999999999895</v>
      </c>
      <c r="M74" s="15"/>
      <c r="N74" s="21">
        <f>IF(H74=0,0,L74/H74)</f>
        <v>51.83333333332299</v>
      </c>
      <c r="O74" s="29"/>
      <c r="P74" s="20">
        <f>P12-P51</f>
        <v>7490.4000000000051</v>
      </c>
      <c r="Q74" s="14"/>
      <c r="R74" s="21">
        <f>IF(P$12=0,0,P74/P$12)</f>
        <v>0.35146528327809062</v>
      </c>
      <c r="S74" s="14"/>
      <c r="T74" s="20">
        <f>T12-T51</f>
        <v>194754.71000000025</v>
      </c>
      <c r="U74" s="14"/>
      <c r="V74" s="21">
        <f>IF(T$12=0,0,T74/T$12)</f>
        <v>0.47437577798181907</v>
      </c>
      <c r="W74" s="15"/>
      <c r="X74" s="20">
        <f>+P74-T74</f>
        <v>-187264.31000000026</v>
      </c>
      <c r="Y74" s="15"/>
      <c r="Z74" s="21">
        <f>IF(T74=0,0,X74/T74)</f>
        <v>-0.9615393127077646</v>
      </c>
    </row>
    <row r="75" spans="1:26" x14ac:dyDescent="0.25">
      <c r="A75" s="9"/>
      <c r="B75" s="11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4" customFormat="1" x14ac:dyDescent="0.25">
      <c r="A76" s="11"/>
      <c r="B76" s="29" t="s">
        <v>294</v>
      </c>
      <c r="C76" s="11"/>
      <c r="D76" s="22">
        <f>SUM(OSRRefD22x_0)</f>
        <v>53</v>
      </c>
      <c r="E76" s="22"/>
      <c r="F76" s="32">
        <f t="shared" ref="F76:F85" si="19">IF(D$12=0,0,D76/D$12)</f>
        <v>0</v>
      </c>
      <c r="G76" s="22"/>
      <c r="H76" s="22">
        <f>SUM(OSRRefH22x_0)</f>
        <v>181.75</v>
      </c>
      <c r="I76" s="22"/>
      <c r="J76" s="32">
        <f t="shared" ref="J76:J85" si="20">IF(H$12=0,0,H76/H$12)</f>
        <v>0</v>
      </c>
      <c r="K76" s="4"/>
      <c r="L76" s="22">
        <f t="shared" ref="L76:L85" si="21">+D76-H76</f>
        <v>-128.75</v>
      </c>
      <c r="M76" s="4"/>
      <c r="N76" s="32">
        <f t="shared" ref="N76:N85" si="22">IF(H76=0,0,L76/H76)</f>
        <v>-0.70839064649243466</v>
      </c>
      <c r="O76" s="11"/>
      <c r="P76" s="22">
        <f>SUM(OSRRefP22x_0)</f>
        <v>12753.859999999997</v>
      </c>
      <c r="Q76" s="22"/>
      <c r="R76" s="32">
        <f t="shared" ref="R76:R85" si="23">IF(P$12=0,0,P76/P$12)</f>
        <v>0.59843786951152211</v>
      </c>
      <c r="S76" s="22"/>
      <c r="T76" s="22">
        <f>SUM(OSRRefT22x_0)</f>
        <v>108541.04</v>
      </c>
      <c r="U76" s="22"/>
      <c r="V76" s="32">
        <f t="shared" ref="V76:V85" si="24">IF(T$12=0,0,T76/T$12)</f>
        <v>0.26437994897764305</v>
      </c>
      <c r="W76" s="4"/>
      <c r="X76" s="22">
        <f t="shared" ref="X76:X85" si="25">+P76-T76</f>
        <v>-95787.18</v>
      </c>
      <c r="Y76" s="4"/>
      <c r="Z76" s="32">
        <f t="shared" ref="Z76:Z85" si="26">IF(T76=0,0,X76/T76)</f>
        <v>-0.88249734846837657</v>
      </c>
    </row>
    <row r="77" spans="1:26" s="26" customFormat="1" outlineLevel="1" collapsed="1" x14ac:dyDescent="0.25">
      <c r="A77" s="25"/>
      <c r="B77" s="12" t="str">
        <f>CONCATENATE("     ","*Benefits                                         ")</f>
        <v xml:space="preserve">     *Benefits                                         </v>
      </c>
      <c r="C77" s="12"/>
      <c r="D77" s="1">
        <f>SUM(OSRRefD22_0x_0)</f>
        <v>0</v>
      </c>
      <c r="E77" s="1"/>
      <c r="F77" s="5">
        <f t="shared" si="19"/>
        <v>0</v>
      </c>
      <c r="G77" s="1"/>
      <c r="H77" s="1">
        <f>SUM(OSRRefH22_0x_0)</f>
        <v>0</v>
      </c>
      <c r="I77" s="1"/>
      <c r="J77" s="5">
        <f t="shared" si="20"/>
        <v>0</v>
      </c>
      <c r="K77" s="1"/>
      <c r="L77" s="1">
        <f t="shared" si="21"/>
        <v>0</v>
      </c>
      <c r="M77" s="1"/>
      <c r="N77" s="5">
        <f t="shared" si="22"/>
        <v>0</v>
      </c>
      <c r="O77" s="12"/>
      <c r="P77" s="1">
        <f>SUM(OSRRefP22_0x_0)</f>
        <v>778.2</v>
      </c>
      <c r="Q77" s="1"/>
      <c r="R77" s="5">
        <f t="shared" si="23"/>
        <v>3.6514776707119778E-2</v>
      </c>
      <c r="S77" s="1"/>
      <c r="T77" s="1">
        <f>SUM(OSRRefT22_0x_0)</f>
        <v>17660.419999999998</v>
      </c>
      <c r="U77" s="1"/>
      <c r="V77" s="5">
        <f t="shared" si="24"/>
        <v>4.3016548749889874E-2</v>
      </c>
      <c r="W77" s="1"/>
      <c r="X77" s="1">
        <f t="shared" si="25"/>
        <v>-16882.219999999998</v>
      </c>
      <c r="Y77" s="1"/>
      <c r="Z77" s="5">
        <f t="shared" si="26"/>
        <v>-0.95593536280564106</v>
      </c>
    </row>
    <row r="78" spans="1:26" s="23" customFormat="1" hidden="1" outlineLevel="2" x14ac:dyDescent="0.25">
      <c r="A78" s="27"/>
      <c r="B78" s="10" t="str">
        <f>CONCATENATE("          ", "6111", " - ", "F.I.C.A.")</f>
        <v xml:space="preserve">          6111 - F.I.C.A.</v>
      </c>
      <c r="C78" s="10"/>
      <c r="D78" s="6"/>
      <c r="E78" s="2"/>
      <c r="F78" s="7">
        <f t="shared" si="19"/>
        <v>0</v>
      </c>
      <c r="G78" s="2"/>
      <c r="H78" s="6"/>
      <c r="I78" s="2"/>
      <c r="J78" s="7">
        <f t="shared" si="20"/>
        <v>0</v>
      </c>
      <c r="K78" s="2"/>
      <c r="L78" s="6">
        <f t="shared" si="21"/>
        <v>0</v>
      </c>
      <c r="M78" s="2"/>
      <c r="N78" s="7">
        <f t="shared" si="22"/>
        <v>0</v>
      </c>
      <c r="O78" s="10"/>
      <c r="P78" s="6">
        <v>484.61</v>
      </c>
      <c r="Q78" s="2"/>
      <c r="R78" s="7">
        <f t="shared" si="23"/>
        <v>2.2738917938881154E-2</v>
      </c>
      <c r="S78" s="2"/>
      <c r="T78" s="6">
        <v>2534.9299999999998</v>
      </c>
      <c r="U78" s="2"/>
      <c r="V78" s="7">
        <f t="shared" si="24"/>
        <v>6.1744816897083051E-3</v>
      </c>
      <c r="W78" s="2"/>
      <c r="X78" s="6">
        <f t="shared" si="25"/>
        <v>-2050.3199999999997</v>
      </c>
      <c r="Y78" s="2"/>
      <c r="Z78" s="7">
        <f t="shared" si="26"/>
        <v>-0.80882706820306671</v>
      </c>
    </row>
    <row r="79" spans="1:26" s="23" customFormat="1" hidden="1" outlineLevel="2" x14ac:dyDescent="0.25">
      <c r="A79" s="27"/>
      <c r="B79" s="10" t="str">
        <f>CONCATENATE("          ", "6112", " - ", "COMPENSATION INSURANCE")</f>
        <v xml:space="preserve">          6112 - COMPENSATION INSURANCE</v>
      </c>
      <c r="C79" s="10"/>
      <c r="D79" s="6"/>
      <c r="E79" s="2"/>
      <c r="F79" s="7">
        <f t="shared" si="19"/>
        <v>0</v>
      </c>
      <c r="G79" s="2"/>
      <c r="H79" s="6"/>
      <c r="I79" s="2"/>
      <c r="J79" s="7">
        <f t="shared" si="20"/>
        <v>0</v>
      </c>
      <c r="K79" s="2"/>
      <c r="L79" s="6">
        <f t="shared" si="21"/>
        <v>0</v>
      </c>
      <c r="M79" s="2"/>
      <c r="N79" s="7">
        <f t="shared" si="22"/>
        <v>0</v>
      </c>
      <c r="O79" s="10"/>
      <c r="P79" s="6">
        <v>255.57</v>
      </c>
      <c r="Q79" s="2"/>
      <c r="R79" s="7">
        <f t="shared" si="23"/>
        <v>1.1991880600152403E-2</v>
      </c>
      <c r="S79" s="2"/>
      <c r="T79" s="6">
        <v>1326.62</v>
      </c>
      <c r="U79" s="2"/>
      <c r="V79" s="7">
        <f t="shared" si="24"/>
        <v>3.2313282414902309E-3</v>
      </c>
      <c r="W79" s="2"/>
      <c r="X79" s="6">
        <f t="shared" si="25"/>
        <v>-1071.05</v>
      </c>
      <c r="Y79" s="2"/>
      <c r="Z79" s="7">
        <f t="shared" si="26"/>
        <v>-0.80735251993788726</v>
      </c>
    </row>
    <row r="80" spans="1:26" s="23" customFormat="1" hidden="1" outlineLevel="2" x14ac:dyDescent="0.25">
      <c r="A80" s="27"/>
      <c r="B80" s="10" t="str">
        <f>CONCATENATE("          ", "6113", " - ", "GROUP INSURANCE")</f>
        <v xml:space="preserve">          6113 - GROUP INSURANCE</v>
      </c>
      <c r="C80" s="10"/>
      <c r="D80" s="6"/>
      <c r="E80" s="2"/>
      <c r="F80" s="7">
        <f t="shared" si="19"/>
        <v>0</v>
      </c>
      <c r="G80" s="2"/>
      <c r="H80" s="6"/>
      <c r="I80" s="2"/>
      <c r="J80" s="7">
        <f t="shared" si="20"/>
        <v>0</v>
      </c>
      <c r="K80" s="2"/>
      <c r="L80" s="6">
        <f t="shared" si="21"/>
        <v>0</v>
      </c>
      <c r="M80" s="2"/>
      <c r="N80" s="7">
        <f t="shared" si="22"/>
        <v>0</v>
      </c>
      <c r="O80" s="10"/>
      <c r="P80" s="6"/>
      <c r="Q80" s="2"/>
      <c r="R80" s="7">
        <f t="shared" si="23"/>
        <v>0</v>
      </c>
      <c r="S80" s="2"/>
      <c r="T80" s="6">
        <v>8133.54</v>
      </c>
      <c r="U80" s="2"/>
      <c r="V80" s="7">
        <f t="shared" si="24"/>
        <v>1.9811353292797075E-2</v>
      </c>
      <c r="W80" s="2"/>
      <c r="X80" s="6">
        <f t="shared" si="25"/>
        <v>-8133.54</v>
      </c>
      <c r="Y80" s="2"/>
      <c r="Z80" s="7">
        <f t="shared" si="26"/>
        <v>-1</v>
      </c>
    </row>
    <row r="81" spans="1:26" s="23" customFormat="1" hidden="1" outlineLevel="2" x14ac:dyDescent="0.25">
      <c r="A81" s="27"/>
      <c r="B81" s="10" t="str">
        <f>CONCATENATE("          ", "6114", " - ", "STATE UNEMPLOYMENT INSURANCE")</f>
        <v xml:space="preserve">          6114 - STATE UNEMPLOYMENT INSURANCE</v>
      </c>
      <c r="C81" s="10"/>
      <c r="D81" s="6"/>
      <c r="E81" s="2"/>
      <c r="F81" s="7">
        <f t="shared" si="19"/>
        <v>0</v>
      </c>
      <c r="G81" s="2"/>
      <c r="H81" s="6"/>
      <c r="I81" s="2"/>
      <c r="J81" s="7">
        <f t="shared" si="20"/>
        <v>0</v>
      </c>
      <c r="K81" s="2"/>
      <c r="L81" s="6">
        <f t="shared" si="21"/>
        <v>0</v>
      </c>
      <c r="M81" s="2"/>
      <c r="N81" s="7">
        <f t="shared" si="22"/>
        <v>0</v>
      </c>
      <c r="O81" s="10"/>
      <c r="P81" s="6">
        <v>38.020000000000003</v>
      </c>
      <c r="Q81" s="2"/>
      <c r="R81" s="7">
        <f t="shared" si="23"/>
        <v>1.7839781680862169E-3</v>
      </c>
      <c r="S81" s="2"/>
      <c r="T81" s="6">
        <v>203.94</v>
      </c>
      <c r="U81" s="2"/>
      <c r="V81" s="7">
        <f t="shared" si="24"/>
        <v>4.9674894210061495E-4</v>
      </c>
      <c r="W81" s="2"/>
      <c r="X81" s="6">
        <f t="shared" si="25"/>
        <v>-165.92</v>
      </c>
      <c r="Y81" s="2"/>
      <c r="Z81" s="7">
        <f t="shared" si="26"/>
        <v>-0.81357261939786207</v>
      </c>
    </row>
    <row r="82" spans="1:26" s="23" customFormat="1" hidden="1" outlineLevel="2" x14ac:dyDescent="0.25">
      <c r="A82" s="27"/>
      <c r="B82" s="10" t="str">
        <f>CONCATENATE("          ", "6115", " - ", "P.E.R.S.")</f>
        <v xml:space="preserve">          6115 - P.E.R.S.</v>
      </c>
      <c r="C82" s="10"/>
      <c r="D82" s="6"/>
      <c r="E82" s="2"/>
      <c r="F82" s="7">
        <f t="shared" si="19"/>
        <v>0</v>
      </c>
      <c r="G82" s="2"/>
      <c r="H82" s="6"/>
      <c r="I82" s="2"/>
      <c r="J82" s="7">
        <f t="shared" si="20"/>
        <v>0</v>
      </c>
      <c r="K82" s="2"/>
      <c r="L82" s="6">
        <f t="shared" si="21"/>
        <v>0</v>
      </c>
      <c r="M82" s="2"/>
      <c r="N82" s="7">
        <f t="shared" si="22"/>
        <v>0</v>
      </c>
      <c r="O82" s="10"/>
      <c r="P82" s="6"/>
      <c r="Q82" s="2"/>
      <c r="R82" s="7">
        <f t="shared" si="23"/>
        <v>0</v>
      </c>
      <c r="S82" s="2"/>
      <c r="T82" s="6">
        <v>1788.49</v>
      </c>
      <c r="U82" s="2"/>
      <c r="V82" s="7">
        <f t="shared" si="24"/>
        <v>4.3563328207194708E-3</v>
      </c>
      <c r="W82" s="2"/>
      <c r="X82" s="6">
        <f t="shared" si="25"/>
        <v>-1788.49</v>
      </c>
      <c r="Y82" s="2"/>
      <c r="Z82" s="7">
        <f t="shared" si="26"/>
        <v>-1</v>
      </c>
    </row>
    <row r="83" spans="1:26" s="23" customFormat="1" hidden="1" outlineLevel="2" x14ac:dyDescent="0.25">
      <c r="A83" s="27"/>
      <c r="B83" s="10" t="str">
        <f>CONCATENATE("          ", "6118", " - ", "VACATION")</f>
        <v xml:space="preserve">          6118 - VACATION</v>
      </c>
      <c r="C83" s="10"/>
      <c r="D83" s="6"/>
      <c r="E83" s="2"/>
      <c r="F83" s="7">
        <f t="shared" si="19"/>
        <v>0</v>
      </c>
      <c r="G83" s="2"/>
      <c r="H83" s="6"/>
      <c r="I83" s="2"/>
      <c r="J83" s="7">
        <f t="shared" si="20"/>
        <v>0</v>
      </c>
      <c r="K83" s="2"/>
      <c r="L83" s="6">
        <f t="shared" si="21"/>
        <v>0</v>
      </c>
      <c r="M83" s="2"/>
      <c r="N83" s="7">
        <f t="shared" si="22"/>
        <v>0</v>
      </c>
      <c r="O83" s="10"/>
      <c r="P83" s="6"/>
      <c r="Q83" s="2"/>
      <c r="R83" s="7">
        <f t="shared" si="23"/>
        <v>0</v>
      </c>
      <c r="S83" s="2"/>
      <c r="T83" s="6">
        <v>1686.84</v>
      </c>
      <c r="U83" s="2"/>
      <c r="V83" s="7">
        <f t="shared" si="24"/>
        <v>4.1087377929440094E-3</v>
      </c>
      <c r="W83" s="2"/>
      <c r="X83" s="6">
        <f t="shared" si="25"/>
        <v>-1686.84</v>
      </c>
      <c r="Y83" s="2"/>
      <c r="Z83" s="7">
        <f t="shared" si="26"/>
        <v>-1</v>
      </c>
    </row>
    <row r="84" spans="1:26" s="23" customFormat="1" hidden="1" outlineLevel="2" x14ac:dyDescent="0.25">
      <c r="A84" s="27"/>
      <c r="B84" s="10" t="str">
        <f>CONCATENATE("          ", "6119", " - ", "SICK LEAVE")</f>
        <v xml:space="preserve">          6119 - SICK LEAVE</v>
      </c>
      <c r="C84" s="10"/>
      <c r="D84" s="6"/>
      <c r="E84" s="2"/>
      <c r="F84" s="7">
        <f t="shared" si="19"/>
        <v>0</v>
      </c>
      <c r="G84" s="2"/>
      <c r="H84" s="6"/>
      <c r="I84" s="2"/>
      <c r="J84" s="7">
        <f t="shared" si="20"/>
        <v>0</v>
      </c>
      <c r="K84" s="2"/>
      <c r="L84" s="6">
        <f t="shared" si="21"/>
        <v>0</v>
      </c>
      <c r="M84" s="2"/>
      <c r="N84" s="7">
        <f t="shared" si="22"/>
        <v>0</v>
      </c>
      <c r="O84" s="10"/>
      <c r="P84" s="6"/>
      <c r="Q84" s="2"/>
      <c r="R84" s="7">
        <f t="shared" si="23"/>
        <v>0</v>
      </c>
      <c r="S84" s="2"/>
      <c r="T84" s="6">
        <v>684.81</v>
      </c>
      <c r="U84" s="2"/>
      <c r="V84" s="7">
        <f t="shared" si="24"/>
        <v>1.6680329657738652E-3</v>
      </c>
      <c r="W84" s="2"/>
      <c r="X84" s="6">
        <f t="shared" si="25"/>
        <v>-684.81</v>
      </c>
      <c r="Y84" s="2"/>
      <c r="Z84" s="7">
        <f t="shared" si="26"/>
        <v>-1</v>
      </c>
    </row>
    <row r="85" spans="1:26" s="23" customFormat="1" hidden="1" outlineLevel="2" x14ac:dyDescent="0.25">
      <c r="A85" s="27"/>
      <c r="B85" s="10" t="str">
        <f>CONCATENATE("          ", "6156", " - ", "EMPLOYEE MEALS")</f>
        <v xml:space="preserve">          6156 - EMPLOYEE MEALS</v>
      </c>
      <c r="C85" s="10"/>
      <c r="D85" s="6"/>
      <c r="E85" s="2"/>
      <c r="F85" s="7">
        <f t="shared" si="19"/>
        <v>0</v>
      </c>
      <c r="G85" s="2"/>
      <c r="H85" s="6"/>
      <c r="I85" s="2"/>
      <c r="J85" s="7">
        <f t="shared" si="20"/>
        <v>0</v>
      </c>
      <c r="K85" s="2"/>
      <c r="L85" s="6">
        <f t="shared" si="21"/>
        <v>0</v>
      </c>
      <c r="M85" s="2"/>
      <c r="N85" s="7">
        <f t="shared" si="22"/>
        <v>0</v>
      </c>
      <c r="O85" s="10"/>
      <c r="P85" s="6"/>
      <c r="Q85" s="2"/>
      <c r="R85" s="7">
        <f t="shared" si="23"/>
        <v>0</v>
      </c>
      <c r="S85" s="2"/>
      <c r="T85" s="6">
        <v>1301.25</v>
      </c>
      <c r="U85" s="2"/>
      <c r="V85" s="7">
        <f t="shared" si="24"/>
        <v>3.1695330043563065E-3</v>
      </c>
      <c r="W85" s="2"/>
      <c r="X85" s="6">
        <f t="shared" si="25"/>
        <v>-1301.25</v>
      </c>
      <c r="Y85" s="2"/>
      <c r="Z85" s="7">
        <f t="shared" si="26"/>
        <v>-1</v>
      </c>
    </row>
    <row r="86" spans="1:26" s="26" customFormat="1" outlineLevel="1" collapsed="1" x14ac:dyDescent="0.25">
      <c r="A86" s="25"/>
      <c r="B86" s="12" t="str">
        <f>CONCATENATE("     ","*Payroll                                          ")</f>
        <v xml:space="preserve">     *Payroll                                          </v>
      </c>
      <c r="C86" s="12"/>
      <c r="D86" s="1">
        <f>SUM(OSRRefD22_1x_0)</f>
        <v>0</v>
      </c>
      <c r="E86" s="1"/>
      <c r="F86" s="5">
        <f t="shared" ref="F86:F90" si="27">IF(D$12=0,0,D86/D$12)</f>
        <v>0</v>
      </c>
      <c r="G86" s="1"/>
      <c r="H86" s="1">
        <f>SUM(OSRRefH22_1x_0)</f>
        <v>0</v>
      </c>
      <c r="I86" s="1"/>
      <c r="J86" s="5">
        <f t="shared" ref="J86:J90" si="28">IF(H$12=0,0,H86/H$12)</f>
        <v>0</v>
      </c>
      <c r="K86" s="1"/>
      <c r="L86" s="1">
        <f t="shared" ref="L86:L90" si="29">+D86-H86</f>
        <v>0</v>
      </c>
      <c r="M86" s="1"/>
      <c r="N86" s="5">
        <f t="shared" ref="N86:N90" si="30">IF(H86=0,0,L86/H86)</f>
        <v>0</v>
      </c>
      <c r="O86" s="12"/>
      <c r="P86" s="1">
        <f>SUM(OSRRefP22_1x_0)</f>
        <v>8152.5399999999991</v>
      </c>
      <c r="Q86" s="1"/>
      <c r="R86" s="5">
        <f t="shared" ref="R86:R90" si="31">IF(P$12=0,0,P86/P$12)</f>
        <v>0.38253428128483963</v>
      </c>
      <c r="S86" s="1"/>
      <c r="T86" s="1">
        <f>SUM(OSRRefT22_1x_0)</f>
        <v>74046.41</v>
      </c>
      <c r="U86" s="1"/>
      <c r="V86" s="5">
        <f t="shared" ref="V86:V90" si="32">IF(T$12=0,0,T86/T$12)</f>
        <v>0.18035930094070998</v>
      </c>
      <c r="W86" s="1"/>
      <c r="X86" s="1">
        <f t="shared" ref="X86:X90" si="33">+P86-T86</f>
        <v>-65893.87000000001</v>
      </c>
      <c r="Y86" s="1"/>
      <c r="Z86" s="5">
        <f t="shared" ref="Z86:Z90" si="34">IF(T86=0,0,X86/T86)</f>
        <v>-0.88989959135088392</v>
      </c>
    </row>
    <row r="87" spans="1:26" s="23" customFormat="1" hidden="1" outlineLevel="2" x14ac:dyDescent="0.25">
      <c r="A87" s="27"/>
      <c r="B87" s="10" t="str">
        <f>CONCATENATE("          ", "6002", " - ", "STAFF SALARIES")</f>
        <v xml:space="preserve">          6002 - STAFF SALARIES</v>
      </c>
      <c r="C87" s="10"/>
      <c r="D87" s="6"/>
      <c r="E87" s="2"/>
      <c r="F87" s="7">
        <f t="shared" si="27"/>
        <v>0</v>
      </c>
      <c r="G87" s="2"/>
      <c r="H87" s="6"/>
      <c r="I87" s="2"/>
      <c r="J87" s="7">
        <f t="shared" si="28"/>
        <v>0</v>
      </c>
      <c r="K87" s="2"/>
      <c r="L87" s="6">
        <f t="shared" si="29"/>
        <v>0</v>
      </c>
      <c r="M87" s="2"/>
      <c r="N87" s="7">
        <f t="shared" si="30"/>
        <v>0</v>
      </c>
      <c r="O87" s="10"/>
      <c r="P87" s="6"/>
      <c r="Q87" s="2"/>
      <c r="R87" s="7">
        <f t="shared" si="31"/>
        <v>0</v>
      </c>
      <c r="S87" s="2"/>
      <c r="T87" s="6">
        <v>20966.810000000001</v>
      </c>
      <c r="U87" s="2"/>
      <c r="V87" s="7">
        <f t="shared" si="32"/>
        <v>5.1070122029639085E-2</v>
      </c>
      <c r="W87" s="2"/>
      <c r="X87" s="6">
        <f t="shared" si="33"/>
        <v>-20966.810000000001</v>
      </c>
      <c r="Y87" s="2"/>
      <c r="Z87" s="7">
        <f t="shared" si="34"/>
        <v>-1</v>
      </c>
    </row>
    <row r="88" spans="1:26" s="23" customFormat="1" hidden="1" outlineLevel="2" x14ac:dyDescent="0.25">
      <c r="A88" s="27"/>
      <c r="B88" s="10" t="str">
        <f>CONCATENATE("          ", "6005", " - ", "TEMPORARY WAGES-HOURLY")</f>
        <v xml:space="preserve">          6005 - TEMPORARY WAGES-HOURLY</v>
      </c>
      <c r="C88" s="10"/>
      <c r="D88" s="6"/>
      <c r="E88" s="2"/>
      <c r="F88" s="7">
        <f t="shared" si="27"/>
        <v>0</v>
      </c>
      <c r="G88" s="2"/>
      <c r="H88" s="6"/>
      <c r="I88" s="2"/>
      <c r="J88" s="7">
        <f t="shared" si="28"/>
        <v>0</v>
      </c>
      <c r="K88" s="2"/>
      <c r="L88" s="6">
        <f t="shared" si="29"/>
        <v>0</v>
      </c>
      <c r="M88" s="2"/>
      <c r="N88" s="7">
        <f t="shared" si="30"/>
        <v>0</v>
      </c>
      <c r="O88" s="10"/>
      <c r="P88" s="6">
        <v>5379.19</v>
      </c>
      <c r="Q88" s="2"/>
      <c r="R88" s="7">
        <f t="shared" si="31"/>
        <v>0.25240288064144384</v>
      </c>
      <c r="S88" s="2"/>
      <c r="T88" s="6">
        <v>7121.65</v>
      </c>
      <c r="U88" s="2"/>
      <c r="V88" s="7">
        <f t="shared" si="32"/>
        <v>1.7346631869720724E-2</v>
      </c>
      <c r="W88" s="2"/>
      <c r="X88" s="6">
        <f t="shared" si="33"/>
        <v>-1742.46</v>
      </c>
      <c r="Y88" s="2"/>
      <c r="Z88" s="7">
        <f t="shared" si="34"/>
        <v>-0.24467082768740392</v>
      </c>
    </row>
    <row r="89" spans="1:26" s="23" customFormat="1" hidden="1" outlineLevel="2" x14ac:dyDescent="0.25">
      <c r="A89" s="27"/>
      <c r="B89" s="10" t="str">
        <f>CONCATENATE("          ", "6006", " - ", "TEMPORARY PART TIME")</f>
        <v xml:space="preserve">          6006 - TEMPORARY PART TIME</v>
      </c>
      <c r="C89" s="10"/>
      <c r="D89" s="6"/>
      <c r="E89" s="2"/>
      <c r="F89" s="7">
        <f t="shared" si="27"/>
        <v>0</v>
      </c>
      <c r="G89" s="2"/>
      <c r="H89" s="6"/>
      <c r="I89" s="2"/>
      <c r="J89" s="7">
        <f t="shared" si="28"/>
        <v>0</v>
      </c>
      <c r="K89" s="2"/>
      <c r="L89" s="6">
        <f t="shared" si="29"/>
        <v>0</v>
      </c>
      <c r="M89" s="2"/>
      <c r="N89" s="7">
        <f t="shared" si="30"/>
        <v>0</v>
      </c>
      <c r="O89" s="10"/>
      <c r="P89" s="6"/>
      <c r="Q89" s="2"/>
      <c r="R89" s="7">
        <f t="shared" si="31"/>
        <v>0</v>
      </c>
      <c r="S89" s="2"/>
      <c r="T89" s="6">
        <v>25.5</v>
      </c>
      <c r="U89" s="2"/>
      <c r="V89" s="7">
        <f t="shared" si="32"/>
        <v>6.2111885964331076E-5</v>
      </c>
      <c r="W89" s="2"/>
      <c r="X89" s="6">
        <f t="shared" si="33"/>
        <v>-25.5</v>
      </c>
      <c r="Y89" s="2"/>
      <c r="Z89" s="7">
        <f t="shared" si="34"/>
        <v>-1</v>
      </c>
    </row>
    <row r="90" spans="1:26" s="23" customFormat="1" hidden="1" outlineLevel="2" x14ac:dyDescent="0.25">
      <c r="A90" s="27"/>
      <c r="B90" s="10" t="str">
        <f>CONCATENATE("          ", "6007", " - ", "STUDENT HOURLY")</f>
        <v xml:space="preserve">          6007 - STUDENT HOURLY</v>
      </c>
      <c r="C90" s="10"/>
      <c r="D90" s="6"/>
      <c r="E90" s="2"/>
      <c r="F90" s="7">
        <f t="shared" si="27"/>
        <v>0</v>
      </c>
      <c r="G90" s="2"/>
      <c r="H90" s="6"/>
      <c r="I90" s="2"/>
      <c r="J90" s="7">
        <f t="shared" si="28"/>
        <v>0</v>
      </c>
      <c r="K90" s="2"/>
      <c r="L90" s="6">
        <f t="shared" si="29"/>
        <v>0</v>
      </c>
      <c r="M90" s="2"/>
      <c r="N90" s="7">
        <f t="shared" si="30"/>
        <v>0</v>
      </c>
      <c r="O90" s="10"/>
      <c r="P90" s="6">
        <v>2773.35</v>
      </c>
      <c r="Q90" s="2"/>
      <c r="R90" s="7">
        <f t="shared" si="31"/>
        <v>0.13013140064339582</v>
      </c>
      <c r="S90" s="2"/>
      <c r="T90" s="6">
        <v>45932.45</v>
      </c>
      <c r="U90" s="2"/>
      <c r="V90" s="7">
        <f t="shared" si="32"/>
        <v>0.11188043515538584</v>
      </c>
      <c r="W90" s="2"/>
      <c r="X90" s="6">
        <f t="shared" si="33"/>
        <v>-43159.1</v>
      </c>
      <c r="Y90" s="2"/>
      <c r="Z90" s="7">
        <f t="shared" si="34"/>
        <v>-0.93962111753237643</v>
      </c>
    </row>
    <row r="91" spans="1:26" s="26" customFormat="1" outlineLevel="1" collapsed="1" x14ac:dyDescent="0.25">
      <c r="A91" s="25"/>
      <c r="B91" s="12" t="str">
        <f>CONCATENATE("     ","Advertising/Promo                                 ")</f>
        <v xml:space="preserve">     Advertising/Promo                                 </v>
      </c>
      <c r="C91" s="12"/>
      <c r="D91" s="1">
        <f>SUM(OSRRefD22_2x_0)</f>
        <v>0</v>
      </c>
      <c r="E91" s="1"/>
      <c r="F91" s="5">
        <f t="shared" ref="F91:F97" si="35">IF(D$12=0,0,D91/D$12)</f>
        <v>0</v>
      </c>
      <c r="G91" s="1"/>
      <c r="H91" s="1">
        <f>SUM(OSRRefH22_2x_0)</f>
        <v>0</v>
      </c>
      <c r="I91" s="1"/>
      <c r="J91" s="5">
        <f t="shared" ref="J91:J97" si="36">IF(H$12=0,0,H91/H$12)</f>
        <v>0</v>
      </c>
      <c r="K91" s="1"/>
      <c r="L91" s="1">
        <f t="shared" ref="L91:L97" si="37">+D91-H91</f>
        <v>0</v>
      </c>
      <c r="M91" s="1"/>
      <c r="N91" s="5">
        <f t="shared" ref="N91:N97" si="38">IF(H91=0,0,L91/H91)</f>
        <v>0</v>
      </c>
      <c r="O91" s="12"/>
      <c r="P91" s="1">
        <f>SUM(OSRRefP22_2x_0)</f>
        <v>124.72</v>
      </c>
      <c r="Q91" s="1"/>
      <c r="R91" s="5">
        <f t="shared" ref="R91:R97" si="39">IF(P$12=0,0,P91/P$12)</f>
        <v>5.8521240695347957E-3</v>
      </c>
      <c r="S91" s="1"/>
      <c r="T91" s="1">
        <f>SUM(OSRRefT22_2x_0)</f>
        <v>963.62</v>
      </c>
      <c r="U91" s="1"/>
      <c r="V91" s="5">
        <f t="shared" ref="V91:V97" si="40">IF(T$12=0,0,T91/T$12)</f>
        <v>2.3471472765862244E-3</v>
      </c>
      <c r="W91" s="1"/>
      <c r="X91" s="1">
        <f t="shared" ref="X91:X97" si="41">+P91-T91</f>
        <v>-838.9</v>
      </c>
      <c r="Y91" s="1"/>
      <c r="Z91" s="5">
        <f t="shared" ref="Z91:Z97" si="42">IF(T91=0,0,X91/T91)</f>
        <v>-0.87057138706128967</v>
      </c>
    </row>
    <row r="92" spans="1:26" s="23" customFormat="1" hidden="1" outlineLevel="2" x14ac:dyDescent="0.25">
      <c r="A92" s="27"/>
      <c r="B92" s="10" t="str">
        <f>CONCATENATE("          ", "6362", " - ", "ADVERTISING EXPENSE")</f>
        <v xml:space="preserve">          6362 - ADVERTISING EXPENSE</v>
      </c>
      <c r="C92" s="10"/>
      <c r="D92" s="6"/>
      <c r="E92" s="2"/>
      <c r="F92" s="7">
        <f t="shared" si="35"/>
        <v>0</v>
      </c>
      <c r="G92" s="2"/>
      <c r="H92" s="6"/>
      <c r="I92" s="2"/>
      <c r="J92" s="7">
        <f t="shared" si="36"/>
        <v>0</v>
      </c>
      <c r="K92" s="2"/>
      <c r="L92" s="6">
        <f t="shared" si="37"/>
        <v>0</v>
      </c>
      <c r="M92" s="2"/>
      <c r="N92" s="7">
        <f t="shared" si="38"/>
        <v>0</v>
      </c>
      <c r="O92" s="10"/>
      <c r="P92" s="6">
        <v>124.72</v>
      </c>
      <c r="Q92" s="2"/>
      <c r="R92" s="7">
        <f t="shared" si="39"/>
        <v>5.8521240695347957E-3</v>
      </c>
      <c r="S92" s="2"/>
      <c r="T92" s="6">
        <v>963.62</v>
      </c>
      <c r="U92" s="2"/>
      <c r="V92" s="7">
        <f t="shared" si="40"/>
        <v>2.3471472765862244E-3</v>
      </c>
      <c r="W92" s="2"/>
      <c r="X92" s="6">
        <f t="shared" si="41"/>
        <v>-838.9</v>
      </c>
      <c r="Y92" s="2"/>
      <c r="Z92" s="7">
        <f t="shared" si="42"/>
        <v>-0.87057138706128967</v>
      </c>
    </row>
    <row r="93" spans="1:26" s="26" customFormat="1" outlineLevel="1" collapsed="1" x14ac:dyDescent="0.25">
      <c r="A93" s="25"/>
      <c r="B93" s="12" t="str">
        <f>CONCATENATE("     ","Bad Debts/Over/Short                              ")</f>
        <v xml:space="preserve">     Bad Debts/Over/Short                              </v>
      </c>
      <c r="C93" s="12"/>
      <c r="D93" s="1">
        <f>SUM(OSRRefD22_3x_0)</f>
        <v>0</v>
      </c>
      <c r="E93" s="1"/>
      <c r="F93" s="5">
        <f t="shared" si="35"/>
        <v>0</v>
      </c>
      <c r="G93" s="1"/>
      <c r="H93" s="1">
        <f>SUM(OSRRefH22_3x_0)</f>
        <v>0</v>
      </c>
      <c r="I93" s="1"/>
      <c r="J93" s="5">
        <f t="shared" si="36"/>
        <v>0</v>
      </c>
      <c r="K93" s="1"/>
      <c r="L93" s="1">
        <f t="shared" si="37"/>
        <v>0</v>
      </c>
      <c r="M93" s="1"/>
      <c r="N93" s="5">
        <f t="shared" si="38"/>
        <v>0</v>
      </c>
      <c r="O93" s="12"/>
      <c r="P93" s="1">
        <f>SUM(OSRRefP22_3x_0)</f>
        <v>1.1000000000000001</v>
      </c>
      <c r="Q93" s="1"/>
      <c r="R93" s="5">
        <f t="shared" si="39"/>
        <v>5.1614307861516002E-5</v>
      </c>
      <c r="S93" s="1"/>
      <c r="T93" s="1">
        <f>SUM(OSRRefT22_3x_0)</f>
        <v>-55.84</v>
      </c>
      <c r="U93" s="1"/>
      <c r="V93" s="5">
        <f t="shared" si="40"/>
        <v>-1.360128514607156E-4</v>
      </c>
      <c r="W93" s="1"/>
      <c r="X93" s="1">
        <f t="shared" si="41"/>
        <v>56.940000000000005</v>
      </c>
      <c r="Y93" s="1"/>
      <c r="Z93" s="5">
        <f t="shared" si="42"/>
        <v>-1.0196991404011462</v>
      </c>
    </row>
    <row r="94" spans="1:26" s="23" customFormat="1" hidden="1" outlineLevel="2" x14ac:dyDescent="0.25">
      <c r="A94" s="27"/>
      <c r="B94" s="10" t="str">
        <f>CONCATENATE("          ", "6272", " - ", "CASH (OVER/SHORT)")</f>
        <v xml:space="preserve">          6272 - CASH (OVER/SHORT)</v>
      </c>
      <c r="C94" s="10"/>
      <c r="D94" s="6"/>
      <c r="E94" s="2"/>
      <c r="F94" s="7">
        <f t="shared" si="35"/>
        <v>0</v>
      </c>
      <c r="G94" s="2"/>
      <c r="H94" s="6"/>
      <c r="I94" s="2"/>
      <c r="J94" s="7">
        <f t="shared" si="36"/>
        <v>0</v>
      </c>
      <c r="K94" s="2"/>
      <c r="L94" s="6">
        <f t="shared" si="37"/>
        <v>0</v>
      </c>
      <c r="M94" s="2"/>
      <c r="N94" s="7">
        <f t="shared" si="38"/>
        <v>0</v>
      </c>
      <c r="O94" s="10"/>
      <c r="P94" s="6">
        <v>1.1000000000000001</v>
      </c>
      <c r="Q94" s="2"/>
      <c r="R94" s="7">
        <f t="shared" si="39"/>
        <v>5.1614307861516002E-5</v>
      </c>
      <c r="S94" s="2"/>
      <c r="T94" s="6">
        <v>-55.84</v>
      </c>
      <c r="U94" s="2"/>
      <c r="V94" s="7">
        <f t="shared" si="40"/>
        <v>-1.360128514607156E-4</v>
      </c>
      <c r="W94" s="2"/>
      <c r="X94" s="6">
        <f t="shared" si="41"/>
        <v>56.940000000000005</v>
      </c>
      <c r="Y94" s="2"/>
      <c r="Z94" s="7">
        <f t="shared" si="42"/>
        <v>-1.0196991404011462</v>
      </c>
    </row>
    <row r="95" spans="1:26" s="26" customFormat="1" outlineLevel="1" collapsed="1" x14ac:dyDescent="0.25">
      <c r="A95" s="25"/>
      <c r="B95" s="12" t="str">
        <f>CONCATENATE("     ","Discounts and Markdowns                           ")</f>
        <v xml:space="preserve">     Discounts and Markdowns                           </v>
      </c>
      <c r="C95" s="12"/>
      <c r="D95" s="1">
        <f>SUM(OSRRefD22_4x_0)</f>
        <v>0</v>
      </c>
      <c r="E95" s="1"/>
      <c r="F95" s="5">
        <f t="shared" si="35"/>
        <v>0</v>
      </c>
      <c r="G95" s="1"/>
      <c r="H95" s="1">
        <f>SUM(OSRRefH22_4x_0)</f>
        <v>0</v>
      </c>
      <c r="I95" s="1"/>
      <c r="J95" s="5">
        <f t="shared" si="36"/>
        <v>0</v>
      </c>
      <c r="K95" s="1"/>
      <c r="L95" s="1">
        <f t="shared" si="37"/>
        <v>0</v>
      </c>
      <c r="M95" s="1"/>
      <c r="N95" s="5">
        <f t="shared" si="38"/>
        <v>0</v>
      </c>
      <c r="O95" s="12"/>
      <c r="P95" s="1">
        <f>SUM(OSRRefP22_4x_0)</f>
        <v>0</v>
      </c>
      <c r="Q95" s="1"/>
      <c r="R95" s="5">
        <f t="shared" si="39"/>
        <v>0</v>
      </c>
      <c r="S95" s="1"/>
      <c r="T95" s="1">
        <f>SUM(OSRRefT22_4x_0)</f>
        <v>8936.44</v>
      </c>
      <c r="U95" s="1"/>
      <c r="V95" s="5">
        <f t="shared" si="40"/>
        <v>2.1767025184591643E-2</v>
      </c>
      <c r="W95" s="1"/>
      <c r="X95" s="1">
        <f t="shared" si="41"/>
        <v>-8936.44</v>
      </c>
      <c r="Y95" s="1"/>
      <c r="Z95" s="5">
        <f t="shared" si="42"/>
        <v>-1</v>
      </c>
    </row>
    <row r="96" spans="1:26" s="23" customFormat="1" hidden="1" outlineLevel="2" x14ac:dyDescent="0.25">
      <c r="A96" s="27"/>
      <c r="B96" s="10" t="str">
        <f>CONCATENATE("          ", "6382", " - ", "DISCOUNTS/MARK DOWNS")</f>
        <v xml:space="preserve">          6382 - DISCOUNTS/MARK DOWNS</v>
      </c>
      <c r="C96" s="10"/>
      <c r="D96" s="6"/>
      <c r="E96" s="2"/>
      <c r="F96" s="7">
        <f t="shared" si="35"/>
        <v>0</v>
      </c>
      <c r="G96" s="2"/>
      <c r="H96" s="6"/>
      <c r="I96" s="2"/>
      <c r="J96" s="7">
        <f t="shared" si="36"/>
        <v>0</v>
      </c>
      <c r="K96" s="2"/>
      <c r="L96" s="6">
        <f t="shared" si="37"/>
        <v>0</v>
      </c>
      <c r="M96" s="2"/>
      <c r="N96" s="7">
        <f t="shared" si="38"/>
        <v>0</v>
      </c>
      <c r="O96" s="10"/>
      <c r="P96" s="6">
        <v>0</v>
      </c>
      <c r="Q96" s="2"/>
      <c r="R96" s="7">
        <f t="shared" si="39"/>
        <v>0</v>
      </c>
      <c r="S96" s="2"/>
      <c r="T96" s="6">
        <v>8936.44</v>
      </c>
      <c r="U96" s="2"/>
      <c r="V96" s="7">
        <f t="shared" si="40"/>
        <v>2.1767025184591643E-2</v>
      </c>
      <c r="W96" s="2"/>
      <c r="X96" s="6">
        <f t="shared" si="41"/>
        <v>-8936.44</v>
      </c>
      <c r="Y96" s="2"/>
      <c r="Z96" s="7">
        <f t="shared" si="42"/>
        <v>-1</v>
      </c>
    </row>
    <row r="97" spans="1:26" s="23" customFormat="1" hidden="1" outlineLevel="2" x14ac:dyDescent="0.25">
      <c r="A97" s="27"/>
      <c r="B97" s="10" t="str">
        <f>CONCATENATE("          ", "9175", " - ", "EARNED DISCOUNTS")</f>
        <v xml:space="preserve">          9175 - EARNED DISCOUNTS</v>
      </c>
      <c r="C97" s="10"/>
      <c r="D97" s="6"/>
      <c r="E97" s="2"/>
      <c r="F97" s="7">
        <f t="shared" si="35"/>
        <v>0</v>
      </c>
      <c r="G97" s="2"/>
      <c r="H97" s="6"/>
      <c r="I97" s="2"/>
      <c r="J97" s="7">
        <f t="shared" si="36"/>
        <v>0</v>
      </c>
      <c r="K97" s="2"/>
      <c r="L97" s="6">
        <f t="shared" si="37"/>
        <v>0</v>
      </c>
      <c r="M97" s="2"/>
      <c r="N97" s="7">
        <f t="shared" si="38"/>
        <v>0</v>
      </c>
      <c r="O97" s="10"/>
      <c r="P97" s="6">
        <v>0</v>
      </c>
      <c r="Q97" s="2"/>
      <c r="R97" s="7">
        <f t="shared" si="39"/>
        <v>0</v>
      </c>
      <c r="S97" s="2"/>
      <c r="T97" s="6">
        <v>0</v>
      </c>
      <c r="U97" s="2"/>
      <c r="V97" s="7">
        <f t="shared" si="40"/>
        <v>0</v>
      </c>
      <c r="W97" s="2"/>
      <c r="X97" s="6">
        <f t="shared" si="41"/>
        <v>0</v>
      </c>
      <c r="Y97" s="2"/>
      <c r="Z97" s="7">
        <f t="shared" si="42"/>
        <v>0</v>
      </c>
    </row>
    <row r="98" spans="1:26" s="26" customFormat="1" outlineLevel="1" collapsed="1" x14ac:dyDescent="0.25">
      <c r="A98" s="25"/>
      <c r="B98" s="12" t="str">
        <f>CONCATENATE("     ","General                                           ")</f>
        <v xml:space="preserve">     General                                           </v>
      </c>
      <c r="C98" s="12"/>
      <c r="D98" s="1">
        <f>SUM(OSRRefD22_5x_0)</f>
        <v>0</v>
      </c>
      <c r="E98" s="1"/>
      <c r="F98" s="5">
        <f t="shared" ref="F98:F104" si="43">IF(D$12=0,0,D98/D$12)</f>
        <v>0</v>
      </c>
      <c r="G98" s="1"/>
      <c r="H98" s="1">
        <f>SUM(OSRRefH22_5x_0)</f>
        <v>0</v>
      </c>
      <c r="I98" s="1"/>
      <c r="J98" s="5">
        <f t="shared" ref="J98:J104" si="44">IF(H$12=0,0,H98/H$12)</f>
        <v>0</v>
      </c>
      <c r="K98" s="1"/>
      <c r="L98" s="1">
        <f t="shared" ref="L98:L104" si="45">+D98-H98</f>
        <v>0</v>
      </c>
      <c r="M98" s="1"/>
      <c r="N98" s="5">
        <f t="shared" ref="N98:N104" si="46">IF(H98=0,0,L98/H98)</f>
        <v>0</v>
      </c>
      <c r="O98" s="12"/>
      <c r="P98" s="1">
        <f>SUM(OSRRefP22_5x_0)</f>
        <v>879.55</v>
      </c>
      <c r="Q98" s="1"/>
      <c r="R98" s="5">
        <f t="shared" ref="R98:R104" si="47">IF(P$12=0,0,P98/P$12)</f>
        <v>4.1270331345087632E-2</v>
      </c>
      <c r="S98" s="1"/>
      <c r="T98" s="1">
        <f>SUM(OSRRefT22_5x_0)</f>
        <v>954.05</v>
      </c>
      <c r="U98" s="1"/>
      <c r="V98" s="5">
        <f t="shared" ref="V98:V104" si="48">IF(T$12=0,0,T98/T$12)</f>
        <v>2.3238370511478455E-3</v>
      </c>
      <c r="W98" s="1"/>
      <c r="X98" s="1">
        <f t="shared" ref="X98:X104" si="49">+P98-T98</f>
        <v>-74.5</v>
      </c>
      <c r="Y98" s="1"/>
      <c r="Z98" s="5">
        <f t="shared" ref="Z98:Z104" si="50">IF(T98=0,0,X98/T98)</f>
        <v>-7.8088150516220325E-2</v>
      </c>
    </row>
    <row r="99" spans="1:26" s="23" customFormat="1" hidden="1" outlineLevel="2" x14ac:dyDescent="0.25">
      <c r="A99" s="27"/>
      <c r="B99" s="10" t="str">
        <f>CONCATENATE("          ", "6279", " - ", "GENERAL EXPENSE")</f>
        <v xml:space="preserve">          6279 - GENERAL EXPENSE</v>
      </c>
      <c r="C99" s="10"/>
      <c r="D99" s="6"/>
      <c r="E99" s="2"/>
      <c r="F99" s="7">
        <f t="shared" si="43"/>
        <v>0</v>
      </c>
      <c r="G99" s="2"/>
      <c r="H99" s="6"/>
      <c r="I99" s="2"/>
      <c r="J99" s="7">
        <f t="shared" si="44"/>
        <v>0</v>
      </c>
      <c r="K99" s="2"/>
      <c r="L99" s="6">
        <f t="shared" si="45"/>
        <v>0</v>
      </c>
      <c r="M99" s="2"/>
      <c r="N99" s="7">
        <f t="shared" si="46"/>
        <v>0</v>
      </c>
      <c r="O99" s="10"/>
      <c r="P99" s="6">
        <v>879.55</v>
      </c>
      <c r="Q99" s="2"/>
      <c r="R99" s="7">
        <f t="shared" si="47"/>
        <v>4.1270331345087632E-2</v>
      </c>
      <c r="S99" s="2"/>
      <c r="T99" s="6">
        <v>954.05</v>
      </c>
      <c r="U99" s="2"/>
      <c r="V99" s="7">
        <f t="shared" si="48"/>
        <v>2.3238370511478455E-3</v>
      </c>
      <c r="W99" s="2"/>
      <c r="X99" s="6">
        <f t="shared" si="49"/>
        <v>-74.5</v>
      </c>
      <c r="Y99" s="2"/>
      <c r="Z99" s="7">
        <f t="shared" si="50"/>
        <v>-7.8088150516220325E-2</v>
      </c>
    </row>
    <row r="100" spans="1:26" s="26" customFormat="1" outlineLevel="1" collapsed="1" x14ac:dyDescent="0.25">
      <c r="A100" s="25"/>
      <c r="B100" s="12" t="str">
        <f>CONCATENATE("     ","Professional Services                             ")</f>
        <v xml:space="preserve">     Professional Services                             </v>
      </c>
      <c r="C100" s="12"/>
      <c r="D100" s="1">
        <f>SUM(OSRRefD22_6x_0)</f>
        <v>0</v>
      </c>
      <c r="E100" s="1"/>
      <c r="F100" s="5">
        <f t="shared" si="43"/>
        <v>0</v>
      </c>
      <c r="G100" s="1"/>
      <c r="H100" s="1">
        <f>SUM(OSRRefH22_6x_0)</f>
        <v>0</v>
      </c>
      <c r="I100" s="1"/>
      <c r="J100" s="5">
        <f t="shared" si="44"/>
        <v>0</v>
      </c>
      <c r="K100" s="1"/>
      <c r="L100" s="1">
        <f t="shared" si="45"/>
        <v>0</v>
      </c>
      <c r="M100" s="1"/>
      <c r="N100" s="5">
        <f t="shared" si="46"/>
        <v>0</v>
      </c>
      <c r="O100" s="12"/>
      <c r="P100" s="1">
        <f>SUM(OSRRefP22_6x_0)</f>
        <v>0</v>
      </c>
      <c r="Q100" s="1"/>
      <c r="R100" s="5">
        <f t="shared" si="47"/>
        <v>0</v>
      </c>
      <c r="S100" s="1"/>
      <c r="T100" s="1">
        <f>SUM(OSRRefT22_6x_0)</f>
        <v>791.15</v>
      </c>
      <c r="U100" s="1"/>
      <c r="V100" s="5">
        <f t="shared" si="48"/>
        <v>1.9270517090462954E-3</v>
      </c>
      <c r="W100" s="1"/>
      <c r="X100" s="1">
        <f t="shared" si="49"/>
        <v>-791.15</v>
      </c>
      <c r="Y100" s="1"/>
      <c r="Z100" s="5">
        <f t="shared" si="50"/>
        <v>-1</v>
      </c>
    </row>
    <row r="101" spans="1:26" s="23" customFormat="1" hidden="1" outlineLevel="2" x14ac:dyDescent="0.25">
      <c r="A101" s="27"/>
      <c r="B101" s="10" t="str">
        <f>CONCATENATE("          ", "6336", " - ", "PROFESSIONAL SERVICES")</f>
        <v xml:space="preserve">          6336 - PROFESSIONAL SERVICES</v>
      </c>
      <c r="C101" s="10"/>
      <c r="D101" s="6"/>
      <c r="E101" s="2"/>
      <c r="F101" s="7">
        <f t="shared" si="43"/>
        <v>0</v>
      </c>
      <c r="G101" s="2"/>
      <c r="H101" s="6"/>
      <c r="I101" s="2"/>
      <c r="J101" s="7">
        <f t="shared" si="44"/>
        <v>0</v>
      </c>
      <c r="K101" s="2"/>
      <c r="L101" s="6">
        <f t="shared" si="45"/>
        <v>0</v>
      </c>
      <c r="M101" s="2"/>
      <c r="N101" s="7">
        <f t="shared" si="46"/>
        <v>0</v>
      </c>
      <c r="O101" s="10"/>
      <c r="P101" s="6"/>
      <c r="Q101" s="2"/>
      <c r="R101" s="7">
        <f t="shared" si="47"/>
        <v>0</v>
      </c>
      <c r="S101" s="2"/>
      <c r="T101" s="6">
        <v>791.15</v>
      </c>
      <c r="U101" s="2"/>
      <c r="V101" s="7">
        <f t="shared" si="48"/>
        <v>1.9270517090462954E-3</v>
      </c>
      <c r="W101" s="2"/>
      <c r="X101" s="6">
        <f t="shared" si="49"/>
        <v>-791.15</v>
      </c>
      <c r="Y101" s="2"/>
      <c r="Z101" s="7">
        <f t="shared" si="50"/>
        <v>-1</v>
      </c>
    </row>
    <row r="102" spans="1:26" s="26" customFormat="1" outlineLevel="1" collapsed="1" x14ac:dyDescent="0.25">
      <c r="A102" s="25"/>
      <c r="B102" s="12" t="str">
        <f>CONCATENATE("     ","Repair and Maintenance                            ")</f>
        <v xml:space="preserve">     Repair and Maintenance                            </v>
      </c>
      <c r="C102" s="12"/>
      <c r="D102" s="1">
        <f>SUM(OSRRefD22_7x_0)</f>
        <v>0</v>
      </c>
      <c r="E102" s="1"/>
      <c r="F102" s="5">
        <f t="shared" si="43"/>
        <v>0</v>
      </c>
      <c r="G102" s="1"/>
      <c r="H102" s="1">
        <f>SUM(OSRRefH22_7x_0)</f>
        <v>0</v>
      </c>
      <c r="I102" s="1"/>
      <c r="J102" s="5">
        <f t="shared" si="44"/>
        <v>0</v>
      </c>
      <c r="K102" s="1"/>
      <c r="L102" s="1">
        <f t="shared" si="45"/>
        <v>0</v>
      </c>
      <c r="M102" s="1"/>
      <c r="N102" s="5">
        <f t="shared" si="46"/>
        <v>0</v>
      </c>
      <c r="O102" s="12"/>
      <c r="P102" s="1">
        <f>SUM(OSRRefP22_7x_0)</f>
        <v>261.93</v>
      </c>
      <c r="Q102" s="1"/>
      <c r="R102" s="5">
        <f t="shared" si="47"/>
        <v>1.2290305143788078E-2</v>
      </c>
      <c r="S102" s="1"/>
      <c r="T102" s="1">
        <f>SUM(OSRRefT22_7x_0)</f>
        <v>190.64000000000001</v>
      </c>
      <c r="U102" s="1"/>
      <c r="V102" s="5">
        <f t="shared" si="48"/>
        <v>4.6435333098980699E-4</v>
      </c>
      <c r="W102" s="1"/>
      <c r="X102" s="1">
        <f t="shared" si="49"/>
        <v>71.289999999999992</v>
      </c>
      <c r="Y102" s="1"/>
      <c r="Z102" s="5">
        <f t="shared" si="50"/>
        <v>0.37395090222408722</v>
      </c>
    </row>
    <row r="103" spans="1:26" s="23" customFormat="1" hidden="1" outlineLevel="2" x14ac:dyDescent="0.25">
      <c r="A103" s="27"/>
      <c r="B103" s="10" t="str">
        <f>CONCATENATE("          ", "6373", " - ", "MAINTENANCE CONTRACTS")</f>
        <v xml:space="preserve">          6373 - MAINTENANCE CONTRACTS</v>
      </c>
      <c r="C103" s="10"/>
      <c r="D103" s="6"/>
      <c r="E103" s="2"/>
      <c r="F103" s="7">
        <f t="shared" si="43"/>
        <v>0</v>
      </c>
      <c r="G103" s="2"/>
      <c r="H103" s="6"/>
      <c r="I103" s="2"/>
      <c r="J103" s="7">
        <f t="shared" si="44"/>
        <v>0</v>
      </c>
      <c r="K103" s="2"/>
      <c r="L103" s="6">
        <f t="shared" si="45"/>
        <v>0</v>
      </c>
      <c r="M103" s="2"/>
      <c r="N103" s="7">
        <f t="shared" si="46"/>
        <v>0</v>
      </c>
      <c r="O103" s="10"/>
      <c r="P103" s="6">
        <v>261.93</v>
      </c>
      <c r="Q103" s="2"/>
      <c r="R103" s="7">
        <f t="shared" si="47"/>
        <v>1.2290305143788078E-2</v>
      </c>
      <c r="S103" s="2"/>
      <c r="T103" s="6">
        <v>180.84</v>
      </c>
      <c r="U103" s="2"/>
      <c r="V103" s="7">
        <f t="shared" si="48"/>
        <v>4.4048288069763268E-4</v>
      </c>
      <c r="W103" s="2"/>
      <c r="X103" s="6">
        <f t="shared" si="49"/>
        <v>81.09</v>
      </c>
      <c r="Y103" s="2"/>
      <c r="Z103" s="7">
        <f t="shared" si="50"/>
        <v>0.44840743198407434</v>
      </c>
    </row>
    <row r="104" spans="1:26" s="23" customFormat="1" hidden="1" outlineLevel="2" x14ac:dyDescent="0.25">
      <c r="A104" s="27"/>
      <c r="B104" s="10" t="str">
        <f>CONCATENATE("          ", "6375", " - ", "OUTSIDE REPAIRS &amp; MAINTENANCE")</f>
        <v xml:space="preserve">          6375 - OUTSIDE REPAIRS &amp; MAINTENANCE</v>
      </c>
      <c r="C104" s="10"/>
      <c r="D104" s="6"/>
      <c r="E104" s="2"/>
      <c r="F104" s="7">
        <f t="shared" si="43"/>
        <v>0</v>
      </c>
      <c r="G104" s="2"/>
      <c r="H104" s="6"/>
      <c r="I104" s="2"/>
      <c r="J104" s="7">
        <f t="shared" si="44"/>
        <v>0</v>
      </c>
      <c r="K104" s="2"/>
      <c r="L104" s="6">
        <f t="shared" si="45"/>
        <v>0</v>
      </c>
      <c r="M104" s="2"/>
      <c r="N104" s="7">
        <f t="shared" si="46"/>
        <v>0</v>
      </c>
      <c r="O104" s="10"/>
      <c r="P104" s="6"/>
      <c r="Q104" s="2"/>
      <c r="R104" s="7">
        <f t="shared" si="47"/>
        <v>0</v>
      </c>
      <c r="S104" s="2"/>
      <c r="T104" s="6">
        <v>9.8000000000000007</v>
      </c>
      <c r="U104" s="2"/>
      <c r="V104" s="7">
        <f t="shared" si="48"/>
        <v>2.3870450292174299E-5</v>
      </c>
      <c r="W104" s="2"/>
      <c r="X104" s="6">
        <f t="shared" si="49"/>
        <v>-9.8000000000000007</v>
      </c>
      <c r="Y104" s="2"/>
      <c r="Z104" s="7">
        <f t="shared" si="50"/>
        <v>-1</v>
      </c>
    </row>
    <row r="105" spans="1:26" s="26" customFormat="1" outlineLevel="1" collapsed="1" x14ac:dyDescent="0.25">
      <c r="A105" s="25"/>
      <c r="B105" s="12" t="str">
        <f>CONCATENATE("     ","Services                                          ")</f>
        <v xml:space="preserve">     Services                                          </v>
      </c>
      <c r="C105" s="12"/>
      <c r="D105" s="1">
        <f>SUM(OSRRefD22_8x_0)</f>
        <v>0</v>
      </c>
      <c r="E105" s="1"/>
      <c r="F105" s="5">
        <f t="shared" ref="F105:F107" si="51">IF(D$12=0,0,D105/D$12)</f>
        <v>0</v>
      </c>
      <c r="G105" s="1"/>
      <c r="H105" s="1">
        <f>SUM(OSRRefH22_8x_0)</f>
        <v>78.75</v>
      </c>
      <c r="I105" s="1"/>
      <c r="J105" s="5">
        <f t="shared" ref="J105:J107" si="52">IF(H$12=0,0,H105/H$12)</f>
        <v>0</v>
      </c>
      <c r="K105" s="1"/>
      <c r="L105" s="1">
        <f t="shared" ref="L105:L107" si="53">+D105-H105</f>
        <v>-78.75</v>
      </c>
      <c r="M105" s="1"/>
      <c r="N105" s="5">
        <f t="shared" ref="N105:N107" si="54">IF(H105=0,0,L105/H105)</f>
        <v>-1</v>
      </c>
      <c r="O105" s="12"/>
      <c r="P105" s="1">
        <f>SUM(OSRRefP22_8x_0)</f>
        <v>18.5</v>
      </c>
      <c r="Q105" s="1"/>
      <c r="R105" s="5">
        <f t="shared" ref="R105:R107" si="55">IF(P$12=0,0,P105/P$12)</f>
        <v>8.6805881403458724E-4</v>
      </c>
      <c r="S105" s="1"/>
      <c r="T105" s="1">
        <f>SUM(OSRRefT22_8x_0)</f>
        <v>2093.91</v>
      </c>
      <c r="U105" s="1"/>
      <c r="V105" s="5">
        <f t="shared" ref="V105:V107" si="56">IF(T$12=0,0,T105/T$12)</f>
        <v>5.1002627113557837E-3</v>
      </c>
      <c r="W105" s="1"/>
      <c r="X105" s="1">
        <f t="shared" ref="X105:X107" si="57">+P105-T105</f>
        <v>-2075.41</v>
      </c>
      <c r="Y105" s="1"/>
      <c r="Z105" s="5">
        <f t="shared" ref="Z105:Z107" si="58">IF(T105=0,0,X105/T105)</f>
        <v>-0.99116485426785295</v>
      </c>
    </row>
    <row r="106" spans="1:26" s="23" customFormat="1" hidden="1" outlineLevel="2" x14ac:dyDescent="0.25">
      <c r="A106" s="27"/>
      <c r="B106" s="10" t="str">
        <f>CONCATENATE("          ", "6282", " - ", "JANITORIAL/EXTERMINATOR EXPENS")</f>
        <v xml:space="preserve">          6282 - JANITORIAL/EXTERMINATOR EXPENS</v>
      </c>
      <c r="C106" s="10"/>
      <c r="D106" s="6"/>
      <c r="E106" s="2"/>
      <c r="F106" s="7">
        <f t="shared" si="51"/>
        <v>0</v>
      </c>
      <c r="G106" s="2"/>
      <c r="H106" s="6"/>
      <c r="I106" s="2"/>
      <c r="J106" s="7">
        <f t="shared" si="52"/>
        <v>0</v>
      </c>
      <c r="K106" s="2"/>
      <c r="L106" s="6">
        <f t="shared" si="53"/>
        <v>0</v>
      </c>
      <c r="M106" s="2"/>
      <c r="N106" s="7">
        <f t="shared" si="54"/>
        <v>0</v>
      </c>
      <c r="O106" s="10"/>
      <c r="P106" s="6">
        <v>176</v>
      </c>
      <c r="Q106" s="2"/>
      <c r="R106" s="7">
        <f t="shared" si="55"/>
        <v>8.2582892578425601E-3</v>
      </c>
      <c r="S106" s="2"/>
      <c r="T106" s="6">
        <v>461.02</v>
      </c>
      <c r="U106" s="2"/>
      <c r="V106" s="7">
        <f t="shared" si="56"/>
        <v>1.122934183030428E-3</v>
      </c>
      <c r="W106" s="2"/>
      <c r="X106" s="6">
        <f t="shared" si="57"/>
        <v>-285.02</v>
      </c>
      <c r="Y106" s="2"/>
      <c r="Z106" s="7">
        <f t="shared" si="58"/>
        <v>-0.61823782048501152</v>
      </c>
    </row>
    <row r="107" spans="1:26" s="23" customFormat="1" hidden="1" outlineLevel="2" x14ac:dyDescent="0.25">
      <c r="A107" s="27"/>
      <c r="B107" s="10" t="str">
        <f>CONCATENATE("          ", "6285", " - ", "JANITORIAL SERVICES")</f>
        <v xml:space="preserve">          6285 - JANITORIAL SERVICES</v>
      </c>
      <c r="C107" s="10"/>
      <c r="D107" s="6"/>
      <c r="E107" s="2"/>
      <c r="F107" s="7">
        <f t="shared" si="51"/>
        <v>0</v>
      </c>
      <c r="G107" s="2"/>
      <c r="H107" s="6">
        <v>78.75</v>
      </c>
      <c r="I107" s="2"/>
      <c r="J107" s="7">
        <f t="shared" si="52"/>
        <v>0</v>
      </c>
      <c r="K107" s="2"/>
      <c r="L107" s="6">
        <f t="shared" si="53"/>
        <v>-78.75</v>
      </c>
      <c r="M107" s="2"/>
      <c r="N107" s="7">
        <f t="shared" si="54"/>
        <v>-1</v>
      </c>
      <c r="O107" s="10"/>
      <c r="P107" s="6">
        <v>-157.5</v>
      </c>
      <c r="Q107" s="2"/>
      <c r="R107" s="7">
        <f t="shared" si="55"/>
        <v>-7.3902304438079732E-3</v>
      </c>
      <c r="S107" s="2"/>
      <c r="T107" s="6">
        <v>1632.89</v>
      </c>
      <c r="U107" s="2"/>
      <c r="V107" s="7">
        <f t="shared" si="56"/>
        <v>3.9773285283253561E-3</v>
      </c>
      <c r="W107" s="2"/>
      <c r="X107" s="6">
        <f t="shared" si="57"/>
        <v>-1790.39</v>
      </c>
      <c r="Y107" s="2"/>
      <c r="Z107" s="7">
        <f t="shared" si="58"/>
        <v>-1.0964547520041155</v>
      </c>
    </row>
    <row r="108" spans="1:26" s="26" customFormat="1" outlineLevel="1" collapsed="1" x14ac:dyDescent="0.25">
      <c r="A108" s="25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SUM(OSRRefD22_9x_0)</f>
        <v>0</v>
      </c>
      <c r="E108" s="1"/>
      <c r="F108" s="5">
        <f t="shared" ref="F108:F112" si="59">IF(D$12=0,0,D108/D$12)</f>
        <v>0</v>
      </c>
      <c r="G108" s="1"/>
      <c r="H108" s="1">
        <f>SUM(OSRRefH22_9x_0)</f>
        <v>0</v>
      </c>
      <c r="I108" s="1"/>
      <c r="J108" s="5">
        <f t="shared" ref="J108:J112" si="60">IF(H$12=0,0,H108/H$12)</f>
        <v>0</v>
      </c>
      <c r="K108" s="1"/>
      <c r="L108" s="1">
        <f t="shared" ref="L108:L112" si="61">+D108-H108</f>
        <v>0</v>
      </c>
      <c r="M108" s="1"/>
      <c r="N108" s="5">
        <f t="shared" ref="N108:N112" si="62">IF(H108=0,0,L108/H108)</f>
        <v>0</v>
      </c>
      <c r="O108" s="12"/>
      <c r="P108" s="1">
        <f>SUM(OSRRefP22_9x_0)</f>
        <v>1892.27</v>
      </c>
      <c r="Q108" s="1"/>
      <c r="R108" s="5">
        <f t="shared" ref="R108:R112" si="63">IF(P$12=0,0,P108/P$12)</f>
        <v>8.8789278488282622E-2</v>
      </c>
      <c r="S108" s="1"/>
      <c r="T108" s="1">
        <f>SUM(OSRRefT22_9x_0)</f>
        <v>1612.07</v>
      </c>
      <c r="U108" s="1"/>
      <c r="V108" s="5">
        <f t="shared" ref="V108:V112" si="64">IF(T$12=0,0,T108/T$12)</f>
        <v>3.9266160002556548E-3</v>
      </c>
      <c r="W108" s="1"/>
      <c r="X108" s="1">
        <f t="shared" ref="X108:X112" si="65">+P108-T108</f>
        <v>280.20000000000005</v>
      </c>
      <c r="Y108" s="1"/>
      <c r="Z108" s="5">
        <f t="shared" ref="Z108:Z112" si="66">IF(T108=0,0,X108/T108)</f>
        <v>0.17381379220505316</v>
      </c>
    </row>
    <row r="109" spans="1:26" s="23" customFormat="1" hidden="1" outlineLevel="2" x14ac:dyDescent="0.25">
      <c r="A109" s="27"/>
      <c r="B109" s="10" t="str">
        <f>CONCATENATE("          ", "6235", " - ", "COVID-19 EXPENSES")</f>
        <v xml:space="preserve">          6235 - COVID-19 EXPENSES</v>
      </c>
      <c r="C109" s="10"/>
      <c r="D109" s="6"/>
      <c r="E109" s="2"/>
      <c r="F109" s="7">
        <f t="shared" si="59"/>
        <v>0</v>
      </c>
      <c r="G109" s="2"/>
      <c r="H109" s="6"/>
      <c r="I109" s="2"/>
      <c r="J109" s="7">
        <f t="shared" si="60"/>
        <v>0</v>
      </c>
      <c r="K109" s="2"/>
      <c r="L109" s="6">
        <f t="shared" si="61"/>
        <v>0</v>
      </c>
      <c r="M109" s="2"/>
      <c r="N109" s="7">
        <f t="shared" si="62"/>
        <v>0</v>
      </c>
      <c r="O109" s="10"/>
      <c r="P109" s="6">
        <v>444.3</v>
      </c>
      <c r="Q109" s="2"/>
      <c r="R109" s="7">
        <f t="shared" si="63"/>
        <v>2.0847488166246871E-2</v>
      </c>
      <c r="S109" s="2"/>
      <c r="T109" s="6"/>
      <c r="U109" s="2"/>
      <c r="V109" s="7">
        <f t="shared" si="64"/>
        <v>0</v>
      </c>
      <c r="W109" s="2"/>
      <c r="X109" s="6">
        <f t="shared" si="65"/>
        <v>444.3</v>
      </c>
      <c r="Y109" s="2"/>
      <c r="Z109" s="7">
        <f t="shared" si="66"/>
        <v>0</v>
      </c>
    </row>
    <row r="110" spans="1:26" s="23" customFormat="1" hidden="1" outlineLevel="2" x14ac:dyDescent="0.25">
      <c r="A110" s="27"/>
      <c r="B110" s="10" t="str">
        <f>CONCATENATE("          ", "6241", " - ", "OFFICE EXPENSE")</f>
        <v xml:space="preserve">          6241 - OFFICE EXPENSE</v>
      </c>
      <c r="C110" s="10"/>
      <c r="D110" s="6"/>
      <c r="E110" s="2"/>
      <c r="F110" s="7">
        <f t="shared" si="59"/>
        <v>0</v>
      </c>
      <c r="G110" s="2"/>
      <c r="H110" s="6"/>
      <c r="I110" s="2"/>
      <c r="J110" s="7">
        <f t="shared" si="60"/>
        <v>0</v>
      </c>
      <c r="K110" s="2"/>
      <c r="L110" s="6">
        <f t="shared" si="61"/>
        <v>0</v>
      </c>
      <c r="M110" s="2"/>
      <c r="N110" s="7">
        <f t="shared" si="62"/>
        <v>0</v>
      </c>
      <c r="O110" s="10"/>
      <c r="P110" s="6">
        <v>225.24</v>
      </c>
      <c r="Q110" s="2"/>
      <c r="R110" s="7">
        <f t="shared" si="63"/>
        <v>1.056873336611624E-2</v>
      </c>
      <c r="S110" s="2"/>
      <c r="T110" s="6">
        <v>1421.17</v>
      </c>
      <c r="U110" s="2"/>
      <c r="V110" s="7">
        <f t="shared" si="64"/>
        <v>3.4616293716050357E-3</v>
      </c>
      <c r="W110" s="2"/>
      <c r="X110" s="6">
        <f t="shared" si="65"/>
        <v>-1195.93</v>
      </c>
      <c r="Y110" s="2"/>
      <c r="Z110" s="7">
        <f t="shared" si="66"/>
        <v>-0.8415108678061034</v>
      </c>
    </row>
    <row r="111" spans="1:26" s="23" customFormat="1" hidden="1" outlineLevel="2" x14ac:dyDescent="0.25">
      <c r="A111" s="27"/>
      <c r="B111" s="10" t="str">
        <f>CONCATENATE("          ", "6245", " - ", "PRINTING")</f>
        <v xml:space="preserve">          6245 - PRINTING</v>
      </c>
      <c r="C111" s="10"/>
      <c r="D111" s="6"/>
      <c r="E111" s="2"/>
      <c r="F111" s="7">
        <f t="shared" si="59"/>
        <v>0</v>
      </c>
      <c r="G111" s="2"/>
      <c r="H111" s="6"/>
      <c r="I111" s="2"/>
      <c r="J111" s="7">
        <f t="shared" si="60"/>
        <v>0</v>
      </c>
      <c r="K111" s="2"/>
      <c r="L111" s="6">
        <f t="shared" si="61"/>
        <v>0</v>
      </c>
      <c r="M111" s="2"/>
      <c r="N111" s="7">
        <f t="shared" si="62"/>
        <v>0</v>
      </c>
      <c r="O111" s="10"/>
      <c r="P111" s="6"/>
      <c r="Q111" s="2"/>
      <c r="R111" s="7">
        <f t="shared" si="63"/>
        <v>0</v>
      </c>
      <c r="S111" s="2"/>
      <c r="T111" s="6">
        <v>22.05</v>
      </c>
      <c r="U111" s="2"/>
      <c r="V111" s="7">
        <f t="shared" si="64"/>
        <v>5.3708513157392171E-5</v>
      </c>
      <c r="W111" s="2"/>
      <c r="X111" s="6">
        <f t="shared" si="65"/>
        <v>-22.05</v>
      </c>
      <c r="Y111" s="2"/>
      <c r="Z111" s="7">
        <f t="shared" si="66"/>
        <v>-1</v>
      </c>
    </row>
    <row r="112" spans="1:26" s="23" customFormat="1" hidden="1" outlineLevel="2" x14ac:dyDescent="0.25">
      <c r="A112" s="27"/>
      <c r="B112" s="10" t="str">
        <f>CONCATENATE("          ", "6247", " - ", "STORE SUPPLIES")</f>
        <v xml:space="preserve">          6247 - STORE SUPPLIES</v>
      </c>
      <c r="C112" s="10"/>
      <c r="D112" s="6"/>
      <c r="E112" s="2"/>
      <c r="F112" s="7">
        <f t="shared" si="59"/>
        <v>0</v>
      </c>
      <c r="G112" s="2"/>
      <c r="H112" s="6"/>
      <c r="I112" s="2"/>
      <c r="J112" s="7">
        <f t="shared" si="60"/>
        <v>0</v>
      </c>
      <c r="K112" s="2"/>
      <c r="L112" s="6">
        <f t="shared" si="61"/>
        <v>0</v>
      </c>
      <c r="M112" s="2"/>
      <c r="N112" s="7">
        <f t="shared" si="62"/>
        <v>0</v>
      </c>
      <c r="O112" s="10"/>
      <c r="P112" s="6">
        <v>1222.73</v>
      </c>
      <c r="Q112" s="2"/>
      <c r="R112" s="7">
        <f t="shared" si="63"/>
        <v>5.7373056955919509E-2</v>
      </c>
      <c r="S112" s="2"/>
      <c r="T112" s="6">
        <v>168.85</v>
      </c>
      <c r="U112" s="2"/>
      <c r="V112" s="7">
        <f t="shared" si="64"/>
        <v>4.1127811549322756E-4</v>
      </c>
      <c r="W112" s="2"/>
      <c r="X112" s="6">
        <f t="shared" si="65"/>
        <v>1053.8800000000001</v>
      </c>
      <c r="Y112" s="2"/>
      <c r="Z112" s="7">
        <f t="shared" si="66"/>
        <v>6.2415161385845437</v>
      </c>
    </row>
    <row r="113" spans="1:26" s="26" customFormat="1" outlineLevel="1" collapsed="1" x14ac:dyDescent="0.25">
      <c r="A113" s="25"/>
      <c r="B113" s="12" t="str">
        <f>CONCATENATE("     ","Telephone/Data Lines                              ")</f>
        <v xml:space="preserve">     Telephone/Data Lines                              </v>
      </c>
      <c r="C113" s="12"/>
      <c r="D113" s="1">
        <f>SUM(OSRRefD22_10x_0)</f>
        <v>53</v>
      </c>
      <c r="E113" s="1"/>
      <c r="F113" s="5">
        <f t="shared" ref="F113:F116" si="67">IF(D$12=0,0,D113/D$12)</f>
        <v>0</v>
      </c>
      <c r="G113" s="1"/>
      <c r="H113" s="1">
        <f>SUM(OSRRefH22_10x_0)</f>
        <v>103</v>
      </c>
      <c r="I113" s="1"/>
      <c r="J113" s="5">
        <f t="shared" ref="J113:J116" si="68">IF(H$12=0,0,H113/H$12)</f>
        <v>0</v>
      </c>
      <c r="K113" s="1"/>
      <c r="L113" s="1">
        <f t="shared" ref="L113:L116" si="69">+D113-H113</f>
        <v>-50</v>
      </c>
      <c r="M113" s="1"/>
      <c r="N113" s="5">
        <f t="shared" ref="N113:N116" si="70">IF(H113=0,0,L113/H113)</f>
        <v>-0.4854368932038835</v>
      </c>
      <c r="O113" s="12"/>
      <c r="P113" s="1">
        <f>SUM(OSRRefP22_10x_0)</f>
        <v>631.04999999999995</v>
      </c>
      <c r="Q113" s="1"/>
      <c r="R113" s="5">
        <f t="shared" ref="R113:R116" si="71">IF(P$12=0,0,P113/P$12)</f>
        <v>2.961018997819061E-2</v>
      </c>
      <c r="S113" s="1"/>
      <c r="T113" s="1">
        <f>SUM(OSRRefT22_10x_0)</f>
        <v>1093.3699999999999</v>
      </c>
      <c r="U113" s="1"/>
      <c r="V113" s="5">
        <f t="shared" ref="V113:V116" si="72">IF(T$12=0,0,T113/T$12)</f>
        <v>2.6631871669341436E-3</v>
      </c>
      <c r="W113" s="1"/>
      <c r="X113" s="1">
        <f t="shared" ref="X113:X116" si="73">+P113-T113</f>
        <v>-462.31999999999994</v>
      </c>
      <c r="Y113" s="1"/>
      <c r="Z113" s="5">
        <f t="shared" ref="Z113:Z116" si="74">IF(T113=0,0,X113/T113)</f>
        <v>-0.42283947794433724</v>
      </c>
    </row>
    <row r="114" spans="1:26" s="23" customFormat="1" hidden="1" outlineLevel="2" x14ac:dyDescent="0.25">
      <c r="A114" s="27"/>
      <c r="B114" s="10" t="str">
        <f>CONCATENATE("          ", "6309", " - ", "TELEPHONE")</f>
        <v xml:space="preserve">          6309 - TELEPHONE</v>
      </c>
      <c r="C114" s="10"/>
      <c r="D114" s="6">
        <v>53</v>
      </c>
      <c r="E114" s="2"/>
      <c r="F114" s="7">
        <f t="shared" si="67"/>
        <v>0</v>
      </c>
      <c r="G114" s="2"/>
      <c r="H114" s="6">
        <v>103</v>
      </c>
      <c r="I114" s="2"/>
      <c r="J114" s="7">
        <f t="shared" si="68"/>
        <v>0</v>
      </c>
      <c r="K114" s="2"/>
      <c r="L114" s="6">
        <f t="shared" si="69"/>
        <v>-50</v>
      </c>
      <c r="M114" s="2"/>
      <c r="N114" s="7">
        <f t="shared" si="70"/>
        <v>-0.4854368932038835</v>
      </c>
      <c r="O114" s="10"/>
      <c r="P114" s="6">
        <v>631.04999999999995</v>
      </c>
      <c r="Q114" s="2"/>
      <c r="R114" s="7">
        <f t="shared" si="71"/>
        <v>2.961018997819061E-2</v>
      </c>
      <c r="S114" s="2"/>
      <c r="T114" s="6">
        <v>1093.3699999999999</v>
      </c>
      <c r="U114" s="2"/>
      <c r="V114" s="7">
        <f t="shared" si="72"/>
        <v>2.6631871669341436E-3</v>
      </c>
      <c r="W114" s="2"/>
      <c r="X114" s="6">
        <f t="shared" si="73"/>
        <v>-462.31999999999994</v>
      </c>
      <c r="Y114" s="2"/>
      <c r="Z114" s="7">
        <f t="shared" si="74"/>
        <v>-0.42283947794433724</v>
      </c>
    </row>
    <row r="115" spans="1:26" s="26" customFormat="1" outlineLevel="1" collapsed="1" x14ac:dyDescent="0.25">
      <c r="A115" s="25"/>
      <c r="B115" s="12" t="str">
        <f>CONCATENATE("     ","Training                                          ")</f>
        <v xml:space="preserve">     Training                                          </v>
      </c>
      <c r="C115" s="12"/>
      <c r="D115" s="1">
        <f>SUM(OSRRefD22_11x_0)</f>
        <v>0</v>
      </c>
      <c r="E115" s="1"/>
      <c r="F115" s="5">
        <f t="shared" si="67"/>
        <v>0</v>
      </c>
      <c r="G115" s="1"/>
      <c r="H115" s="1">
        <f>SUM(OSRRefH22_11x_0)</f>
        <v>0</v>
      </c>
      <c r="I115" s="1"/>
      <c r="J115" s="5">
        <f t="shared" si="68"/>
        <v>0</v>
      </c>
      <c r="K115" s="1"/>
      <c r="L115" s="1">
        <f t="shared" si="69"/>
        <v>0</v>
      </c>
      <c r="M115" s="1"/>
      <c r="N115" s="5">
        <f t="shared" si="70"/>
        <v>0</v>
      </c>
      <c r="O115" s="12"/>
      <c r="P115" s="1">
        <f>SUM(OSRRefP22_11x_0)</f>
        <v>14</v>
      </c>
      <c r="Q115" s="1"/>
      <c r="R115" s="5">
        <f t="shared" si="71"/>
        <v>6.5690937278293094E-4</v>
      </c>
      <c r="S115" s="1"/>
      <c r="T115" s="1">
        <f>SUM(OSRRefT22_11x_0)</f>
        <v>254.8</v>
      </c>
      <c r="U115" s="1"/>
      <c r="V115" s="5">
        <f t="shared" si="72"/>
        <v>6.2063170759653178E-4</v>
      </c>
      <c r="W115" s="1"/>
      <c r="X115" s="1">
        <f t="shared" si="73"/>
        <v>-240.8</v>
      </c>
      <c r="Y115" s="1"/>
      <c r="Z115" s="5">
        <f t="shared" si="74"/>
        <v>-0.94505494505494503</v>
      </c>
    </row>
    <row r="116" spans="1:26" s="23" customFormat="1" hidden="1" outlineLevel="2" x14ac:dyDescent="0.25">
      <c r="A116" s="27"/>
      <c r="B116" s="10" t="str">
        <f>CONCATENATE("          ", "6376", " - ", "TRAINING")</f>
        <v xml:space="preserve">          6376 - TRAINING</v>
      </c>
      <c r="C116" s="10"/>
      <c r="D116" s="6"/>
      <c r="E116" s="2"/>
      <c r="F116" s="7">
        <f t="shared" si="67"/>
        <v>0</v>
      </c>
      <c r="G116" s="2"/>
      <c r="H116" s="6"/>
      <c r="I116" s="2"/>
      <c r="J116" s="7">
        <f t="shared" si="68"/>
        <v>0</v>
      </c>
      <c r="K116" s="2"/>
      <c r="L116" s="6">
        <f t="shared" si="69"/>
        <v>0</v>
      </c>
      <c r="M116" s="2"/>
      <c r="N116" s="7">
        <f t="shared" si="70"/>
        <v>0</v>
      </c>
      <c r="O116" s="10"/>
      <c r="P116" s="6">
        <v>14</v>
      </c>
      <c r="Q116" s="2"/>
      <c r="R116" s="7">
        <f t="shared" si="71"/>
        <v>6.5690937278293094E-4</v>
      </c>
      <c r="S116" s="2"/>
      <c r="T116" s="6">
        <v>254.8</v>
      </c>
      <c r="U116" s="2"/>
      <c r="V116" s="7">
        <f t="shared" si="72"/>
        <v>6.2063170759653178E-4</v>
      </c>
      <c r="W116" s="2"/>
      <c r="X116" s="6">
        <f t="shared" si="73"/>
        <v>-240.8</v>
      </c>
      <c r="Y116" s="2"/>
      <c r="Z116" s="7">
        <f t="shared" si="74"/>
        <v>-0.94505494505494503</v>
      </c>
    </row>
    <row r="117" spans="1:26" s="57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4" customFormat="1" collapsed="1" x14ac:dyDescent="0.25">
      <c r="A118" s="11"/>
      <c r="B118" s="29" t="s">
        <v>292</v>
      </c>
      <c r="C118" s="11"/>
      <c r="D118" s="4">
        <f>SUM(OSRRefD25x_0)</f>
        <v>0</v>
      </c>
      <c r="E118" s="4"/>
      <c r="F118" s="13">
        <f t="shared" ref="F118:F119" si="75">IF(D$12=0,0,D118/D$12)</f>
        <v>0</v>
      </c>
      <c r="G118" s="4"/>
      <c r="H118" s="4">
        <f>SUM(OSRRefH25x_0)</f>
        <v>0</v>
      </c>
      <c r="I118" s="4"/>
      <c r="J118" s="13">
        <f t="shared" ref="J118:J119" si="76">IF(H$12=0,0,H118/H$12)</f>
        <v>0</v>
      </c>
      <c r="K118" s="4"/>
      <c r="L118" s="4">
        <f t="shared" ref="L118:L119" si="77">+D118-H118</f>
        <v>0</v>
      </c>
      <c r="M118" s="4"/>
      <c r="N118" s="13">
        <f t="shared" ref="N118:N119" si="78">IF(H118=0,0,L118/H118)</f>
        <v>0</v>
      </c>
      <c r="O118" s="11"/>
      <c r="P118" s="4">
        <f>SUM(OSRRefP25x_0)</f>
        <v>0</v>
      </c>
      <c r="Q118" s="4"/>
      <c r="R118" s="13">
        <f t="shared" ref="R118:R119" si="79">IF(P$12=0,0,P118/P$12)</f>
        <v>0</v>
      </c>
      <c r="S118" s="4"/>
      <c r="T118" s="4">
        <f>SUM(OSRRefT25x_0)</f>
        <v>68.760000000000005</v>
      </c>
      <c r="U118" s="4"/>
      <c r="V118" s="13">
        <f t="shared" ref="V118:V119" si="80">IF(T$12=0,0,T118/T$12)</f>
        <v>1.6748287368264334E-4</v>
      </c>
      <c r="W118" s="4"/>
      <c r="X118" s="4">
        <f t="shared" ref="X118:X119" si="81">+P118-T118</f>
        <v>-68.760000000000005</v>
      </c>
      <c r="Y118" s="4"/>
      <c r="Z118" s="13">
        <f t="shared" ref="Z118:Z119" si="82">IF(T118=0,0,X118/T118)</f>
        <v>-1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0</f>
        <v>0</v>
      </c>
      <c r="E119" s="2"/>
      <c r="F119" s="19">
        <f t="shared" si="75"/>
        <v>0</v>
      </c>
      <c r="G119" s="2"/>
      <c r="H119" s="2">
        <f>0</f>
        <v>0</v>
      </c>
      <c r="I119" s="2"/>
      <c r="J119" s="19">
        <f t="shared" si="76"/>
        <v>0</v>
      </c>
      <c r="K119" s="2"/>
      <c r="L119" s="2">
        <f t="shared" si="77"/>
        <v>0</v>
      </c>
      <c r="M119" s="2"/>
      <c r="N119" s="19">
        <f t="shared" si="78"/>
        <v>0</v>
      </c>
      <c r="O119" s="10"/>
      <c r="P119" s="2">
        <f>0</f>
        <v>0</v>
      </c>
      <c r="Q119" s="2"/>
      <c r="R119" s="19">
        <f t="shared" si="79"/>
        <v>0</v>
      </c>
      <c r="S119" s="2"/>
      <c r="T119" s="2">
        <f>--68.76</f>
        <v>68.760000000000005</v>
      </c>
      <c r="U119" s="2"/>
      <c r="V119" s="19">
        <f t="shared" si="80"/>
        <v>1.6748287368264334E-4</v>
      </c>
      <c r="W119" s="2"/>
      <c r="X119" s="2">
        <f t="shared" si="81"/>
        <v>-68.760000000000005</v>
      </c>
      <c r="Y119" s="2"/>
      <c r="Z119" s="19">
        <f t="shared" si="82"/>
        <v>-1</v>
      </c>
    </row>
    <row r="120" spans="1:26" x14ac:dyDescent="0.25">
      <c r="A120" s="9"/>
      <c r="B120" s="11"/>
      <c r="C120" s="11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1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x14ac:dyDescent="0.25">
      <c r="A121" s="11"/>
      <c r="B121" s="28" t="s">
        <v>276</v>
      </c>
      <c r="C121" s="28"/>
      <c r="D121" s="20">
        <f>+D74-D76+D118</f>
        <v>-81.53</v>
      </c>
      <c r="E121" s="14"/>
      <c r="F121" s="21">
        <f>IF(D$12=0,0,D121/D$12)</f>
        <v>0</v>
      </c>
      <c r="G121" s="14"/>
      <c r="H121" s="20">
        <f>+H74-H76+H118</f>
        <v>-182.29000000000011</v>
      </c>
      <c r="I121" s="14"/>
      <c r="J121" s="21">
        <f>IF(H$12=0,0,H121/H$12)</f>
        <v>0</v>
      </c>
      <c r="K121" s="15"/>
      <c r="L121" s="20">
        <f>+D121-H121</f>
        <v>100.7600000000001</v>
      </c>
      <c r="M121" s="15"/>
      <c r="N121" s="21">
        <f>IF(H121=0,0,L121/H121)</f>
        <v>-0.5527456251028583</v>
      </c>
      <c r="O121" s="29"/>
      <c r="P121" s="20">
        <f>+P74-P76+P118</f>
        <v>-5263.4599999999919</v>
      </c>
      <c r="Q121" s="14"/>
      <c r="R121" s="21">
        <f>IF(P$12=0,0,P121/P$12)</f>
        <v>-0.24697258623343143</v>
      </c>
      <c r="S121" s="14"/>
      <c r="T121" s="20">
        <f>+T74-T76+T118</f>
        <v>86282.430000000255</v>
      </c>
      <c r="U121" s="14"/>
      <c r="V121" s="21">
        <f>IF(T$12=0,0,T121/T$12)</f>
        <v>0.21016331187785861</v>
      </c>
      <c r="W121" s="15"/>
      <c r="X121" s="20">
        <f>+P121-T121</f>
        <v>-91545.890000000247</v>
      </c>
      <c r="Y121" s="15"/>
      <c r="Z121" s="21">
        <f>IF(T121=0,0,X121/T121)</f>
        <v>-1.0610026861784025</v>
      </c>
    </row>
    <row r="122" spans="1:26" x14ac:dyDescent="0.25">
      <c r="A122" s="9"/>
      <c r="B122" s="11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51"/>
      <c r="B123" s="11" t="s">
        <v>127</v>
      </c>
      <c r="C123" s="11"/>
      <c r="D123" s="4">
        <v>95.62</v>
      </c>
      <c r="E123" s="4"/>
      <c r="F123" s="13">
        <f>IF(D$12=0,0,D123/D$12)</f>
        <v>0</v>
      </c>
      <c r="G123" s="4"/>
      <c r="H123" s="4">
        <v>2002.55</v>
      </c>
      <c r="I123" s="4"/>
      <c r="J123" s="13">
        <f>IF(H$12=0,0,H123/H$12)</f>
        <v>0</v>
      </c>
      <c r="K123" s="4"/>
      <c r="L123" s="4">
        <f>+D123-H123</f>
        <v>-1906.9299999999998</v>
      </c>
      <c r="M123" s="4"/>
      <c r="N123" s="13">
        <f>IF(H123=0,0,L123/H123)</f>
        <v>-0.95225088012783698</v>
      </c>
      <c r="O123" s="11"/>
      <c r="P123" s="4">
        <v>4554.16</v>
      </c>
      <c r="Q123" s="4"/>
      <c r="R123" s="13">
        <f>IF(P$12=0,0,P123/P$12)</f>
        <v>0.21369074208236519</v>
      </c>
      <c r="S123" s="4"/>
      <c r="T123" s="4">
        <v>48617.5</v>
      </c>
      <c r="U123" s="4"/>
      <c r="V123" s="13">
        <f>IF(T$12=0,0,T123/T$12)</f>
        <v>0.11842057317140653</v>
      </c>
      <c r="W123" s="4"/>
      <c r="X123" s="4">
        <f>+P123-T123</f>
        <v>-44063.34</v>
      </c>
      <c r="Y123" s="4"/>
      <c r="Z123" s="13">
        <f>IF(T123=0,0,X123/T123)</f>
        <v>-0.9063267342006478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ht="15.75" thickBot="1" x14ac:dyDescent="0.3">
      <c r="A125" s="11"/>
      <c r="B125" s="28" t="s">
        <v>125</v>
      </c>
      <c r="C125" s="28"/>
      <c r="D125" s="35">
        <f>+D121-D123</f>
        <v>-177.15</v>
      </c>
      <c r="E125" s="14"/>
      <c r="F125" s="36">
        <f>IF(D$12=0,0,D125/D$12)</f>
        <v>0</v>
      </c>
      <c r="G125" s="14"/>
      <c r="H125" s="35">
        <f>+H121-H123</f>
        <v>-2184.84</v>
      </c>
      <c r="I125" s="14"/>
      <c r="J125" s="36">
        <f>IF(H$12=0,0,H125/H$12)</f>
        <v>0</v>
      </c>
      <c r="K125" s="15"/>
      <c r="L125" s="35">
        <f>D125-H125</f>
        <v>2007.69</v>
      </c>
      <c r="M125" s="15"/>
      <c r="N125" s="36">
        <f>IF(H125=0,0,L125/H125)</f>
        <v>-0.91891854781128135</v>
      </c>
      <c r="O125" s="29"/>
      <c r="P125" s="35">
        <f>+P121-P123</f>
        <v>-9817.6199999999917</v>
      </c>
      <c r="Q125" s="14"/>
      <c r="R125" s="36">
        <f>IF(P$12=0,0,P125/P$12)</f>
        <v>-0.46066332831579665</v>
      </c>
      <c r="S125" s="14"/>
      <c r="T125" s="35">
        <f>+T121-T123</f>
        <v>37664.930000000255</v>
      </c>
      <c r="U125" s="14"/>
      <c r="V125" s="36">
        <f>IF(T$12=0,0,T125/T$12)</f>
        <v>9.1742738706452095E-2</v>
      </c>
      <c r="W125" s="15"/>
      <c r="X125" s="35">
        <f>P125-T125</f>
        <v>-47482.55000000025</v>
      </c>
      <c r="Y125" s="15"/>
      <c r="Z125" s="36">
        <f>IF(T125=0,0,X125/T125)</f>
        <v>-1.260656796654074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293</v>
      </c>
      <c r="C128" s="28"/>
      <c r="D128" s="30">
        <f>SUM(D125:D127)</f>
        <v>-177.15</v>
      </c>
      <c r="E128" s="14"/>
      <c r="F128" s="31">
        <f>IF(D$12=0,0,D128/D$12)</f>
        <v>0</v>
      </c>
      <c r="G128" s="14"/>
      <c r="H128" s="30">
        <f>SUM(H125:H127)</f>
        <v>-2184.84</v>
      </c>
      <c r="I128" s="14"/>
      <c r="J128" s="31">
        <f>IF(H$12=0,0,H128/H$12)</f>
        <v>0</v>
      </c>
      <c r="K128" s="15"/>
      <c r="L128" s="30">
        <f>+D128-H128</f>
        <v>2007.69</v>
      </c>
      <c r="M128" s="15"/>
      <c r="N128" s="31">
        <f>IF(H128=0,0,L128/H128)</f>
        <v>-0.91891854781128135</v>
      </c>
      <c r="O128" s="29"/>
      <c r="P128" s="30">
        <f>SUM(P125:P127)</f>
        <v>-9817.6199999999917</v>
      </c>
      <c r="Q128" s="14"/>
      <c r="R128" s="31">
        <f>IF(P$12=0,0,P128/P$12)</f>
        <v>-0.46066332831579665</v>
      </c>
      <c r="S128" s="14"/>
      <c r="T128" s="30">
        <f>SUM(T125:T127)</f>
        <v>37664.930000000255</v>
      </c>
      <c r="U128" s="14"/>
      <c r="V128" s="31">
        <f>IF(T$12=0,0,T128/T$12)</f>
        <v>9.1742738706452095E-2</v>
      </c>
      <c r="W128" s="15"/>
      <c r="X128" s="30">
        <f>+P128-T128</f>
        <v>-47482.55000000025</v>
      </c>
      <c r="Y128" s="15"/>
      <c r="Z128" s="31">
        <f>IF(T128=0,0,X128/T128)</f>
        <v>-1.260656796654074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9">
        <v>44356.893348032405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2" t="s">
        <v>56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54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63693.889999999985</v>
      </c>
      <c r="E12" s="4"/>
      <c r="F12" s="13"/>
      <c r="G12" s="4"/>
      <c r="H12" s="4">
        <f>SUM(OSRRefH13x_0)</f>
        <v>60634.290000000023</v>
      </c>
      <c r="I12" s="4"/>
      <c r="J12" s="13"/>
      <c r="K12" s="4"/>
      <c r="L12" s="4">
        <f t="shared" ref="L12:L43" si="0">+D12-H12</f>
        <v>3059.5999999999622</v>
      </c>
      <c r="M12" s="4"/>
      <c r="N12" s="13">
        <f t="shared" ref="N12:N43" si="1">IF(H12=0,0,L12/H12)</f>
        <v>5.0459896537090827E-2</v>
      </c>
      <c r="O12" s="11"/>
      <c r="P12" s="4">
        <f>SUM(OSRRefP13x_0)</f>
        <v>2743330.4099999997</v>
      </c>
      <c r="Q12" s="4"/>
      <c r="R12" s="13"/>
      <c r="S12" s="4"/>
      <c r="T12" s="4">
        <f>SUM(OSRRefT13x_0)</f>
        <v>4929246.9199999971</v>
      </c>
      <c r="U12" s="4"/>
      <c r="V12" s="13"/>
      <c r="W12" s="4"/>
      <c r="X12" s="4">
        <f t="shared" ref="X12:X43" si="2">+P12-T12</f>
        <v>-2185916.5099999974</v>
      </c>
      <c r="Y12" s="4"/>
      <c r="Z12" s="13">
        <f t="shared" ref="Z12:Z43" si="3">IF(T12=0,0,X12/T12)</f>
        <v>-0.44345851313125101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-701.64</f>
        <v>-701.64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-701.64</v>
      </c>
      <c r="M13" s="2"/>
      <c r="N13" s="19">
        <f t="shared" si="1"/>
        <v>0</v>
      </c>
      <c r="O13" s="10"/>
      <c r="P13" s="2">
        <f>-9280.36</f>
        <v>-9280.36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-9280.36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--35278.2</f>
        <v>35278.199999999997</v>
      </c>
      <c r="E14" s="2"/>
      <c r="F14" s="19"/>
      <c r="G14" s="2"/>
      <c r="H14" s="2">
        <f>--37281.91</f>
        <v>37281.910000000003</v>
      </c>
      <c r="I14" s="2"/>
      <c r="J14" s="19"/>
      <c r="K14" s="2"/>
      <c r="L14" s="2">
        <f t="shared" si="0"/>
        <v>-2003.7100000000064</v>
      </c>
      <c r="M14" s="2"/>
      <c r="N14" s="19">
        <f t="shared" si="1"/>
        <v>-5.3744832279247659E-2</v>
      </c>
      <c r="O14" s="10"/>
      <c r="P14" s="2">
        <f>--1299088.56</f>
        <v>1299088.56</v>
      </c>
      <c r="Q14" s="2"/>
      <c r="R14" s="19"/>
      <c r="S14" s="2"/>
      <c r="T14" s="2">
        <f>--2435259.64</f>
        <v>2435259.64</v>
      </c>
      <c r="U14" s="2"/>
      <c r="V14" s="19"/>
      <c r="W14" s="2"/>
      <c r="X14" s="2">
        <f t="shared" si="2"/>
        <v>-1136171.08</v>
      </c>
      <c r="Y14" s="2"/>
      <c r="Z14" s="19">
        <f t="shared" si="3"/>
        <v>-0.4665502853732672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--11501.84</f>
        <v>11501.84</v>
      </c>
      <c r="E15" s="2"/>
      <c r="F15" s="19"/>
      <c r="G15" s="2"/>
      <c r="H15" s="2">
        <f>--11509.55</f>
        <v>11509.55</v>
      </c>
      <c r="I15" s="2"/>
      <c r="J15" s="19"/>
      <c r="K15" s="2"/>
      <c r="L15" s="2">
        <f t="shared" si="0"/>
        <v>-7.7099999999991269</v>
      </c>
      <c r="M15" s="2"/>
      <c r="N15" s="19">
        <f t="shared" si="1"/>
        <v>-6.6987849220856834E-4</v>
      </c>
      <c r="O15" s="10"/>
      <c r="P15" s="2">
        <f>--590270.47</f>
        <v>590270.47</v>
      </c>
      <c r="Q15" s="2"/>
      <c r="R15" s="19"/>
      <c r="S15" s="2"/>
      <c r="T15" s="2">
        <f>--1256426.74</f>
        <v>1256426.74</v>
      </c>
      <c r="U15" s="2"/>
      <c r="V15" s="19"/>
      <c r="W15" s="2"/>
      <c r="X15" s="2">
        <f t="shared" si="2"/>
        <v>-666156.27</v>
      </c>
      <c r="Y15" s="2"/>
      <c r="Z15" s="19">
        <f t="shared" si="3"/>
        <v>-0.53019905482113505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--35.38</f>
        <v>35.380000000000003</v>
      </c>
      <c r="E21" s="2"/>
      <c r="F21" s="19"/>
      <c r="G21" s="2"/>
      <c r="H21" s="2">
        <f>--24.99</f>
        <v>24.99</v>
      </c>
      <c r="I21" s="2"/>
      <c r="J21" s="19"/>
      <c r="K21" s="2"/>
      <c r="L21" s="2">
        <f t="shared" si="0"/>
        <v>10.390000000000004</v>
      </c>
      <c r="M21" s="2"/>
      <c r="N21" s="19">
        <f t="shared" si="1"/>
        <v>0.41576630652260921</v>
      </c>
      <c r="O21" s="10"/>
      <c r="P21" s="2">
        <f>--508.48</f>
        <v>508.48</v>
      </c>
      <c r="Q21" s="2"/>
      <c r="R21" s="19"/>
      <c r="S21" s="2"/>
      <c r="T21" s="2">
        <f>--4179.3</f>
        <v>4179.3</v>
      </c>
      <c r="U21" s="2"/>
      <c r="V21" s="19"/>
      <c r="W21" s="2"/>
      <c r="X21" s="2">
        <f t="shared" si="2"/>
        <v>-3670.82</v>
      </c>
      <c r="Y21" s="2"/>
      <c r="Z21" s="19">
        <f t="shared" si="3"/>
        <v>-0.87833369224511282</v>
      </c>
    </row>
    <row r="22" spans="1:26" s="23" customFormat="1" hidden="1" outlineLevel="1" x14ac:dyDescent="0.25">
      <c r="A22" s="44"/>
      <c r="B22" s="10" t="str">
        <f>CONCATENATE("          ", "4100", " - ", "NON-TAXABLE SALES")</f>
        <v xml:space="preserve">          4100 - NON-TAXABLE SALES</v>
      </c>
      <c r="C22" s="10"/>
      <c r="D22" s="2">
        <f>--3546.21</f>
        <v>3546.21</v>
      </c>
      <c r="E22" s="2"/>
      <c r="F22" s="19"/>
      <c r="G22" s="2"/>
      <c r="H22" s="2">
        <f>--5210.55</f>
        <v>5210.55</v>
      </c>
      <c r="I22" s="2"/>
      <c r="J22" s="19"/>
      <c r="K22" s="2"/>
      <c r="L22" s="2">
        <f t="shared" si="0"/>
        <v>-1664.3400000000001</v>
      </c>
      <c r="M22" s="2"/>
      <c r="N22" s="19">
        <f t="shared" si="1"/>
        <v>-0.31941733598180616</v>
      </c>
      <c r="O22" s="10"/>
      <c r="P22" s="2">
        <f>--277384.98</f>
        <v>277384.98</v>
      </c>
      <c r="Q22" s="2"/>
      <c r="R22" s="19"/>
      <c r="S22" s="2"/>
      <c r="T22" s="2">
        <f>--607447.02</f>
        <v>607447.02</v>
      </c>
      <c r="U22" s="2"/>
      <c r="V22" s="19"/>
      <c r="W22" s="2"/>
      <c r="X22" s="2">
        <f t="shared" si="2"/>
        <v>-330062.04000000004</v>
      </c>
      <c r="Y22" s="2"/>
      <c r="Z22" s="19">
        <f t="shared" si="3"/>
        <v>-0.54335938630499825</v>
      </c>
    </row>
    <row r="23" spans="1:26" s="23" customFormat="1" hidden="1" outlineLevel="1" x14ac:dyDescent="0.25">
      <c r="A23" s="44"/>
      <c r="B23" s="10" t="str">
        <f>CONCATENATE("          ", "4101", " - ", "NON-TAXABLE SALES-NEW TEXT")</f>
        <v xml:space="preserve">          4101 - NON-TAXABLE SALES-NEW TEXT</v>
      </c>
      <c r="C23" s="10"/>
      <c r="D23" s="2">
        <f>--6450.33</f>
        <v>6450.33</v>
      </c>
      <c r="E23" s="2"/>
      <c r="F23" s="19"/>
      <c r="G23" s="2"/>
      <c r="H23" s="2">
        <f>--7118.9</f>
        <v>7118.9</v>
      </c>
      <c r="I23" s="2"/>
      <c r="J23" s="19"/>
      <c r="K23" s="2"/>
      <c r="L23" s="2">
        <f t="shared" si="0"/>
        <v>-668.56999999999971</v>
      </c>
      <c r="M23" s="2"/>
      <c r="N23" s="19">
        <f t="shared" si="1"/>
        <v>-9.3914790206352072E-2</v>
      </c>
      <c r="O23" s="10"/>
      <c r="P23" s="2">
        <f>--119247.07</f>
        <v>119247.07</v>
      </c>
      <c r="Q23" s="2"/>
      <c r="R23" s="19"/>
      <c r="S23" s="2"/>
      <c r="T23" s="2">
        <f>--151282.34</f>
        <v>151282.34</v>
      </c>
      <c r="U23" s="2"/>
      <c r="V23" s="19"/>
      <c r="W23" s="2"/>
      <c r="X23" s="2">
        <f t="shared" si="2"/>
        <v>-32035.26999999999</v>
      </c>
      <c r="Y23" s="2"/>
      <c r="Z23" s="19">
        <f t="shared" si="3"/>
        <v>-0.2117581602717144</v>
      </c>
    </row>
    <row r="24" spans="1:26" s="23" customFormat="1" hidden="1" outlineLevel="1" x14ac:dyDescent="0.25">
      <c r="A24" s="44"/>
      <c r="B24" s="10" t="str">
        <f>CONCATENATE("          ", "4102", " - ", "NON-TAXABLE SALES-USED TEXT")</f>
        <v xml:space="preserve">          4102 - NON-TAXABLE SALES-USED TEXT</v>
      </c>
      <c r="C24" s="10"/>
      <c r="D24" s="2">
        <f>--2343.31</f>
        <v>2343.31</v>
      </c>
      <c r="E24" s="2"/>
      <c r="F24" s="19"/>
      <c r="G24" s="2"/>
      <c r="H24" s="2">
        <f>--565.56</f>
        <v>565.55999999999995</v>
      </c>
      <c r="I24" s="2"/>
      <c r="J24" s="19"/>
      <c r="K24" s="2"/>
      <c r="L24" s="2">
        <f t="shared" si="0"/>
        <v>1777.75</v>
      </c>
      <c r="M24" s="2"/>
      <c r="N24" s="19">
        <f t="shared" si="1"/>
        <v>3.1433446495508881</v>
      </c>
      <c r="O24" s="10"/>
      <c r="P24" s="2">
        <f>--51046.73</f>
        <v>51046.73</v>
      </c>
      <c r="Q24" s="2"/>
      <c r="R24" s="19"/>
      <c r="S24" s="2"/>
      <c r="T24" s="2">
        <f>--70225.46</f>
        <v>70225.460000000006</v>
      </c>
      <c r="U24" s="2"/>
      <c r="V24" s="19"/>
      <c r="W24" s="2"/>
      <c r="X24" s="2">
        <f t="shared" si="2"/>
        <v>-19178.730000000003</v>
      </c>
      <c r="Y24" s="2"/>
      <c r="Z24" s="19">
        <f t="shared" si="3"/>
        <v>-0.2731022338621919</v>
      </c>
    </row>
    <row r="25" spans="1:26" s="23" customFormat="1" hidden="1" outlineLevel="1" x14ac:dyDescent="0.25">
      <c r="A25" s="44"/>
      <c r="B25" s="10" t="str">
        <f>CONCATENATE("          ", "4103", " - ", "NON-TAXABLE SALES-RENTAL TEXT")</f>
        <v xml:space="preserve">          4103 - NON-TAXABLE SALES-RENTAL TEXT</v>
      </c>
      <c r="C25" s="10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3" customFormat="1" hidden="1" outlineLevel="1" x14ac:dyDescent="0.25">
      <c r="A26" s="44"/>
      <c r="B26" s="10" t="str">
        <f>CONCATENATE("          ", "4104", " - ", "NON-TAXABLE SALES-DIGITAL TEXT")</f>
        <v xml:space="preserve">          4104 - NON-TAXABLE SALES-DIGITAL TEXT</v>
      </c>
      <c r="C26" s="10"/>
      <c r="D26" s="2">
        <f>--10484.56</f>
        <v>10484.56</v>
      </c>
      <c r="E26" s="2"/>
      <c r="F26" s="19"/>
      <c r="G26" s="2"/>
      <c r="H26" s="2">
        <f>--4949.29</f>
        <v>4949.29</v>
      </c>
      <c r="I26" s="2"/>
      <c r="J26" s="19"/>
      <c r="K26" s="2"/>
      <c r="L26" s="2">
        <f t="shared" si="0"/>
        <v>5535.2699999999995</v>
      </c>
      <c r="M26" s="2"/>
      <c r="N26" s="19">
        <f t="shared" si="1"/>
        <v>1.1183967801442227</v>
      </c>
      <c r="O26" s="10"/>
      <c r="P26" s="2">
        <f>--490887.73</f>
        <v>490887.73</v>
      </c>
      <c r="Q26" s="2"/>
      <c r="R26" s="19"/>
      <c r="S26" s="2"/>
      <c r="T26" s="2">
        <f>--531803.38</f>
        <v>531803.38</v>
      </c>
      <c r="U26" s="2"/>
      <c r="V26" s="19"/>
      <c r="W26" s="2"/>
      <c r="X26" s="2">
        <f t="shared" si="2"/>
        <v>-40915.650000000023</v>
      </c>
      <c r="Y26" s="2"/>
      <c r="Z26" s="19">
        <f t="shared" si="3"/>
        <v>-7.6937551619171776E-2</v>
      </c>
    </row>
    <row r="27" spans="1:26" s="23" customFormat="1" hidden="1" outlineLevel="1" x14ac:dyDescent="0.25">
      <c r="A27" s="44"/>
      <c r="B27" s="10" t="str">
        <f>CONCATENATE("          ", "4111", " - ", "NON-TAXABLE SALES-NO VALUE TEX")</f>
        <v xml:space="preserve">          4111 - NON-TAXABLE SALES-NO VALUE TEX</v>
      </c>
      <c r="C27" s="10"/>
      <c r="D27" s="2">
        <f t="shared" ref="D27:D30" si="6">0</f>
        <v>0</v>
      </c>
      <c r="E27" s="2"/>
      <c r="F27" s="19"/>
      <c r="G27" s="2"/>
      <c r="H27" s="2">
        <f>--340.46</f>
        <v>340.46</v>
      </c>
      <c r="I27" s="2"/>
      <c r="J27" s="19"/>
      <c r="K27" s="2"/>
      <c r="L27" s="2">
        <f t="shared" si="0"/>
        <v>-340.46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--15663.46</f>
        <v>15663.46</v>
      </c>
      <c r="U27" s="2"/>
      <c r="V27" s="19"/>
      <c r="W27" s="2"/>
      <c r="X27" s="2">
        <f t="shared" si="2"/>
        <v>-15663.46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"4113", " - ", "NON-TAXABLE SALES-TRADE BOOKS")</f>
        <v xml:space="preserve">          4113 - NON-TAXABLE SALES-TRADE BOOKS</v>
      </c>
      <c r="C28" s="10"/>
      <c r="D28" s="2">
        <f t="shared" si="6"/>
        <v>0</v>
      </c>
      <c r="E28" s="2"/>
      <c r="F28" s="19"/>
      <c r="G28" s="2"/>
      <c r="H28" s="2">
        <f>--24.24</f>
        <v>24.24</v>
      </c>
      <c r="I28" s="2"/>
      <c r="J28" s="19"/>
      <c r="K28" s="2"/>
      <c r="L28" s="2">
        <f t="shared" si="0"/>
        <v>-24.24</v>
      </c>
      <c r="M28" s="2"/>
      <c r="N28" s="19">
        <f t="shared" si="1"/>
        <v>-1</v>
      </c>
      <c r="O28" s="10"/>
      <c r="P28" s="2">
        <f>--12127.25</f>
        <v>12127.25</v>
      </c>
      <c r="Q28" s="2"/>
      <c r="R28" s="19"/>
      <c r="S28" s="2"/>
      <c r="T28" s="2">
        <f>--8266.16</f>
        <v>8266.16</v>
      </c>
      <c r="U28" s="2"/>
      <c r="V28" s="19"/>
      <c r="W28" s="2"/>
      <c r="X28" s="2">
        <f t="shared" si="2"/>
        <v>3861.09</v>
      </c>
      <c r="Y28" s="2"/>
      <c r="Z28" s="19">
        <f t="shared" si="3"/>
        <v>0.46709596717218155</v>
      </c>
    </row>
    <row r="29" spans="1:26" s="23" customFormat="1" hidden="1" outlineLevel="1" x14ac:dyDescent="0.25">
      <c r="A29" s="44"/>
      <c r="B29" s="10" t="str">
        <f>CONCATENATE("          ", "4114", " - ", "NON-TAXABLE SALES-REMAINDERS")</f>
        <v xml:space="preserve">          4114 - NON-TAXABLE SALES-REMAINDERS</v>
      </c>
      <c r="C29" s="10"/>
      <c r="D29" s="2">
        <f t="shared" si="6"/>
        <v>0</v>
      </c>
      <c r="E29" s="2"/>
      <c r="F29" s="19"/>
      <c r="G29" s="2"/>
      <c r="H29" s="2">
        <f>--3.19</f>
        <v>3.19</v>
      </c>
      <c r="I29" s="2"/>
      <c r="J29" s="19"/>
      <c r="K29" s="2"/>
      <c r="L29" s="2">
        <f t="shared" si="0"/>
        <v>-3.19</v>
      </c>
      <c r="M29" s="2"/>
      <c r="N29" s="19">
        <f t="shared" si="1"/>
        <v>-1</v>
      </c>
      <c r="O29" s="10"/>
      <c r="P29" s="2">
        <f>0</f>
        <v>0</v>
      </c>
      <c r="Q29" s="2"/>
      <c r="R29" s="19"/>
      <c r="S29" s="2"/>
      <c r="T29" s="2">
        <f>--3.19</f>
        <v>3.19</v>
      </c>
      <c r="U29" s="2"/>
      <c r="V29" s="19"/>
      <c r="W29" s="2"/>
      <c r="X29" s="2">
        <f t="shared" si="2"/>
        <v>-3.19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"4118", " - ", "NON-TAXABLE SALES-STUDY GUIDES")</f>
        <v xml:space="preserve">          4118 - NON-TAXABLE SALES-STUDY GUIDES</v>
      </c>
      <c r="C30" s="10"/>
      <c r="D30" s="2">
        <f t="shared" si="6"/>
        <v>0</v>
      </c>
      <c r="E30" s="2"/>
      <c r="F30" s="19"/>
      <c r="G30" s="2"/>
      <c r="H30" s="2">
        <f>--40</f>
        <v>40</v>
      </c>
      <c r="I30" s="2"/>
      <c r="J30" s="19"/>
      <c r="K30" s="2"/>
      <c r="L30" s="2">
        <f t="shared" si="0"/>
        <v>-40</v>
      </c>
      <c r="M30" s="2"/>
      <c r="N30" s="19">
        <f t="shared" si="1"/>
        <v>-1</v>
      </c>
      <c r="O30" s="10"/>
      <c r="P30" s="2">
        <f>--771.73</f>
        <v>771.73</v>
      </c>
      <c r="Q30" s="2"/>
      <c r="R30" s="19"/>
      <c r="S30" s="2"/>
      <c r="T30" s="2">
        <f>--115.94</f>
        <v>115.94</v>
      </c>
      <c r="U30" s="2"/>
      <c r="V30" s="19"/>
      <c r="W30" s="2"/>
      <c r="X30" s="2">
        <f t="shared" si="2"/>
        <v>655.79</v>
      </c>
      <c r="Y30" s="2"/>
      <c r="Z30" s="19">
        <f t="shared" si="3"/>
        <v>5.6562877350353631</v>
      </c>
    </row>
    <row r="31" spans="1:26" s="23" customFormat="1" hidden="1" outlineLevel="1" x14ac:dyDescent="0.25">
      <c r="A31" s="44"/>
      <c r="B31" s="10" t="str">
        <f>CONCATENATE("          ", "4201", " - ", "SALES RETURN TAXABLE-NEW TEXT")</f>
        <v xml:space="preserve">          4201 - SALES RETURN TAXABLE-NEW TEXT</v>
      </c>
      <c r="C31" s="10"/>
      <c r="D31" s="2">
        <f>-658.4</f>
        <v>-658.4</v>
      </c>
      <c r="E31" s="2"/>
      <c r="F31" s="19"/>
      <c r="G31" s="2"/>
      <c r="H31" s="2">
        <f>-228.6</f>
        <v>-228.6</v>
      </c>
      <c r="I31" s="2"/>
      <c r="J31" s="19"/>
      <c r="K31" s="2"/>
      <c r="L31" s="2">
        <f t="shared" si="0"/>
        <v>-429.79999999999995</v>
      </c>
      <c r="M31" s="2"/>
      <c r="N31" s="19">
        <f t="shared" si="1"/>
        <v>1.8801399825021872</v>
      </c>
      <c r="O31" s="10"/>
      <c r="P31" s="2">
        <f>-52296.42</f>
        <v>-52296.42</v>
      </c>
      <c r="Q31" s="2"/>
      <c r="R31" s="19"/>
      <c r="S31" s="2"/>
      <c r="T31" s="2">
        <f>-121451.61</f>
        <v>-121451.61</v>
      </c>
      <c r="U31" s="2"/>
      <c r="V31" s="19"/>
      <c r="W31" s="2"/>
      <c r="X31" s="2">
        <f t="shared" si="2"/>
        <v>69155.19</v>
      </c>
      <c r="Y31" s="2"/>
      <c r="Z31" s="19">
        <f t="shared" si="3"/>
        <v>-0.56940529647980787</v>
      </c>
    </row>
    <row r="32" spans="1:26" s="23" customFormat="1" hidden="1" outlineLevel="1" x14ac:dyDescent="0.25">
      <c r="A32" s="44"/>
      <c r="B32" s="10" t="str">
        <f>CONCATENATE("          ", "4202", " - ", "SALES RETURN TAXABLE-USED TEXT")</f>
        <v xml:space="preserve">          4202 - SALES RETURN TAXABLE-USED TEXT</v>
      </c>
      <c r="C32" s="10"/>
      <c r="D32" s="2">
        <f>-359.4</f>
        <v>-359.4</v>
      </c>
      <c r="E32" s="2"/>
      <c r="F32" s="19"/>
      <c r="G32" s="2"/>
      <c r="H32" s="2">
        <f>-60.4</f>
        <v>-60.4</v>
      </c>
      <c r="I32" s="2"/>
      <c r="J32" s="19"/>
      <c r="K32" s="2"/>
      <c r="L32" s="2">
        <f t="shared" si="0"/>
        <v>-299</v>
      </c>
      <c r="M32" s="2"/>
      <c r="N32" s="19">
        <f t="shared" si="1"/>
        <v>4.9503311258278151</v>
      </c>
      <c r="O32" s="10"/>
      <c r="P32" s="2">
        <f>-20455.66</f>
        <v>-20455.66</v>
      </c>
      <c r="Q32" s="2"/>
      <c r="R32" s="19"/>
      <c r="S32" s="2"/>
      <c r="T32" s="2">
        <f>-45613.11</f>
        <v>-45613.11</v>
      </c>
      <c r="U32" s="2"/>
      <c r="V32" s="19"/>
      <c r="W32" s="2"/>
      <c r="X32" s="2">
        <f t="shared" si="2"/>
        <v>25157.45</v>
      </c>
      <c r="Y32" s="2"/>
      <c r="Z32" s="19">
        <f t="shared" si="3"/>
        <v>-0.55153989719183805</v>
      </c>
    </row>
    <row r="33" spans="1:26" s="23" customFormat="1" hidden="1" outlineLevel="1" x14ac:dyDescent="0.25">
      <c r="A33" s="44"/>
      <c r="B33" s="10" t="str">
        <f>CONCATENATE("          ", "4203", " - ", "SALES RETURN TAXABLE-RENTAL TE")</f>
        <v xml:space="preserve">          4203 - SALES RETURN TAXABLE-RENTAL TE</v>
      </c>
      <c r="C33" s="10"/>
      <c r="D33" s="2">
        <f t="shared" ref="D33:D34" si="7">0</f>
        <v>0</v>
      </c>
      <c r="E33" s="2"/>
      <c r="F33" s="19"/>
      <c r="G33" s="2"/>
      <c r="H33" s="2">
        <f t="shared" ref="H33:H37" si="8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0</f>
        <v>0</v>
      </c>
      <c r="Q33" s="2"/>
      <c r="R33" s="19"/>
      <c r="S33" s="2"/>
      <c r="T33" s="2">
        <f>-144.99</f>
        <v>-144.99</v>
      </c>
      <c r="U33" s="2"/>
      <c r="V33" s="19"/>
      <c r="W33" s="2"/>
      <c r="X33" s="2">
        <f t="shared" si="2"/>
        <v>144.99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"4204", " - ", "SALES RETURN TAXABLE-DIGITAL T")</f>
        <v xml:space="preserve">          4204 - SALES RETURN TAXABLE-DIGITAL T</v>
      </c>
      <c r="C34" s="10"/>
      <c r="D34" s="2">
        <f t="shared" si="7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-1763.1</f>
        <v>-1763.1</v>
      </c>
      <c r="Q34" s="2"/>
      <c r="R34" s="19"/>
      <c r="S34" s="2"/>
      <c r="T34" s="2">
        <f>-17255.33</f>
        <v>-17255.330000000002</v>
      </c>
      <c r="U34" s="2"/>
      <c r="V34" s="19"/>
      <c r="W34" s="2"/>
      <c r="X34" s="2">
        <f t="shared" si="2"/>
        <v>15492.230000000001</v>
      </c>
      <c r="Y34" s="2"/>
      <c r="Z34" s="19">
        <f t="shared" si="3"/>
        <v>-0.89782287559843832</v>
      </c>
    </row>
    <row r="35" spans="1:26" s="23" customFormat="1" hidden="1" outlineLevel="1" x14ac:dyDescent="0.25">
      <c r="A35" s="44"/>
      <c r="B35" s="10" t="str">
        <f>CONCATENATE("          ", "4213", " - ", "NON-TAXABLE SALES-TRADE BOOKS")</f>
        <v xml:space="preserve">          4213 - NON-TAXABLE SALES-TRADE BOOKS</v>
      </c>
      <c r="C35" s="10"/>
      <c r="D35" s="2">
        <f>-8.99</f>
        <v>-8.99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-8.99</v>
      </c>
      <c r="M35" s="2"/>
      <c r="N35" s="19">
        <f t="shared" si="1"/>
        <v>0</v>
      </c>
      <c r="O35" s="10"/>
      <c r="P35" s="2">
        <f>-78.92</f>
        <v>-78.92</v>
      </c>
      <c r="Q35" s="2"/>
      <c r="R35" s="19"/>
      <c r="S35" s="2"/>
      <c r="T35" s="2">
        <f>-2768.67</f>
        <v>-2768.67</v>
      </c>
      <c r="U35" s="2"/>
      <c r="V35" s="19"/>
      <c r="W35" s="2"/>
      <c r="X35" s="2">
        <f t="shared" si="2"/>
        <v>2689.75</v>
      </c>
      <c r="Y35" s="2"/>
      <c r="Z35" s="19">
        <f t="shared" si="3"/>
        <v>-0.97149533891724182</v>
      </c>
    </row>
    <row r="36" spans="1:26" s="23" customFormat="1" hidden="1" outlineLevel="1" x14ac:dyDescent="0.25">
      <c r="A36" s="44"/>
      <c r="B36" s="10" t="str">
        <f>CONCATENATE("          ", "4214", " - ", "SALES RETURN TAXABLE-REMAINDER")</f>
        <v xml:space="preserve">          4214 - SALES RETURN TAXABLE-REMAINDER</v>
      </c>
      <c r="C36" s="10"/>
      <c r="D36" s="2">
        <f t="shared" ref="D36:D37" si="9">0</f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0</f>
        <v>0</v>
      </c>
      <c r="Q36" s="2"/>
      <c r="R36" s="19"/>
      <c r="S36" s="2"/>
      <c r="T36" s="2">
        <f>-11.94</f>
        <v>-11.94</v>
      </c>
      <c r="U36" s="2"/>
      <c r="V36" s="19"/>
      <c r="W36" s="2"/>
      <c r="X36" s="2">
        <f t="shared" si="2"/>
        <v>11.94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"4218", " - ", "SALES RETURN TAXABLE-STUDY GUI")</f>
        <v xml:space="preserve">          4218 - SALES RETURN TAXABLE-STUDY GUI</v>
      </c>
      <c r="C37" s="10"/>
      <c r="D37" s="2">
        <f t="shared" si="9"/>
        <v>0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-5.21</f>
        <v>-5.21</v>
      </c>
      <c r="Q37" s="2"/>
      <c r="R37" s="19"/>
      <c r="S37" s="2"/>
      <c r="T37" s="2">
        <f>-39.25</f>
        <v>-39.25</v>
      </c>
      <c r="U37" s="2"/>
      <c r="V37" s="19"/>
      <c r="W37" s="2"/>
      <c r="X37" s="2">
        <f t="shared" si="2"/>
        <v>34.04</v>
      </c>
      <c r="Y37" s="2"/>
      <c r="Z37" s="19">
        <f t="shared" si="3"/>
        <v>-0.86726114649681529</v>
      </c>
    </row>
    <row r="38" spans="1:26" s="23" customFormat="1" hidden="1" outlineLevel="1" x14ac:dyDescent="0.25">
      <c r="A38" s="44"/>
      <c r="B38" s="10" t="str">
        <f>CONCATENATE("          ", "4301", " - ", "SALES RETURN NON TAXABLE-NEW T")</f>
        <v xml:space="preserve">          4301 - SALES RETURN NON TAXABLE-NEW T</v>
      </c>
      <c r="C38" s="10"/>
      <c r="D38" s="2">
        <f>-1333.16</f>
        <v>-1333.16</v>
      </c>
      <c r="E38" s="2"/>
      <c r="F38" s="19"/>
      <c r="G38" s="2"/>
      <c r="H38" s="2">
        <f>-5710.44</f>
        <v>-5710.44</v>
      </c>
      <c r="I38" s="2"/>
      <c r="J38" s="19"/>
      <c r="K38" s="2"/>
      <c r="L38" s="2">
        <f t="shared" si="0"/>
        <v>4377.28</v>
      </c>
      <c r="M38" s="2"/>
      <c r="N38" s="19">
        <f t="shared" si="1"/>
        <v>-0.76653988134014195</v>
      </c>
      <c r="O38" s="10"/>
      <c r="P38" s="2">
        <f>-4796.36</f>
        <v>-4796.3599999999997</v>
      </c>
      <c r="Q38" s="2"/>
      <c r="R38" s="19"/>
      <c r="S38" s="2"/>
      <c r="T38" s="2">
        <f>-21289.87</f>
        <v>-21289.87</v>
      </c>
      <c r="U38" s="2"/>
      <c r="V38" s="19"/>
      <c r="W38" s="2"/>
      <c r="X38" s="2">
        <f t="shared" si="2"/>
        <v>16493.509999999998</v>
      </c>
      <c r="Y38" s="2"/>
      <c r="Z38" s="19">
        <f t="shared" si="3"/>
        <v>-0.77471163515794128</v>
      </c>
    </row>
    <row r="39" spans="1:26" s="23" customFormat="1" hidden="1" outlineLevel="1" x14ac:dyDescent="0.25">
      <c r="A39" s="44"/>
      <c r="B39" s="10" t="str">
        <f>CONCATENATE("          ", "4302", " - ", "SALES RETURN NON TAXABLE-TEXT")</f>
        <v xml:space="preserve">          4302 - SALES RETURN NON TAXABLE-TEXT</v>
      </c>
      <c r="C39" s="10"/>
      <c r="D39" s="2">
        <f>-134.22</f>
        <v>-134.22</v>
      </c>
      <c r="E39" s="2"/>
      <c r="F39" s="19"/>
      <c r="G39" s="2"/>
      <c r="H39" s="2">
        <f>-67.5</f>
        <v>-67.5</v>
      </c>
      <c r="I39" s="2"/>
      <c r="J39" s="19"/>
      <c r="K39" s="2"/>
      <c r="L39" s="2">
        <f t="shared" si="0"/>
        <v>-66.72</v>
      </c>
      <c r="M39" s="2"/>
      <c r="N39" s="19">
        <f t="shared" si="1"/>
        <v>0.98844444444444446</v>
      </c>
      <c r="O39" s="10"/>
      <c r="P39" s="2">
        <f>-2577.54</f>
        <v>-2577.54</v>
      </c>
      <c r="Q39" s="2"/>
      <c r="R39" s="19"/>
      <c r="S39" s="2"/>
      <c r="T39" s="2">
        <f>-1379.87</f>
        <v>-1379.87</v>
      </c>
      <c r="U39" s="2"/>
      <c r="V39" s="19"/>
      <c r="W39" s="2"/>
      <c r="X39" s="2">
        <f t="shared" si="2"/>
        <v>-1197.67</v>
      </c>
      <c r="Y39" s="2"/>
      <c r="Z39" s="19">
        <f t="shared" si="3"/>
        <v>0.86795857580786606</v>
      </c>
    </row>
    <row r="40" spans="1:26" s="23" customFormat="1" hidden="1" outlineLevel="1" x14ac:dyDescent="0.25">
      <c r="A40" s="44"/>
      <c r="B40" s="10" t="str">
        <f>CONCATENATE("          ", "4303", " - ", "SALES RETURN NON-TAXABLE-RENTA")</f>
        <v xml:space="preserve">          4303 - SALES RETURN NON-TAXABLE-RENTA</v>
      </c>
      <c r="C40" s="10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-184.99</f>
        <v>-184.99</v>
      </c>
      <c r="U40" s="2"/>
      <c r="V40" s="19"/>
      <c r="W40" s="2"/>
      <c r="X40" s="2">
        <f t="shared" si="2"/>
        <v>184.99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"4304", " - ", "SALES RETURN NON TAXABLE-DIGIT")</f>
        <v xml:space="preserve">          4304 - SALES RETURN NON TAXABLE-DIGIT</v>
      </c>
      <c r="C41" s="10"/>
      <c r="D41" s="2">
        <f>-3338.22</f>
        <v>-3338.22</v>
      </c>
      <c r="E41" s="2"/>
      <c r="F41" s="19"/>
      <c r="G41" s="2"/>
      <c r="H41" s="2">
        <f>-438.2</f>
        <v>-438.2</v>
      </c>
      <c r="I41" s="2"/>
      <c r="J41" s="19"/>
      <c r="K41" s="2"/>
      <c r="L41" s="2">
        <f t="shared" si="0"/>
        <v>-2900.02</v>
      </c>
      <c r="M41" s="2"/>
      <c r="N41" s="19">
        <f t="shared" si="1"/>
        <v>6.618028297581013</v>
      </c>
      <c r="O41" s="10"/>
      <c r="P41" s="2">
        <f>-30881.98</f>
        <v>-30881.98</v>
      </c>
      <c r="Q41" s="2"/>
      <c r="R41" s="19"/>
      <c r="S41" s="2"/>
      <c r="T41" s="2">
        <f>-19474.33</f>
        <v>-19474.330000000002</v>
      </c>
      <c r="U41" s="2"/>
      <c r="V41" s="19"/>
      <c r="W41" s="2"/>
      <c r="X41" s="2">
        <f t="shared" si="2"/>
        <v>-11407.649999999998</v>
      </c>
      <c r="Y41" s="2"/>
      <c r="Z41" s="19">
        <f t="shared" si="3"/>
        <v>0.58577881755110428</v>
      </c>
    </row>
    <row r="42" spans="1:26" s="23" customFormat="1" hidden="1" outlineLevel="1" x14ac:dyDescent="0.25">
      <c r="A42" s="44"/>
      <c r="B42" s="10" t="str">
        <f>CONCATENATE("          ", "4311", " - ", "SALES RETURN NON TAXABLE-NO VA")</f>
        <v xml:space="preserve">          4311 - SALES RETURN NON TAXABLE-NO VA</v>
      </c>
      <c r="C42" s="10"/>
      <c r="D42" s="2">
        <f t="shared" ref="D42:D43" si="10">0</f>
        <v>0</v>
      </c>
      <c r="E42" s="2"/>
      <c r="F42" s="19"/>
      <c r="G42" s="2"/>
      <c r="H42" s="2">
        <f t="shared" ref="H42:H43" si="11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ref="P42:P43" si="12">0</f>
        <v>0</v>
      </c>
      <c r="Q42" s="2"/>
      <c r="R42" s="19"/>
      <c r="S42" s="2"/>
      <c r="T42" s="2">
        <f>-941.28</f>
        <v>-941.28</v>
      </c>
      <c r="U42" s="2"/>
      <c r="V42" s="19"/>
      <c r="W42" s="2"/>
      <c r="X42" s="2">
        <f t="shared" si="2"/>
        <v>941.28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"4313", " - ", "SALES RETURN NON TAXABLE-TRADE")</f>
        <v xml:space="preserve">          4313 - SALES RETURN NON TAXABLE-TRADE</v>
      </c>
      <c r="C43" s="10"/>
      <c r="D43" s="2">
        <f t="shared" si="10"/>
        <v>0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12"/>
        <v>0</v>
      </c>
      <c r="Q43" s="2"/>
      <c r="R43" s="19"/>
      <c r="S43" s="2"/>
      <c r="T43" s="2">
        <f>-2481.44</f>
        <v>-2481.44</v>
      </c>
      <c r="U43" s="2"/>
      <c r="V43" s="19"/>
      <c r="W43" s="2"/>
      <c r="X43" s="2">
        <f t="shared" si="2"/>
        <v>2481.44</v>
      </c>
      <c r="Y43" s="2"/>
      <c r="Z43" s="19">
        <f t="shared" si="3"/>
        <v>-1</v>
      </c>
    </row>
    <row r="44" spans="1:26" x14ac:dyDescent="0.25">
      <c r="A44" s="9"/>
      <c r="B44" s="11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4" customFormat="1" collapsed="1" x14ac:dyDescent="0.25">
      <c r="A45" s="11"/>
      <c r="B45" s="29" t="s">
        <v>256</v>
      </c>
      <c r="C45" s="11"/>
      <c r="D45" s="4">
        <f>SUM(OSRRefD16x_0)</f>
        <v>52944.540000000008</v>
      </c>
      <c r="E45" s="4"/>
      <c r="F45" s="13">
        <f t="shared" ref="F45:F62" si="13">IF(D$12=0,0,D45/D$12)</f>
        <v>0.83123420472513176</v>
      </c>
      <c r="G45" s="4"/>
      <c r="H45" s="4">
        <f>SUM(OSRRefH16x_0)</f>
        <v>51333.750000000007</v>
      </c>
      <c r="I45" s="4"/>
      <c r="J45" s="13">
        <f t="shared" ref="J45:J62" si="14">IF(H$12=0,0,H45/H$12)</f>
        <v>0.84661253558011462</v>
      </c>
      <c r="K45" s="4"/>
      <c r="L45" s="4">
        <f t="shared" ref="L45:L62" si="15">+D45-H45</f>
        <v>1610.7900000000009</v>
      </c>
      <c r="M45" s="4"/>
      <c r="N45" s="13">
        <f t="shared" ref="N45:N62" si="16">IF(H45=0,0,L45/H45)</f>
        <v>3.1378771276207189E-2</v>
      </c>
      <c r="O45" s="11"/>
      <c r="P45" s="4">
        <f>SUM(OSRRefP16x_0)</f>
        <v>1957463.76</v>
      </c>
      <c r="Q45" s="4"/>
      <c r="R45" s="13">
        <f t="shared" ref="R45:R62" si="17">IF(P$12=0,0,P45/P$12)</f>
        <v>0.71353554528635876</v>
      </c>
      <c r="S45" s="4"/>
      <c r="T45" s="4">
        <f>SUM(OSRRefT16x_0)</f>
        <v>3535377.7399999998</v>
      </c>
      <c r="U45" s="4"/>
      <c r="V45" s="13">
        <f t="shared" ref="V45:V62" si="18">IF(T$12=0,0,T45/T$12)</f>
        <v>0.71722471959266387</v>
      </c>
      <c r="W45" s="4"/>
      <c r="X45" s="4">
        <f t="shared" ref="X45:X62" si="19">+P45-T45</f>
        <v>-1577913.9799999997</v>
      </c>
      <c r="Y45" s="4"/>
      <c r="Z45" s="13">
        <f t="shared" ref="Z45:Z62" si="20">IF(T45=0,0,X45/T45)</f>
        <v>-0.44632118433828227</v>
      </c>
    </row>
    <row r="46" spans="1:26" s="23" customFormat="1" hidden="1" outlineLevel="1" x14ac:dyDescent="0.25">
      <c r="A46" s="44"/>
      <c r="B46" s="10" t="str">
        <f>CONCATENATE("          ", "5000", " - ", "PURCHASES @ COST")</f>
        <v xml:space="preserve">          5000 - PURCHASES @ COST</v>
      </c>
      <c r="C46" s="10"/>
      <c r="D46" s="2"/>
      <c r="E46" s="2"/>
      <c r="F46" s="19">
        <f t="shared" si="13"/>
        <v>0</v>
      </c>
      <c r="G46" s="2"/>
      <c r="H46" s="2">
        <v>0</v>
      </c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0"/>
      <c r="P46" s="2">
        <v>0</v>
      </c>
      <c r="Q46" s="2"/>
      <c r="R46" s="19">
        <f t="shared" si="17"/>
        <v>0</v>
      </c>
      <c r="S46" s="2"/>
      <c r="T46" s="2">
        <v>0</v>
      </c>
      <c r="U46" s="2"/>
      <c r="V46" s="19">
        <f t="shared" si="18"/>
        <v>0</v>
      </c>
      <c r="W46" s="2"/>
      <c r="X46" s="2">
        <f t="shared" si="19"/>
        <v>0</v>
      </c>
      <c r="Y46" s="2"/>
      <c r="Z46" s="19">
        <f t="shared" si="20"/>
        <v>0</v>
      </c>
    </row>
    <row r="47" spans="1:26" s="23" customFormat="1" hidden="1" outlineLevel="1" x14ac:dyDescent="0.25">
      <c r="A47" s="44"/>
      <c r="B47" s="10" t="str">
        <f>CONCATENATE("          ", "5001", " - ", "PURCHASES @ COST-NEW TEXT")</f>
        <v xml:space="preserve">          5001 - PURCHASES @ COST-NEW TEXT</v>
      </c>
      <c r="C47" s="10"/>
      <c r="D47" s="2">
        <v>65020.01</v>
      </c>
      <c r="E47" s="2"/>
      <c r="F47" s="19">
        <f t="shared" si="13"/>
        <v>1.0208202074013695</v>
      </c>
      <c r="G47" s="2"/>
      <c r="H47" s="2">
        <v>71528.210000000006</v>
      </c>
      <c r="I47" s="2"/>
      <c r="J47" s="19">
        <f t="shared" si="14"/>
        <v>1.1796659942748564</v>
      </c>
      <c r="K47" s="2"/>
      <c r="L47" s="2">
        <f t="shared" si="15"/>
        <v>-6508.2000000000044</v>
      </c>
      <c r="M47" s="2"/>
      <c r="N47" s="19">
        <f t="shared" si="16"/>
        <v>-9.0987877370341072E-2</v>
      </c>
      <c r="O47" s="10"/>
      <c r="P47" s="2">
        <v>1071566.48</v>
      </c>
      <c r="Q47" s="2"/>
      <c r="R47" s="19">
        <f t="shared" si="17"/>
        <v>0.39060788160766974</v>
      </c>
      <c r="S47" s="2"/>
      <c r="T47" s="2">
        <v>1641280.46</v>
      </c>
      <c r="U47" s="2"/>
      <c r="V47" s="19">
        <f t="shared" si="18"/>
        <v>0.33296779135584487</v>
      </c>
      <c r="W47" s="2"/>
      <c r="X47" s="2">
        <f t="shared" si="19"/>
        <v>-569713.98</v>
      </c>
      <c r="Y47" s="2"/>
      <c r="Z47" s="19">
        <f t="shared" si="20"/>
        <v>-0.34711555635043628</v>
      </c>
    </row>
    <row r="48" spans="1:26" s="23" customFormat="1" hidden="1" outlineLevel="1" x14ac:dyDescent="0.25">
      <c r="A48" s="44"/>
      <c r="B48" s="10" t="str">
        <f>CONCATENATE("          ", "5002", " - ", "PURCHASES @ COST-USED TEXT")</f>
        <v xml:space="preserve">          5002 - PURCHASES @ COST-USED TEXT</v>
      </c>
      <c r="C48" s="10"/>
      <c r="D48" s="2">
        <v>4952.26</v>
      </c>
      <c r="E48" s="2"/>
      <c r="F48" s="19">
        <f t="shared" si="13"/>
        <v>7.7750942829838174E-2</v>
      </c>
      <c r="G48" s="2"/>
      <c r="H48" s="2">
        <v>14738.6</v>
      </c>
      <c r="I48" s="2"/>
      <c r="J48" s="19">
        <f t="shared" si="14"/>
        <v>0.24307367992599557</v>
      </c>
      <c r="K48" s="2"/>
      <c r="L48" s="2">
        <f t="shared" si="15"/>
        <v>-9786.34</v>
      </c>
      <c r="M48" s="2"/>
      <c r="N48" s="19">
        <f t="shared" si="16"/>
        <v>-0.66399386644593106</v>
      </c>
      <c r="O48" s="10"/>
      <c r="P48" s="2">
        <v>279913.28000000003</v>
      </c>
      <c r="Q48" s="2"/>
      <c r="R48" s="19">
        <f t="shared" si="17"/>
        <v>0.10203411115907109</v>
      </c>
      <c r="S48" s="2"/>
      <c r="T48" s="2">
        <v>610321.38</v>
      </c>
      <c r="U48" s="2"/>
      <c r="V48" s="19">
        <f t="shared" si="18"/>
        <v>0.12381635367538057</v>
      </c>
      <c r="W48" s="2"/>
      <c r="X48" s="2">
        <f t="shared" si="19"/>
        <v>-330408.09999999998</v>
      </c>
      <c r="Y48" s="2"/>
      <c r="Z48" s="19">
        <f t="shared" si="20"/>
        <v>-0.54136740220373725</v>
      </c>
    </row>
    <row r="49" spans="1:26" s="23" customFormat="1" hidden="1" outlineLevel="1" x14ac:dyDescent="0.25">
      <c r="A49" s="44"/>
      <c r="B49" s="10" t="str">
        <f>CONCATENATE("          ", "5003", " - ", "PURCHASES @ COST-RENTAL TEXT")</f>
        <v xml:space="preserve">          5003 - PURCHASES @ COST-RENTAL TEXT</v>
      </c>
      <c r="C49" s="10"/>
      <c r="D49" s="2">
        <v>7179.56</v>
      </c>
      <c r="E49" s="2"/>
      <c r="F49" s="19">
        <f t="shared" si="13"/>
        <v>0.11271976009001809</v>
      </c>
      <c r="G49" s="2"/>
      <c r="H49" s="2"/>
      <c r="I49" s="2"/>
      <c r="J49" s="19">
        <f t="shared" si="14"/>
        <v>0</v>
      </c>
      <c r="K49" s="2"/>
      <c r="L49" s="2">
        <f t="shared" si="15"/>
        <v>7179.56</v>
      </c>
      <c r="M49" s="2"/>
      <c r="N49" s="19">
        <f t="shared" si="16"/>
        <v>0</v>
      </c>
      <c r="O49" s="10"/>
      <c r="P49" s="2">
        <v>7212.08</v>
      </c>
      <c r="Q49" s="2"/>
      <c r="R49" s="19">
        <f t="shared" si="17"/>
        <v>2.6289505535718538E-3</v>
      </c>
      <c r="S49" s="2"/>
      <c r="T49" s="2">
        <v>-78.400000000000006</v>
      </c>
      <c r="U49" s="2"/>
      <c r="V49" s="19">
        <f t="shared" si="18"/>
        <v>-1.590506648833085E-5</v>
      </c>
      <c r="W49" s="2"/>
      <c r="X49" s="2">
        <f t="shared" si="19"/>
        <v>7290.48</v>
      </c>
      <c r="Y49" s="2"/>
      <c r="Z49" s="19">
        <f t="shared" si="20"/>
        <v>-92.990816326530606</v>
      </c>
    </row>
    <row r="50" spans="1:26" s="23" customFormat="1" hidden="1" outlineLevel="1" x14ac:dyDescent="0.25">
      <c r="A50" s="44"/>
      <c r="B50" s="10" t="str">
        <f>CONCATENATE("          ", "5004", " - ", "PURCHASES @ COST-DIGITAL TEXT")</f>
        <v xml:space="preserve">          5004 - PURCHASES @ COST-DIGITAL TEXT</v>
      </c>
      <c r="C50" s="10"/>
      <c r="D50" s="2">
        <v>-7843.95</v>
      </c>
      <c r="E50" s="2"/>
      <c r="F50" s="19">
        <f t="shared" si="13"/>
        <v>-0.12315074491446514</v>
      </c>
      <c r="G50" s="2"/>
      <c r="H50" s="2">
        <v>-46518.26</v>
      </c>
      <c r="I50" s="2"/>
      <c r="J50" s="19">
        <f t="shared" si="14"/>
        <v>-0.76719394256946005</v>
      </c>
      <c r="K50" s="2"/>
      <c r="L50" s="2">
        <f t="shared" si="15"/>
        <v>38674.310000000005</v>
      </c>
      <c r="M50" s="2"/>
      <c r="N50" s="19">
        <f t="shared" si="16"/>
        <v>-0.83137911865147152</v>
      </c>
      <c r="O50" s="10"/>
      <c r="P50" s="2">
        <v>199606.43</v>
      </c>
      <c r="Q50" s="2"/>
      <c r="R50" s="19">
        <f t="shared" si="17"/>
        <v>7.2760623099716232E-2</v>
      </c>
      <c r="S50" s="2"/>
      <c r="T50" s="2">
        <v>446269.65</v>
      </c>
      <c r="U50" s="2"/>
      <c r="V50" s="19">
        <f t="shared" si="18"/>
        <v>9.0535056823649707E-2</v>
      </c>
      <c r="W50" s="2"/>
      <c r="X50" s="2">
        <f t="shared" si="19"/>
        <v>-246663.22000000003</v>
      </c>
      <c r="Y50" s="2"/>
      <c r="Z50" s="19">
        <f t="shared" si="20"/>
        <v>-0.55272237312127326</v>
      </c>
    </row>
    <row r="51" spans="1:26" s="23" customFormat="1" hidden="1" outlineLevel="1" x14ac:dyDescent="0.25">
      <c r="A51" s="44"/>
      <c r="B51" s="10" t="str">
        <f>CONCATENATE("          ", "5011", " - ", "PURCHASES @ COST-NO VALUE TEXT")</f>
        <v xml:space="preserve">          5011 - PURCHASES @ COST-NO VALUE TEXT</v>
      </c>
      <c r="C51" s="10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0"/>
      <c r="P51" s="2">
        <v>67.17</v>
      </c>
      <c r="Q51" s="2"/>
      <c r="R51" s="19">
        <f t="shared" si="17"/>
        <v>2.4484837756017879E-5</v>
      </c>
      <c r="S51" s="2"/>
      <c r="T51" s="2">
        <v>6363</v>
      </c>
      <c r="U51" s="2"/>
      <c r="V51" s="19">
        <f t="shared" si="18"/>
        <v>1.290866556954709E-3</v>
      </c>
      <c r="W51" s="2"/>
      <c r="X51" s="2">
        <f t="shared" si="19"/>
        <v>-6295.83</v>
      </c>
      <c r="Y51" s="2"/>
      <c r="Z51" s="19">
        <f t="shared" si="20"/>
        <v>-0.98944365865157946</v>
      </c>
    </row>
    <row r="52" spans="1:26" s="23" customFormat="1" hidden="1" outlineLevel="1" x14ac:dyDescent="0.25">
      <c r="A52" s="44"/>
      <c r="B52" s="10" t="str">
        <f>CONCATENATE("          ", "5013", " - ", "PURCHASES @ COST-TRADE BOOKS")</f>
        <v xml:space="preserve">          5013 - PURCHASES @ COST-TRADE BOOKS</v>
      </c>
      <c r="C52" s="10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0"/>
      <c r="P52" s="2">
        <v>9670.02</v>
      </c>
      <c r="Q52" s="2"/>
      <c r="R52" s="19">
        <f t="shared" si="17"/>
        <v>3.5249199165914547E-3</v>
      </c>
      <c r="S52" s="2"/>
      <c r="T52" s="2">
        <v>3197.85</v>
      </c>
      <c r="U52" s="2"/>
      <c r="V52" s="19">
        <f t="shared" si="18"/>
        <v>6.4875021517485712E-4</v>
      </c>
      <c r="W52" s="2"/>
      <c r="X52" s="2">
        <f t="shared" si="19"/>
        <v>6472.17</v>
      </c>
      <c r="Y52" s="2"/>
      <c r="Z52" s="19">
        <f t="shared" si="20"/>
        <v>2.0239129415075756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>
        <v>111.57</v>
      </c>
      <c r="Q53" s="2"/>
      <c r="R53" s="19">
        <f t="shared" si="17"/>
        <v>4.0669545160621032E-5</v>
      </c>
      <c r="S53" s="2"/>
      <c r="T53" s="2">
        <v>600.61</v>
      </c>
      <c r="U53" s="2"/>
      <c r="V53" s="19">
        <f t="shared" si="18"/>
        <v>1.2184619876985192E-4</v>
      </c>
      <c r="W53" s="2"/>
      <c r="X53" s="2">
        <f t="shared" si="19"/>
        <v>-489.04</v>
      </c>
      <c r="Y53" s="2"/>
      <c r="Z53" s="19">
        <f t="shared" si="20"/>
        <v>-0.81423885716188549</v>
      </c>
    </row>
    <row r="54" spans="1:26" s="23" customFormat="1" hidden="1" outlineLevel="1" x14ac:dyDescent="0.25">
      <c r="A54" s="44"/>
      <c r="B54" s="10" t="str">
        <f>CONCATENATE("          ", "5018", " - ", "PURCHASES @ COST-STUDY GUIDES")</f>
        <v xml:space="preserve">          5018 - PURCHASES @ COST-STUDY GUIDES</v>
      </c>
      <c r="C54" s="10"/>
      <c r="D54" s="2"/>
      <c r="E54" s="2"/>
      <c r="F54" s="19">
        <f t="shared" si="13"/>
        <v>0</v>
      </c>
      <c r="G54" s="2"/>
      <c r="H54" s="2"/>
      <c r="I54" s="2"/>
      <c r="J54" s="19">
        <f t="shared" si="14"/>
        <v>0</v>
      </c>
      <c r="K54" s="2"/>
      <c r="L54" s="2">
        <f t="shared" si="15"/>
        <v>0</v>
      </c>
      <c r="M54" s="2"/>
      <c r="N54" s="19">
        <f t="shared" si="16"/>
        <v>0</v>
      </c>
      <c r="O54" s="10"/>
      <c r="P54" s="2">
        <v>967.21</v>
      </c>
      <c r="Q54" s="2"/>
      <c r="R54" s="19">
        <f t="shared" si="17"/>
        <v>3.5256781191004991E-4</v>
      </c>
      <c r="S54" s="2"/>
      <c r="T54" s="2">
        <v>-205.14</v>
      </c>
      <c r="U54" s="2"/>
      <c r="V54" s="19">
        <f t="shared" si="18"/>
        <v>-4.1616904839492215E-5</v>
      </c>
      <c r="W54" s="2"/>
      <c r="X54" s="2">
        <f t="shared" si="19"/>
        <v>1172.3499999999999</v>
      </c>
      <c r="Y54" s="2"/>
      <c r="Z54" s="19">
        <f t="shared" si="20"/>
        <v>-5.7148776445354388</v>
      </c>
    </row>
    <row r="55" spans="1:26" s="23" customFormat="1" hidden="1" outlineLevel="1" x14ac:dyDescent="0.25">
      <c r="A55" s="44"/>
      <c r="B55" s="10" t="str">
        <f>CONCATENATE("          ", "5200", " - ", "PURCHASES OFFSET")</f>
        <v xml:space="preserve">          5200 - PURCHASES OFFSET</v>
      </c>
      <c r="C55" s="10"/>
      <c r="D55" s="2">
        <v>-63605.72</v>
      </c>
      <c r="E55" s="2"/>
      <c r="F55" s="19">
        <f t="shared" si="13"/>
        <v>-0.99861572279538924</v>
      </c>
      <c r="G55" s="2"/>
      <c r="H55" s="2">
        <v>-32085</v>
      </c>
      <c r="I55" s="2"/>
      <c r="J55" s="19">
        <f t="shared" si="14"/>
        <v>-0.5291560270599357</v>
      </c>
      <c r="K55" s="2"/>
      <c r="L55" s="2">
        <f t="shared" si="15"/>
        <v>-31520.720000000001</v>
      </c>
      <c r="M55" s="2"/>
      <c r="N55" s="19">
        <f t="shared" si="16"/>
        <v>0.98241296556023072</v>
      </c>
      <c r="O55" s="10"/>
      <c r="P55" s="2">
        <v>-1088501.69</v>
      </c>
      <c r="Q55" s="2"/>
      <c r="R55" s="19">
        <f t="shared" si="17"/>
        <v>-0.39678111175824426</v>
      </c>
      <c r="S55" s="2"/>
      <c r="T55" s="2">
        <v>-1618852</v>
      </c>
      <c r="U55" s="2"/>
      <c r="V55" s="19">
        <f t="shared" si="18"/>
        <v>-0.32841771294346134</v>
      </c>
      <c r="W55" s="2"/>
      <c r="X55" s="2">
        <f t="shared" si="19"/>
        <v>530350.31000000006</v>
      </c>
      <c r="Y55" s="2"/>
      <c r="Z55" s="19">
        <f t="shared" si="20"/>
        <v>-0.32760889198024284</v>
      </c>
    </row>
    <row r="56" spans="1:26" s="23" customFormat="1" hidden="1" outlineLevel="1" x14ac:dyDescent="0.25">
      <c r="A56" s="44"/>
      <c r="B56" s="10" t="str">
        <f>CONCATENATE("          ", "5300", " - ", "COG$ OFFSET")</f>
        <v xml:space="preserve">          5300 - COG$ OFFSET</v>
      </c>
      <c r="C56" s="10"/>
      <c r="D56" s="2">
        <v>45586</v>
      </c>
      <c r="E56" s="2"/>
      <c r="F56" s="19">
        <f t="shared" si="13"/>
        <v>0.71570444198022776</v>
      </c>
      <c r="G56" s="2"/>
      <c r="H56" s="2">
        <v>43312</v>
      </c>
      <c r="I56" s="2"/>
      <c r="J56" s="19">
        <f t="shared" si="14"/>
        <v>0.71431528265606781</v>
      </c>
      <c r="K56" s="2"/>
      <c r="L56" s="2">
        <f t="shared" si="15"/>
        <v>2274</v>
      </c>
      <c r="M56" s="2"/>
      <c r="N56" s="19">
        <f t="shared" si="16"/>
        <v>5.250277059475434E-2</v>
      </c>
      <c r="O56" s="10"/>
      <c r="P56" s="2">
        <v>1406908</v>
      </c>
      <c r="Q56" s="2"/>
      <c r="R56" s="19">
        <f t="shared" si="17"/>
        <v>0.51284671903593271</v>
      </c>
      <c r="S56" s="2"/>
      <c r="T56" s="2">
        <v>2360840.4700000002</v>
      </c>
      <c r="U56" s="2"/>
      <c r="V56" s="19">
        <f t="shared" si="18"/>
        <v>0.47894546739403382</v>
      </c>
      <c r="W56" s="2"/>
      <c r="X56" s="2">
        <f t="shared" si="19"/>
        <v>-953932.4700000002</v>
      </c>
      <c r="Y56" s="2"/>
      <c r="Z56" s="19">
        <f t="shared" si="20"/>
        <v>-0.40406477359310944</v>
      </c>
    </row>
    <row r="57" spans="1:26" s="23" customFormat="1" hidden="1" outlineLevel="1" x14ac:dyDescent="0.25">
      <c r="A57" s="44"/>
      <c r="B57" s="10" t="str">
        <f>CONCATENATE("          ", "5500", " - ", "FREIGHT-IN")</f>
        <v xml:space="preserve">          5500 - FREIGHT-IN</v>
      </c>
      <c r="C57" s="10"/>
      <c r="D57" s="2">
        <v>0</v>
      </c>
      <c r="E57" s="2"/>
      <c r="F57" s="19">
        <f t="shared" si="13"/>
        <v>0</v>
      </c>
      <c r="G57" s="2"/>
      <c r="H57" s="2"/>
      <c r="I57" s="2"/>
      <c r="J57" s="19">
        <f t="shared" si="14"/>
        <v>0</v>
      </c>
      <c r="K57" s="2"/>
      <c r="L57" s="2">
        <f t="shared" si="15"/>
        <v>0</v>
      </c>
      <c r="M57" s="2"/>
      <c r="N57" s="19">
        <f t="shared" si="16"/>
        <v>0</v>
      </c>
      <c r="O57" s="10"/>
      <c r="P57" s="2">
        <v>0</v>
      </c>
      <c r="Q57" s="2"/>
      <c r="R57" s="19">
        <f t="shared" si="17"/>
        <v>0</v>
      </c>
      <c r="S57" s="2"/>
      <c r="T57" s="2">
        <v>41.25</v>
      </c>
      <c r="U57" s="2"/>
      <c r="V57" s="19">
        <f t="shared" si="18"/>
        <v>8.3684182735159107E-6</v>
      </c>
      <c r="W57" s="2"/>
      <c r="X57" s="2">
        <f t="shared" si="19"/>
        <v>-41.25</v>
      </c>
      <c r="Y57" s="2"/>
      <c r="Z57" s="19">
        <f t="shared" si="20"/>
        <v>-1</v>
      </c>
    </row>
    <row r="58" spans="1:26" s="23" customFormat="1" hidden="1" outlineLevel="1" x14ac:dyDescent="0.25">
      <c r="A58" s="44"/>
      <c r="B58" s="10" t="str">
        <f>CONCATENATE("          ", "5501", " - ", "FREIGHT-IN-NEW TEXT")</f>
        <v xml:space="preserve">          5501 - FREIGHT-IN-NEW TEXT</v>
      </c>
      <c r="C58" s="10"/>
      <c r="D58" s="2">
        <v>1522.41</v>
      </c>
      <c r="E58" s="2"/>
      <c r="F58" s="19">
        <f t="shared" si="13"/>
        <v>2.3901978667027566E-2</v>
      </c>
      <c r="G58" s="2"/>
      <c r="H58" s="2">
        <v>-21.22</v>
      </c>
      <c r="I58" s="2"/>
      <c r="J58" s="19">
        <f t="shared" si="14"/>
        <v>-3.4996699062527143E-4</v>
      </c>
      <c r="K58" s="2"/>
      <c r="L58" s="2">
        <f t="shared" si="15"/>
        <v>1543.63</v>
      </c>
      <c r="M58" s="2"/>
      <c r="N58" s="19">
        <f t="shared" si="16"/>
        <v>-72.744109330819995</v>
      </c>
      <c r="O58" s="10"/>
      <c r="P58" s="2">
        <v>51836.14</v>
      </c>
      <c r="Q58" s="2"/>
      <c r="R58" s="19">
        <f t="shared" si="17"/>
        <v>1.8895332407298328E-2</v>
      </c>
      <c r="S58" s="2"/>
      <c r="T58" s="2">
        <v>69747.73</v>
      </c>
      <c r="U58" s="2"/>
      <c r="V58" s="19">
        <f t="shared" si="18"/>
        <v>1.4149774018624337E-2</v>
      </c>
      <c r="W58" s="2"/>
      <c r="X58" s="2">
        <f t="shared" si="19"/>
        <v>-17911.589999999997</v>
      </c>
      <c r="Y58" s="2"/>
      <c r="Z58" s="19">
        <f t="shared" si="20"/>
        <v>-0.25680534692670282</v>
      </c>
    </row>
    <row r="59" spans="1:26" s="23" customFormat="1" hidden="1" outlineLevel="1" x14ac:dyDescent="0.25">
      <c r="A59" s="44"/>
      <c r="B59" s="10" t="str">
        <f>CONCATENATE("          ", "5502", " - ", "FREIGHT-IN-USED TEXT")</f>
        <v xml:space="preserve">          5502 - FREIGHT-IN-USED TEXT</v>
      </c>
      <c r="C59" s="10"/>
      <c r="D59" s="2">
        <v>133.97</v>
      </c>
      <c r="E59" s="2"/>
      <c r="F59" s="19">
        <f t="shared" si="13"/>
        <v>2.1033414665048724E-3</v>
      </c>
      <c r="G59" s="2"/>
      <c r="H59" s="2">
        <v>379.42</v>
      </c>
      <c r="I59" s="2"/>
      <c r="J59" s="19">
        <f t="shared" si="14"/>
        <v>6.2575153432158585E-3</v>
      </c>
      <c r="K59" s="2"/>
      <c r="L59" s="2">
        <f t="shared" si="15"/>
        <v>-245.45000000000002</v>
      </c>
      <c r="M59" s="2"/>
      <c r="N59" s="19">
        <f t="shared" si="16"/>
        <v>-0.64690843919666863</v>
      </c>
      <c r="O59" s="10"/>
      <c r="P59" s="2">
        <v>17992.87</v>
      </c>
      <c r="Q59" s="2"/>
      <c r="R59" s="19">
        <f t="shared" si="17"/>
        <v>6.5587688360149079E-3</v>
      </c>
      <c r="S59" s="2"/>
      <c r="T59" s="2">
        <v>15680.76</v>
      </c>
      <c r="U59" s="2"/>
      <c r="V59" s="19">
        <f t="shared" si="18"/>
        <v>3.1811674794331481E-3</v>
      </c>
      <c r="W59" s="2"/>
      <c r="X59" s="2">
        <f t="shared" si="19"/>
        <v>2312.1099999999988</v>
      </c>
      <c r="Y59" s="2"/>
      <c r="Z59" s="19">
        <f t="shared" si="20"/>
        <v>0.14744884814256443</v>
      </c>
    </row>
    <row r="60" spans="1:26" s="23" customFormat="1" hidden="1" outlineLevel="1" x14ac:dyDescent="0.25">
      <c r="A60" s="44"/>
      <c r="B60" s="10" t="str">
        <f>CONCATENATE("          ", "5504", " - ", "FREIGHT-IN-DIGITAL TEXT")</f>
        <v xml:space="preserve">          5504 - FREIGHT-IN-DIGITAL TEXT</v>
      </c>
      <c r="C60" s="10"/>
      <c r="D60" s="2"/>
      <c r="E60" s="2"/>
      <c r="F60" s="19">
        <f t="shared" si="13"/>
        <v>0</v>
      </c>
      <c r="G60" s="2"/>
      <c r="H60" s="2"/>
      <c r="I60" s="2"/>
      <c r="J60" s="19">
        <f t="shared" si="14"/>
        <v>0</v>
      </c>
      <c r="K60" s="2"/>
      <c r="L60" s="2">
        <f t="shared" si="15"/>
        <v>0</v>
      </c>
      <c r="M60" s="2"/>
      <c r="N60" s="19">
        <f t="shared" si="16"/>
        <v>0</v>
      </c>
      <c r="O60" s="10"/>
      <c r="P60" s="2">
        <v>28.92</v>
      </c>
      <c r="Q60" s="2"/>
      <c r="R60" s="19">
        <f t="shared" si="17"/>
        <v>1.0541931039214488E-5</v>
      </c>
      <c r="S60" s="2"/>
      <c r="T60" s="2">
        <v>118.75</v>
      </c>
      <c r="U60" s="2"/>
      <c r="V60" s="19">
        <f t="shared" si="18"/>
        <v>2.4090901090424595E-5</v>
      </c>
      <c r="W60" s="2"/>
      <c r="X60" s="2">
        <f t="shared" si="19"/>
        <v>-89.83</v>
      </c>
      <c r="Y60" s="2"/>
      <c r="Z60" s="19">
        <f t="shared" si="20"/>
        <v>-0.75646315789473684</v>
      </c>
    </row>
    <row r="61" spans="1:26" s="23" customFormat="1" hidden="1" outlineLevel="1" x14ac:dyDescent="0.25">
      <c r="A61" s="44"/>
      <c r="B61" s="10" t="str">
        <f>CONCATENATE("          ", "5513", " - ", "FREIGHT-IN-TRADE BOOKS")</f>
        <v xml:space="preserve">          5513 - FREIGHT-IN-TRADE BOOKS</v>
      </c>
      <c r="C61" s="10"/>
      <c r="D61" s="2"/>
      <c r="E61" s="2"/>
      <c r="F61" s="19">
        <f t="shared" si="13"/>
        <v>0</v>
      </c>
      <c r="G61" s="2"/>
      <c r="H61" s="2"/>
      <c r="I61" s="2"/>
      <c r="J61" s="19">
        <f t="shared" si="14"/>
        <v>0</v>
      </c>
      <c r="K61" s="2"/>
      <c r="L61" s="2">
        <f t="shared" si="15"/>
        <v>0</v>
      </c>
      <c r="M61" s="2"/>
      <c r="N61" s="19">
        <f t="shared" si="16"/>
        <v>0</v>
      </c>
      <c r="O61" s="10"/>
      <c r="P61" s="2">
        <v>85.28</v>
      </c>
      <c r="Q61" s="2"/>
      <c r="R61" s="19">
        <f t="shared" si="17"/>
        <v>3.1086302870823358E-5</v>
      </c>
      <c r="S61" s="2"/>
      <c r="T61" s="2">
        <v>30.24</v>
      </c>
      <c r="U61" s="2"/>
      <c r="V61" s="19">
        <f t="shared" si="18"/>
        <v>6.1348113597847552E-6</v>
      </c>
      <c r="W61" s="2"/>
      <c r="X61" s="2">
        <f t="shared" si="19"/>
        <v>55.040000000000006</v>
      </c>
      <c r="Y61" s="2"/>
      <c r="Z61" s="19">
        <f t="shared" si="20"/>
        <v>1.8201058201058204</v>
      </c>
    </row>
    <row r="62" spans="1:26" s="23" customFormat="1" hidden="1" outlineLevel="1" x14ac:dyDescent="0.25">
      <c r="A62" s="44"/>
      <c r="B62" s="10" t="str">
        <f>CONCATENATE("          ", "5518", " - ", "FREIGHT-IN-STUDY GUIDES")</f>
        <v xml:space="preserve">          5518 - FREIGHT-IN-STUDY GUIDES</v>
      </c>
      <c r="C62" s="10"/>
      <c r="D62" s="2"/>
      <c r="E62" s="2"/>
      <c r="F62" s="19">
        <f t="shared" si="13"/>
        <v>0</v>
      </c>
      <c r="G62" s="2"/>
      <c r="H62" s="2"/>
      <c r="I62" s="2"/>
      <c r="J62" s="19">
        <f t="shared" si="14"/>
        <v>0</v>
      </c>
      <c r="K62" s="2"/>
      <c r="L62" s="2">
        <f t="shared" si="15"/>
        <v>0</v>
      </c>
      <c r="M62" s="2"/>
      <c r="N62" s="19">
        <f t="shared" si="16"/>
        <v>0</v>
      </c>
      <c r="O62" s="10"/>
      <c r="P62" s="2"/>
      <c r="Q62" s="2"/>
      <c r="R62" s="19">
        <f t="shared" si="17"/>
        <v>0</v>
      </c>
      <c r="S62" s="2"/>
      <c r="T62" s="2">
        <v>21.13</v>
      </c>
      <c r="U62" s="2"/>
      <c r="V62" s="19">
        <f t="shared" si="18"/>
        <v>4.2866588635003927E-6</v>
      </c>
      <c r="W62" s="2"/>
      <c r="X62" s="2">
        <f t="shared" si="19"/>
        <v>-21.13</v>
      </c>
      <c r="Y62" s="2"/>
      <c r="Z62" s="19">
        <f t="shared" si="20"/>
        <v>-1</v>
      </c>
    </row>
    <row r="63" spans="1:26" x14ac:dyDescent="0.25">
      <c r="A63" s="9"/>
      <c r="B63" s="11"/>
      <c r="C63" s="11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1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4" customFormat="1" x14ac:dyDescent="0.25">
      <c r="A64" s="11"/>
      <c r="B64" s="28" t="s">
        <v>107</v>
      </c>
      <c r="C64" s="28"/>
      <c r="D64" s="20">
        <f>D12-D45</f>
        <v>10749.349999999977</v>
      </c>
      <c r="E64" s="14"/>
      <c r="F64" s="21">
        <f>IF(D$12=0,0,D64/D$12)</f>
        <v>0.16876579527486826</v>
      </c>
      <c r="G64" s="14"/>
      <c r="H64" s="20">
        <f>H12-H45</f>
        <v>9300.5400000000154</v>
      </c>
      <c r="I64" s="14"/>
      <c r="J64" s="21">
        <f>IF(H$12=0,0,H64/H$12)</f>
        <v>0.15338746441988538</v>
      </c>
      <c r="K64" s="15"/>
      <c r="L64" s="20">
        <f>+D64-H64</f>
        <v>1448.8099999999613</v>
      </c>
      <c r="M64" s="15"/>
      <c r="N64" s="21">
        <f>IF(H64=0,0,L64/H64)</f>
        <v>0.15577697639061375</v>
      </c>
      <c r="O64" s="29"/>
      <c r="P64" s="20">
        <f>P12-P45</f>
        <v>785866.64999999967</v>
      </c>
      <c r="Q64" s="14"/>
      <c r="R64" s="21">
        <f>IF(P$12=0,0,P64/P$12)</f>
        <v>0.28646445471364118</v>
      </c>
      <c r="S64" s="14"/>
      <c r="T64" s="20">
        <f>T12-T45</f>
        <v>1393869.1799999974</v>
      </c>
      <c r="U64" s="14"/>
      <c r="V64" s="21">
        <f>IF(T$12=0,0,T64/T$12)</f>
        <v>0.28277528040733618</v>
      </c>
      <c r="W64" s="15"/>
      <c r="X64" s="20">
        <f>+P64-T64</f>
        <v>-608002.5299999977</v>
      </c>
      <c r="Y64" s="15"/>
      <c r="Z64" s="21">
        <f>IF(T64=0,0,X64/T64)</f>
        <v>-0.43619769970091371</v>
      </c>
    </row>
    <row r="65" spans="1:26" x14ac:dyDescent="0.25">
      <c r="A65" s="9"/>
      <c r="B65" s="11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9" t="s">
        <v>294</v>
      </c>
      <c r="C66" s="11"/>
      <c r="D66" s="22">
        <f>SUM(OSRRefD22x_0)</f>
        <v>45563.200000000012</v>
      </c>
      <c r="E66" s="22"/>
      <c r="F66" s="32">
        <f t="shared" ref="F66:F76" si="21">IF(D$12=0,0,D66/D$12)</f>
        <v>0.71534647985858646</v>
      </c>
      <c r="G66" s="22"/>
      <c r="H66" s="22">
        <f>SUM(OSRRefH22x_0)</f>
        <v>38231.100000000013</v>
      </c>
      <c r="I66" s="22"/>
      <c r="J66" s="32">
        <f t="shared" ref="J66:J76" si="22">IF(H$12=0,0,H66/H$12)</f>
        <v>0.63051946349169752</v>
      </c>
      <c r="K66" s="4"/>
      <c r="L66" s="22">
        <f t="shared" ref="L66:L76" si="23">+D66-H66</f>
        <v>7332.0999999999985</v>
      </c>
      <c r="M66" s="4"/>
      <c r="N66" s="32">
        <f t="shared" ref="N66:N76" si="24">IF(H66=0,0,L66/H66)</f>
        <v>0.19178365257604402</v>
      </c>
      <c r="O66" s="11"/>
      <c r="P66" s="22">
        <f>SUM(OSRRefP22x_0)</f>
        <v>507407.53999999986</v>
      </c>
      <c r="Q66" s="22"/>
      <c r="R66" s="32">
        <f t="shared" ref="R66:R76" si="25">IF(P$12=0,0,P66/P$12)</f>
        <v>0.18496041823850154</v>
      </c>
      <c r="S66" s="22"/>
      <c r="T66" s="22">
        <f>SUM(OSRRefT22x_0)</f>
        <v>509228.60000000003</v>
      </c>
      <c r="U66" s="22"/>
      <c r="V66" s="32">
        <f t="shared" ref="V66:V76" si="26">IF(T$12=0,0,T66/T$12)</f>
        <v>0.10330758597907697</v>
      </c>
      <c r="W66" s="4"/>
      <c r="X66" s="22">
        <f t="shared" ref="X66:X76" si="27">+P66-T66</f>
        <v>-1821.0600000001723</v>
      </c>
      <c r="Y66" s="4"/>
      <c r="Z66" s="32">
        <f t="shared" ref="Z66:Z76" si="28">IF(T66=0,0,X66/T66)</f>
        <v>-3.5761149314869041E-3</v>
      </c>
    </row>
    <row r="67" spans="1:26" s="26" customFormat="1" outlineLevel="1" collapsed="1" x14ac:dyDescent="0.25">
      <c r="A67" s="25"/>
      <c r="B67" s="12" t="str">
        <f>CONCATENATE("     ","*Benefits                                         ")</f>
        <v xml:space="preserve">     *Benefits                                         </v>
      </c>
      <c r="C67" s="12"/>
      <c r="D67" s="1">
        <f>SUM(OSRRefD22_0x_0)</f>
        <v>11708.38</v>
      </c>
      <c r="E67" s="1"/>
      <c r="F67" s="5">
        <f t="shared" si="21"/>
        <v>0.18382265551687929</v>
      </c>
      <c r="G67" s="1"/>
      <c r="H67" s="1">
        <f>SUM(OSRRefH22_0x_0)</f>
        <v>10281.040000000001</v>
      </c>
      <c r="I67" s="1"/>
      <c r="J67" s="5">
        <f t="shared" si="22"/>
        <v>0.16955818234203776</v>
      </c>
      <c r="K67" s="1"/>
      <c r="L67" s="1">
        <f t="shared" si="23"/>
        <v>1427.3399999999983</v>
      </c>
      <c r="M67" s="1"/>
      <c r="N67" s="5">
        <f t="shared" si="24"/>
        <v>0.13883225821512202</v>
      </c>
      <c r="O67" s="12"/>
      <c r="P67" s="1">
        <f>SUM(OSRRefP22_0x_0)</f>
        <v>131878.37</v>
      </c>
      <c r="Q67" s="1"/>
      <c r="R67" s="5">
        <f t="shared" si="25"/>
        <v>4.8072361068603478E-2</v>
      </c>
      <c r="S67" s="1"/>
      <c r="T67" s="1">
        <f>SUM(OSRRefT22_0x_0)</f>
        <v>116667.29000000001</v>
      </c>
      <c r="U67" s="1"/>
      <c r="V67" s="5">
        <f t="shared" si="26"/>
        <v>2.3668380158971641E-2</v>
      </c>
      <c r="W67" s="1"/>
      <c r="X67" s="1">
        <f t="shared" si="27"/>
        <v>15211.079999999987</v>
      </c>
      <c r="Y67" s="1"/>
      <c r="Z67" s="5">
        <f t="shared" si="28"/>
        <v>0.13037998911262949</v>
      </c>
    </row>
    <row r="68" spans="1:26" s="23" customFormat="1" hidden="1" outlineLevel="2" x14ac:dyDescent="0.25">
      <c r="A68" s="27"/>
      <c r="B68" s="10" t="str">
        <f>CONCATENATE("          ", "6111", " - ", "F.I.C.A.")</f>
        <v xml:space="preserve">          6111 - F.I.C.A.</v>
      </c>
      <c r="C68" s="10"/>
      <c r="D68" s="6">
        <v>2097.79</v>
      </c>
      <c r="E68" s="2"/>
      <c r="F68" s="7">
        <f t="shared" si="21"/>
        <v>3.2935498208697893E-2</v>
      </c>
      <c r="G68" s="2"/>
      <c r="H68" s="6">
        <v>1559.66</v>
      </c>
      <c r="I68" s="2"/>
      <c r="J68" s="7">
        <f t="shared" si="22"/>
        <v>2.5722408887776198E-2</v>
      </c>
      <c r="K68" s="2"/>
      <c r="L68" s="6">
        <f t="shared" si="23"/>
        <v>538.12999999999988</v>
      </c>
      <c r="M68" s="2"/>
      <c r="N68" s="7">
        <f t="shared" si="24"/>
        <v>0.34503032712257792</v>
      </c>
      <c r="O68" s="10"/>
      <c r="P68" s="6">
        <v>24006.85</v>
      </c>
      <c r="Q68" s="2"/>
      <c r="R68" s="7">
        <f t="shared" si="25"/>
        <v>8.7509874539684045E-3</v>
      </c>
      <c r="S68" s="2"/>
      <c r="T68" s="6">
        <v>19849.41</v>
      </c>
      <c r="U68" s="2"/>
      <c r="V68" s="7">
        <f t="shared" si="26"/>
        <v>4.0268646148487143E-3</v>
      </c>
      <c r="W68" s="2"/>
      <c r="X68" s="6">
        <f t="shared" si="27"/>
        <v>4157.4399999999987</v>
      </c>
      <c r="Y68" s="2"/>
      <c r="Z68" s="7">
        <f t="shared" si="28"/>
        <v>0.20944904659634714</v>
      </c>
    </row>
    <row r="69" spans="1:26" s="23" customFormat="1" hidden="1" outlineLevel="2" x14ac:dyDescent="0.25">
      <c r="A69" s="27"/>
      <c r="B69" s="10" t="str">
        <f>CONCATENATE("          ", "6112", " - ", "COMPENSATION INSURANCE")</f>
        <v xml:space="preserve">          6112 - COMPENSATION INSURANCE</v>
      </c>
      <c r="C69" s="10"/>
      <c r="D69" s="6">
        <v>186.45</v>
      </c>
      <c r="E69" s="2"/>
      <c r="F69" s="7">
        <f t="shared" si="21"/>
        <v>2.927282350002489E-3</v>
      </c>
      <c r="G69" s="2"/>
      <c r="H69" s="6">
        <v>226.23</v>
      </c>
      <c r="I69" s="2"/>
      <c r="J69" s="7">
        <f t="shared" si="22"/>
        <v>3.7310571295549088E-3</v>
      </c>
      <c r="K69" s="2"/>
      <c r="L69" s="6">
        <f t="shared" si="23"/>
        <v>-39.78</v>
      </c>
      <c r="M69" s="2"/>
      <c r="N69" s="7">
        <f t="shared" si="24"/>
        <v>-0.17583874817663442</v>
      </c>
      <c r="O69" s="10"/>
      <c r="P69" s="6">
        <v>1371.89</v>
      </c>
      <c r="Q69" s="2"/>
      <c r="R69" s="7">
        <f t="shared" si="25"/>
        <v>5.0008194237164468E-4</v>
      </c>
      <c r="S69" s="2"/>
      <c r="T69" s="6">
        <v>1091.83</v>
      </c>
      <c r="U69" s="2"/>
      <c r="V69" s="7">
        <f t="shared" si="26"/>
        <v>2.2150036663206975E-4</v>
      </c>
      <c r="W69" s="2"/>
      <c r="X69" s="6">
        <f t="shared" si="27"/>
        <v>280.06000000000017</v>
      </c>
      <c r="Y69" s="2"/>
      <c r="Z69" s="7">
        <f t="shared" si="28"/>
        <v>0.25650513358306715</v>
      </c>
    </row>
    <row r="70" spans="1:26" s="23" customFormat="1" hidden="1" outlineLevel="2" x14ac:dyDescent="0.25">
      <c r="A70" s="27"/>
      <c r="B70" s="10" t="str">
        <f>CONCATENATE("          ", "6113", " - ", "GROUP INSURANCE")</f>
        <v xml:space="preserve">          6113 - GROUP INSURANCE</v>
      </c>
      <c r="C70" s="10"/>
      <c r="D70" s="6">
        <v>4943.91</v>
      </c>
      <c r="E70" s="2"/>
      <c r="F70" s="7">
        <f t="shared" si="21"/>
        <v>7.7619847052833493E-2</v>
      </c>
      <c r="G70" s="2"/>
      <c r="H70" s="6">
        <v>4248.21</v>
      </c>
      <c r="I70" s="2"/>
      <c r="J70" s="7">
        <f t="shared" si="22"/>
        <v>7.0062830784363081E-2</v>
      </c>
      <c r="K70" s="2"/>
      <c r="L70" s="6">
        <f t="shared" si="23"/>
        <v>695.69999999999982</v>
      </c>
      <c r="M70" s="2"/>
      <c r="N70" s="7">
        <f t="shared" si="24"/>
        <v>0.16376309080765777</v>
      </c>
      <c r="O70" s="10"/>
      <c r="P70" s="6">
        <v>50107.77</v>
      </c>
      <c r="Q70" s="2"/>
      <c r="R70" s="7">
        <f t="shared" si="25"/>
        <v>1.8265306219530444E-2</v>
      </c>
      <c r="S70" s="2"/>
      <c r="T70" s="6">
        <v>46252.47</v>
      </c>
      <c r="U70" s="2"/>
      <c r="V70" s="7">
        <f t="shared" si="26"/>
        <v>9.3832730943817326E-3</v>
      </c>
      <c r="W70" s="2"/>
      <c r="X70" s="6">
        <f t="shared" si="27"/>
        <v>3855.2999999999956</v>
      </c>
      <c r="Y70" s="2"/>
      <c r="Z70" s="7">
        <f t="shared" si="28"/>
        <v>8.3353386316449604E-2</v>
      </c>
    </row>
    <row r="71" spans="1:26" s="23" customFormat="1" hidden="1" outlineLevel="2" x14ac:dyDescent="0.25">
      <c r="A71" s="27"/>
      <c r="B71" s="10" t="str">
        <f>CONCATENATE("          ", "6114", " - ", "STATE UNEMPLOYMENT INSURANCE")</f>
        <v xml:space="preserve">          6114 - STATE UNEMPLOYMENT INSURANCE</v>
      </c>
      <c r="C71" s="10"/>
      <c r="D71" s="6">
        <v>113</v>
      </c>
      <c r="E71" s="2"/>
      <c r="F71" s="7">
        <f t="shared" si="21"/>
        <v>1.7741105151530237E-3</v>
      </c>
      <c r="G71" s="2"/>
      <c r="H71" s="6">
        <v>91.38</v>
      </c>
      <c r="I71" s="2"/>
      <c r="J71" s="7">
        <f t="shared" si="22"/>
        <v>1.5070680303174979E-3</v>
      </c>
      <c r="K71" s="2"/>
      <c r="L71" s="6">
        <f t="shared" si="23"/>
        <v>21.620000000000005</v>
      </c>
      <c r="M71" s="2"/>
      <c r="N71" s="7">
        <f t="shared" si="24"/>
        <v>0.2365944407966733</v>
      </c>
      <c r="O71" s="10"/>
      <c r="P71" s="6">
        <v>875.51</v>
      </c>
      <c r="Q71" s="2"/>
      <c r="R71" s="7">
        <f t="shared" si="25"/>
        <v>3.1914128783342582E-4</v>
      </c>
      <c r="S71" s="2"/>
      <c r="T71" s="6">
        <v>745.41</v>
      </c>
      <c r="U71" s="2"/>
      <c r="V71" s="7">
        <f t="shared" si="26"/>
        <v>1.5122188279421806E-4</v>
      </c>
      <c r="W71" s="2"/>
      <c r="X71" s="6">
        <f t="shared" si="27"/>
        <v>130.10000000000002</v>
      </c>
      <c r="Y71" s="2"/>
      <c r="Z71" s="7">
        <f t="shared" si="28"/>
        <v>0.17453481976362006</v>
      </c>
    </row>
    <row r="72" spans="1:26" s="23" customFormat="1" hidden="1" outlineLevel="2" x14ac:dyDescent="0.25">
      <c r="A72" s="27"/>
      <c r="B72" s="10" t="str">
        <f>CONCATENATE("          ", "6115", " - ", "P.E.R.S.")</f>
        <v xml:space="preserve">          6115 - P.E.R.S.</v>
      </c>
      <c r="C72" s="10"/>
      <c r="D72" s="6">
        <v>1783.22</v>
      </c>
      <c r="E72" s="2"/>
      <c r="F72" s="7">
        <f t="shared" si="21"/>
        <v>2.799671993655907E-2</v>
      </c>
      <c r="G72" s="2"/>
      <c r="H72" s="6">
        <v>1363.4</v>
      </c>
      <c r="I72" s="2"/>
      <c r="J72" s="7">
        <f t="shared" si="22"/>
        <v>2.2485626532445579E-2</v>
      </c>
      <c r="K72" s="2"/>
      <c r="L72" s="6">
        <f t="shared" si="23"/>
        <v>419.81999999999994</v>
      </c>
      <c r="M72" s="2"/>
      <c r="N72" s="7">
        <f t="shared" si="24"/>
        <v>0.30792137303799316</v>
      </c>
      <c r="O72" s="10"/>
      <c r="P72" s="6">
        <v>20247.57</v>
      </c>
      <c r="Q72" s="2"/>
      <c r="R72" s="7">
        <f t="shared" si="25"/>
        <v>7.3806530654103751E-3</v>
      </c>
      <c r="S72" s="2"/>
      <c r="T72" s="6">
        <v>15839.69</v>
      </c>
      <c r="U72" s="2"/>
      <c r="V72" s="7">
        <f t="shared" si="26"/>
        <v>3.2134097270988425E-3</v>
      </c>
      <c r="W72" s="2"/>
      <c r="X72" s="6">
        <f t="shared" si="27"/>
        <v>4407.8799999999992</v>
      </c>
      <c r="Y72" s="2"/>
      <c r="Z72" s="7">
        <f t="shared" si="28"/>
        <v>0.27828069867528965</v>
      </c>
    </row>
    <row r="73" spans="1:26" s="23" customFormat="1" hidden="1" outlineLevel="2" x14ac:dyDescent="0.25">
      <c r="A73" s="27"/>
      <c r="B73" s="10" t="str">
        <f>CONCATENATE("          ", "6117", " - ", "RETIREMENT STAFF HOURLY")</f>
        <v xml:space="preserve">          6117 - RETIREMENT STAFF HOURLY</v>
      </c>
      <c r="C73" s="10"/>
      <c r="D73" s="6">
        <v>245.58</v>
      </c>
      <c r="E73" s="2"/>
      <c r="F73" s="7">
        <f t="shared" si="21"/>
        <v>3.8556288523122089E-3</v>
      </c>
      <c r="G73" s="2"/>
      <c r="H73" s="6">
        <v>219.6</v>
      </c>
      <c r="I73" s="2"/>
      <c r="J73" s="7">
        <f t="shared" si="22"/>
        <v>3.6217130603821684E-3</v>
      </c>
      <c r="K73" s="2"/>
      <c r="L73" s="6">
        <f t="shared" si="23"/>
        <v>25.980000000000018</v>
      </c>
      <c r="M73" s="2"/>
      <c r="N73" s="7">
        <f t="shared" si="24"/>
        <v>0.11830601092896184</v>
      </c>
      <c r="O73" s="10"/>
      <c r="P73" s="6">
        <v>3001.4</v>
      </c>
      <c r="Q73" s="2"/>
      <c r="R73" s="7">
        <f t="shared" si="25"/>
        <v>1.0940716397336916E-3</v>
      </c>
      <c r="S73" s="2"/>
      <c r="T73" s="6">
        <v>1789.27</v>
      </c>
      <c r="U73" s="2"/>
      <c r="V73" s="7">
        <f t="shared" si="26"/>
        <v>3.6299053973948644E-4</v>
      </c>
      <c r="W73" s="2"/>
      <c r="X73" s="6">
        <f t="shared" si="27"/>
        <v>1212.1300000000001</v>
      </c>
      <c r="Y73" s="2"/>
      <c r="Z73" s="7">
        <f t="shared" si="28"/>
        <v>0.67744387375857196</v>
      </c>
    </row>
    <row r="74" spans="1:26" s="23" customFormat="1" hidden="1" outlineLevel="2" x14ac:dyDescent="0.25">
      <c r="A74" s="27"/>
      <c r="B74" s="10" t="str">
        <f>CONCATENATE("          ", "6118", " - ", "VACATION")</f>
        <v xml:space="preserve">          6118 - VACATION</v>
      </c>
      <c r="C74" s="10"/>
      <c r="D74" s="6">
        <v>1644.18</v>
      </c>
      <c r="E74" s="2"/>
      <c r="F74" s="7">
        <f t="shared" si="21"/>
        <v>2.581377899826813E-2</v>
      </c>
      <c r="G74" s="2"/>
      <c r="H74" s="6">
        <v>1355.16</v>
      </c>
      <c r="I74" s="2"/>
      <c r="J74" s="7">
        <f t="shared" si="22"/>
        <v>2.2349729831090619E-2</v>
      </c>
      <c r="K74" s="2"/>
      <c r="L74" s="6">
        <f t="shared" si="23"/>
        <v>289.02</v>
      </c>
      <c r="M74" s="2"/>
      <c r="N74" s="7">
        <f t="shared" si="24"/>
        <v>0.21327370937749046</v>
      </c>
      <c r="O74" s="10"/>
      <c r="P74" s="6">
        <v>16145.13</v>
      </c>
      <c r="Q74" s="2"/>
      <c r="R74" s="7">
        <f t="shared" si="25"/>
        <v>5.8852298436774886E-3</v>
      </c>
      <c r="S74" s="2"/>
      <c r="T74" s="6">
        <v>11998.22</v>
      </c>
      <c r="U74" s="2"/>
      <c r="V74" s="7">
        <f t="shared" si="26"/>
        <v>2.4340878423676137E-3</v>
      </c>
      <c r="W74" s="2"/>
      <c r="X74" s="6">
        <f t="shared" si="27"/>
        <v>4146.91</v>
      </c>
      <c r="Y74" s="2"/>
      <c r="Z74" s="7">
        <f t="shared" si="28"/>
        <v>0.34562710135336744</v>
      </c>
    </row>
    <row r="75" spans="1:26" s="23" customFormat="1" hidden="1" outlineLevel="2" x14ac:dyDescent="0.25">
      <c r="A75" s="27"/>
      <c r="B75" s="10" t="str">
        <f>CONCATENATE("          ", "6119", " - ", "SICK LEAVE")</f>
        <v xml:space="preserve">          6119 - SICK LEAVE</v>
      </c>
      <c r="C75" s="10"/>
      <c r="D75" s="6">
        <v>284.64</v>
      </c>
      <c r="E75" s="2"/>
      <c r="F75" s="7">
        <f t="shared" si="21"/>
        <v>4.4688744870190851E-3</v>
      </c>
      <c r="G75" s="2"/>
      <c r="H75" s="6">
        <v>944.6</v>
      </c>
      <c r="I75" s="2"/>
      <c r="J75" s="7">
        <f t="shared" si="22"/>
        <v>1.5578643701443518E-2</v>
      </c>
      <c r="K75" s="2"/>
      <c r="L75" s="6">
        <f t="shared" si="23"/>
        <v>-659.96</v>
      </c>
      <c r="M75" s="2"/>
      <c r="N75" s="7">
        <f t="shared" si="24"/>
        <v>-0.69866610205377944</v>
      </c>
      <c r="O75" s="10"/>
      <c r="P75" s="6">
        <v>11461.54</v>
      </c>
      <c r="Q75" s="2"/>
      <c r="R75" s="7">
        <f t="shared" si="25"/>
        <v>4.1779655699584516E-3</v>
      </c>
      <c r="S75" s="2"/>
      <c r="T75" s="6">
        <v>12958.89</v>
      </c>
      <c r="U75" s="2"/>
      <c r="V75" s="7">
        <f t="shared" si="26"/>
        <v>2.6289796819510933E-3</v>
      </c>
      <c r="W75" s="2"/>
      <c r="X75" s="6">
        <f t="shared" si="27"/>
        <v>-1497.3499999999985</v>
      </c>
      <c r="Y75" s="2"/>
      <c r="Z75" s="7">
        <f t="shared" si="28"/>
        <v>-0.1155461617468779</v>
      </c>
    </row>
    <row r="76" spans="1:26" s="23" customFormat="1" hidden="1" outlineLevel="2" x14ac:dyDescent="0.25">
      <c r="A76" s="27"/>
      <c r="B76" s="10" t="str">
        <f>CONCATENATE("          ", "6156", " - ", "EMPLOYEE MEALS")</f>
        <v xml:space="preserve">          6156 - EMPLOYEE MEALS</v>
      </c>
      <c r="C76" s="10"/>
      <c r="D76" s="6">
        <v>409.61</v>
      </c>
      <c r="E76" s="2"/>
      <c r="F76" s="7">
        <f t="shared" si="21"/>
        <v>6.4309151160338949E-3</v>
      </c>
      <c r="G76" s="2"/>
      <c r="H76" s="6">
        <v>272.8</v>
      </c>
      <c r="I76" s="2"/>
      <c r="J76" s="7">
        <f t="shared" si="22"/>
        <v>4.499104384664188E-3</v>
      </c>
      <c r="K76" s="2"/>
      <c r="L76" s="6">
        <f t="shared" si="23"/>
        <v>136.81</v>
      </c>
      <c r="M76" s="2"/>
      <c r="N76" s="7">
        <f t="shared" si="24"/>
        <v>0.50150293255131961</v>
      </c>
      <c r="O76" s="10"/>
      <c r="P76" s="6">
        <v>4660.71</v>
      </c>
      <c r="Q76" s="2"/>
      <c r="R76" s="7">
        <f t="shared" si="25"/>
        <v>1.6989240461195488E-3</v>
      </c>
      <c r="S76" s="2"/>
      <c r="T76" s="6">
        <v>6142.1</v>
      </c>
      <c r="U76" s="2"/>
      <c r="V76" s="7">
        <f t="shared" si="26"/>
        <v>1.2460524091578687E-3</v>
      </c>
      <c r="W76" s="2"/>
      <c r="X76" s="6">
        <f t="shared" si="27"/>
        <v>-1481.3900000000003</v>
      </c>
      <c r="Y76" s="2"/>
      <c r="Z76" s="7">
        <f t="shared" si="28"/>
        <v>-0.24118623923413821</v>
      </c>
    </row>
    <row r="77" spans="1:26" s="26" customFormat="1" outlineLevel="1" collapsed="1" x14ac:dyDescent="0.25">
      <c r="A77" s="25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28613.609999999997</v>
      </c>
      <c r="E77" s="1"/>
      <c r="F77" s="5">
        <f t="shared" ref="F77:F84" si="29">IF(D$12=0,0,D77/D$12)</f>
        <v>0.44923633962378501</v>
      </c>
      <c r="G77" s="1"/>
      <c r="H77" s="1">
        <f>SUM(OSRRefH22_1x_0)</f>
        <v>23297.91</v>
      </c>
      <c r="I77" s="1"/>
      <c r="J77" s="5">
        <f t="shared" ref="J77:J84" si="30">IF(H$12=0,0,H77/H$12)</f>
        <v>0.38423654338164082</v>
      </c>
      <c r="K77" s="1"/>
      <c r="L77" s="1">
        <f t="shared" ref="L77:L84" si="31">+D77-H77</f>
        <v>5315.6999999999971</v>
      </c>
      <c r="M77" s="1"/>
      <c r="N77" s="5">
        <f t="shared" ref="N77:N84" si="32">IF(H77=0,0,L77/H77)</f>
        <v>0.22816209694345962</v>
      </c>
      <c r="O77" s="12"/>
      <c r="P77" s="1">
        <f>SUM(OSRRefP22_1x_0)</f>
        <v>310823.01999999996</v>
      </c>
      <c r="Q77" s="1"/>
      <c r="R77" s="5">
        <f t="shared" ref="R77:R84" si="33">IF(P$12=0,0,P77/P$12)</f>
        <v>0.11330134309268274</v>
      </c>
      <c r="S77" s="1"/>
      <c r="T77" s="1">
        <f>SUM(OSRRefT22_1x_0)</f>
        <v>307286.41000000003</v>
      </c>
      <c r="U77" s="1"/>
      <c r="V77" s="5">
        <f t="shared" ref="V77:V84" si="34">IF(T$12=0,0,T77/T$12)</f>
        <v>6.2339423239929762E-2</v>
      </c>
      <c r="W77" s="1"/>
      <c r="X77" s="1">
        <f t="shared" ref="X77:X84" si="35">+P77-T77</f>
        <v>3536.6099999999278</v>
      </c>
      <c r="Y77" s="1"/>
      <c r="Z77" s="5">
        <f t="shared" ref="Z77:Z84" si="36">IF(T77=0,0,X77/T77)</f>
        <v>1.1509165016441591E-2</v>
      </c>
    </row>
    <row r="78" spans="1:26" s="23" customFormat="1" hidden="1" outlineLevel="2" x14ac:dyDescent="0.25">
      <c r="A78" s="27"/>
      <c r="B78" s="10" t="str">
        <f>CONCATENATE("          ", "6001", " - ", "ADMINISTRATIVE SALARIES")</f>
        <v xml:space="preserve">          6001 - ADMINISTRATIVE SALARIES</v>
      </c>
      <c r="C78" s="10"/>
      <c r="D78" s="6"/>
      <c r="E78" s="2"/>
      <c r="F78" s="7">
        <f t="shared" si="29"/>
        <v>0</v>
      </c>
      <c r="G78" s="2"/>
      <c r="H78" s="6"/>
      <c r="I78" s="2"/>
      <c r="J78" s="7">
        <f t="shared" si="30"/>
        <v>0</v>
      </c>
      <c r="K78" s="2"/>
      <c r="L78" s="6">
        <f t="shared" si="31"/>
        <v>0</v>
      </c>
      <c r="M78" s="2"/>
      <c r="N78" s="7">
        <f t="shared" si="32"/>
        <v>0</v>
      </c>
      <c r="O78" s="10"/>
      <c r="P78" s="6">
        <v>-311.32</v>
      </c>
      <c r="Q78" s="2"/>
      <c r="R78" s="7">
        <f t="shared" si="33"/>
        <v>-1.134825024594832E-4</v>
      </c>
      <c r="S78" s="2"/>
      <c r="T78" s="6">
        <v>0</v>
      </c>
      <c r="U78" s="2"/>
      <c r="V78" s="7">
        <f t="shared" si="34"/>
        <v>0</v>
      </c>
      <c r="W78" s="2"/>
      <c r="X78" s="6">
        <f t="shared" si="35"/>
        <v>-311.32</v>
      </c>
      <c r="Y78" s="2"/>
      <c r="Z78" s="7">
        <f t="shared" si="36"/>
        <v>0</v>
      </c>
    </row>
    <row r="79" spans="1:26" s="23" customFormat="1" hidden="1" outlineLevel="2" x14ac:dyDescent="0.25">
      <c r="A79" s="27"/>
      <c r="B79" s="10" t="str">
        <f>CONCATENATE("          ", "6002", " - ", "STAFF SALARIES")</f>
        <v xml:space="preserve">          6002 - STAFF SALARIES</v>
      </c>
      <c r="C79" s="10"/>
      <c r="D79" s="6">
        <v>18291.48</v>
      </c>
      <c r="E79" s="2"/>
      <c r="F79" s="7">
        <f t="shared" si="29"/>
        <v>0.28717793810363917</v>
      </c>
      <c r="G79" s="2"/>
      <c r="H79" s="6">
        <v>14586.65</v>
      </c>
      <c r="I79" s="2"/>
      <c r="J79" s="7">
        <f t="shared" si="30"/>
        <v>0.24056767218681038</v>
      </c>
      <c r="K79" s="2"/>
      <c r="L79" s="6">
        <f t="shared" si="31"/>
        <v>3704.83</v>
      </c>
      <c r="M79" s="2"/>
      <c r="N79" s="7">
        <f t="shared" si="32"/>
        <v>0.25398772164959055</v>
      </c>
      <c r="O79" s="10"/>
      <c r="P79" s="6">
        <v>192215.53</v>
      </c>
      <c r="Q79" s="2"/>
      <c r="R79" s="7">
        <f t="shared" si="33"/>
        <v>7.0066489001592777E-2</v>
      </c>
      <c r="S79" s="2"/>
      <c r="T79" s="6">
        <v>172008.78</v>
      </c>
      <c r="U79" s="2"/>
      <c r="V79" s="7">
        <f t="shared" si="34"/>
        <v>3.4895549521386141E-2</v>
      </c>
      <c r="W79" s="2"/>
      <c r="X79" s="6">
        <f t="shared" si="35"/>
        <v>20206.75</v>
      </c>
      <c r="Y79" s="2"/>
      <c r="Z79" s="7">
        <f t="shared" si="36"/>
        <v>0.11747510795669849</v>
      </c>
    </row>
    <row r="80" spans="1:26" s="23" customFormat="1" hidden="1" outlineLevel="2" x14ac:dyDescent="0.25">
      <c r="A80" s="27"/>
      <c r="B80" s="10" t="str">
        <f>CONCATENATE("          ", "6004", " - ", "STAFF HOURLY")</f>
        <v xml:space="preserve">          6004 - STAFF HOURLY</v>
      </c>
      <c r="C80" s="10"/>
      <c r="D80" s="6">
        <v>6146.69</v>
      </c>
      <c r="E80" s="2"/>
      <c r="F80" s="7">
        <f t="shared" si="29"/>
        <v>9.6503604976866719E-2</v>
      </c>
      <c r="G80" s="2"/>
      <c r="H80" s="6">
        <v>5396.64</v>
      </c>
      <c r="I80" s="2"/>
      <c r="J80" s="7">
        <f t="shared" si="30"/>
        <v>8.9003103689348023E-2</v>
      </c>
      <c r="K80" s="2"/>
      <c r="L80" s="6">
        <f t="shared" si="31"/>
        <v>750.04999999999927</v>
      </c>
      <c r="M80" s="2"/>
      <c r="N80" s="7">
        <f t="shared" si="32"/>
        <v>0.13898462747190829</v>
      </c>
      <c r="O80" s="10"/>
      <c r="P80" s="6">
        <v>74445.429999999993</v>
      </c>
      <c r="Q80" s="2"/>
      <c r="R80" s="7">
        <f t="shared" si="33"/>
        <v>2.7136880679276252E-2</v>
      </c>
      <c r="S80" s="2"/>
      <c r="T80" s="6">
        <v>45627.8</v>
      </c>
      <c r="U80" s="2"/>
      <c r="V80" s="7">
        <f t="shared" si="34"/>
        <v>9.2565458254625296E-3</v>
      </c>
      <c r="W80" s="2"/>
      <c r="X80" s="6">
        <f t="shared" si="35"/>
        <v>28817.62999999999</v>
      </c>
      <c r="Y80" s="2"/>
      <c r="Z80" s="7">
        <f t="shared" si="36"/>
        <v>0.631580527660768</v>
      </c>
    </row>
    <row r="81" spans="1:26" s="23" customFormat="1" hidden="1" outlineLevel="2" x14ac:dyDescent="0.25">
      <c r="A81" s="27"/>
      <c r="B81" s="10" t="str">
        <f>CONCATENATE("          ", "6005", " - ", "TEMPORARY WAGES-HOURLY")</f>
        <v xml:space="preserve">          6005 - TEMPORARY WAGES-HOURLY</v>
      </c>
      <c r="C81" s="10"/>
      <c r="D81" s="6">
        <v>1870</v>
      </c>
      <c r="E81" s="2"/>
      <c r="F81" s="7">
        <f t="shared" si="29"/>
        <v>2.9359174011824377E-2</v>
      </c>
      <c r="G81" s="2"/>
      <c r="H81" s="6">
        <v>218.74</v>
      </c>
      <c r="I81" s="2"/>
      <c r="J81" s="7">
        <f t="shared" si="30"/>
        <v>3.6075296667941511E-3</v>
      </c>
      <c r="K81" s="2"/>
      <c r="L81" s="6">
        <f t="shared" si="31"/>
        <v>1651.26</v>
      </c>
      <c r="M81" s="2"/>
      <c r="N81" s="7">
        <f t="shared" si="32"/>
        <v>7.5489622382737496</v>
      </c>
      <c r="O81" s="10"/>
      <c r="P81" s="6">
        <v>17555.16</v>
      </c>
      <c r="Q81" s="2"/>
      <c r="R81" s="7">
        <f t="shared" si="33"/>
        <v>6.3992145955178627E-3</v>
      </c>
      <c r="S81" s="2"/>
      <c r="T81" s="6">
        <v>24432.25</v>
      </c>
      <c r="U81" s="2"/>
      <c r="V81" s="7">
        <f t="shared" si="34"/>
        <v>4.9565887845602211E-3</v>
      </c>
      <c r="W81" s="2"/>
      <c r="X81" s="6">
        <f t="shared" si="35"/>
        <v>-6877.09</v>
      </c>
      <c r="Y81" s="2"/>
      <c r="Z81" s="7">
        <f t="shared" si="36"/>
        <v>-0.28147591810005218</v>
      </c>
    </row>
    <row r="82" spans="1:26" s="23" customFormat="1" hidden="1" outlineLevel="2" x14ac:dyDescent="0.25">
      <c r="A82" s="27"/>
      <c r="B82" s="10" t="str">
        <f>CONCATENATE("          ", "6006", " - ", "TEMPORARY PART TIME")</f>
        <v xml:space="preserve">          6006 - TEMPORARY PART TIME</v>
      </c>
      <c r="C82" s="10"/>
      <c r="D82" s="6">
        <v>411.75</v>
      </c>
      <c r="E82" s="2"/>
      <c r="F82" s="7">
        <f t="shared" si="29"/>
        <v>6.4645133151704209E-3</v>
      </c>
      <c r="G82" s="2"/>
      <c r="H82" s="6">
        <v>1155.1199999999999</v>
      </c>
      <c r="I82" s="2"/>
      <c r="J82" s="7">
        <f t="shared" si="30"/>
        <v>1.9050606513245218E-2</v>
      </c>
      <c r="K82" s="2"/>
      <c r="L82" s="6">
        <f t="shared" si="31"/>
        <v>-743.36999999999989</v>
      </c>
      <c r="M82" s="2"/>
      <c r="N82" s="7">
        <f t="shared" si="32"/>
        <v>-0.64354352794514857</v>
      </c>
      <c r="O82" s="10"/>
      <c r="P82" s="6">
        <v>914.04</v>
      </c>
      <c r="Q82" s="2"/>
      <c r="R82" s="7">
        <f t="shared" si="33"/>
        <v>3.3318626027260058E-4</v>
      </c>
      <c r="S82" s="2"/>
      <c r="T82" s="6">
        <v>5282.37</v>
      </c>
      <c r="U82" s="2"/>
      <c r="V82" s="7">
        <f t="shared" si="34"/>
        <v>1.071638342678115E-3</v>
      </c>
      <c r="W82" s="2"/>
      <c r="X82" s="6">
        <f t="shared" si="35"/>
        <v>-4368.33</v>
      </c>
      <c r="Y82" s="2"/>
      <c r="Z82" s="7">
        <f t="shared" si="36"/>
        <v>-0.82696403318964784</v>
      </c>
    </row>
    <row r="83" spans="1:26" s="23" customFormat="1" hidden="1" outlineLevel="2" x14ac:dyDescent="0.25">
      <c r="A83" s="27"/>
      <c r="B83" s="10" t="str">
        <f>CONCATENATE("          ", "6007", " - ", "STUDENT HOURLY")</f>
        <v xml:space="preserve">          6007 - STUDENT HOURLY</v>
      </c>
      <c r="C83" s="10"/>
      <c r="D83" s="6">
        <v>1893.69</v>
      </c>
      <c r="E83" s="2"/>
      <c r="F83" s="7">
        <f t="shared" si="29"/>
        <v>2.9731109216284333E-2</v>
      </c>
      <c r="G83" s="2"/>
      <c r="H83" s="6">
        <v>1940.76</v>
      </c>
      <c r="I83" s="2"/>
      <c r="J83" s="7">
        <f t="shared" si="30"/>
        <v>3.2007631325443063E-2</v>
      </c>
      <c r="K83" s="2"/>
      <c r="L83" s="6">
        <f t="shared" si="31"/>
        <v>-47.069999999999936</v>
      </c>
      <c r="M83" s="2"/>
      <c r="N83" s="7">
        <f t="shared" si="32"/>
        <v>-2.4253385271749178E-2</v>
      </c>
      <c r="O83" s="10"/>
      <c r="P83" s="6">
        <v>25036.92</v>
      </c>
      <c r="Q83" s="2"/>
      <c r="R83" s="7">
        <f t="shared" si="33"/>
        <v>9.1264690205508283E-3</v>
      </c>
      <c r="S83" s="2"/>
      <c r="T83" s="6">
        <v>59935.21</v>
      </c>
      <c r="U83" s="2"/>
      <c r="V83" s="7">
        <f t="shared" si="34"/>
        <v>1.2159100765842753E-2</v>
      </c>
      <c r="W83" s="2"/>
      <c r="X83" s="6">
        <f t="shared" si="35"/>
        <v>-34898.29</v>
      </c>
      <c r="Y83" s="2"/>
      <c r="Z83" s="7">
        <f t="shared" si="36"/>
        <v>-0.58226691789350538</v>
      </c>
    </row>
    <row r="84" spans="1:26" s="23" customFormat="1" hidden="1" outlineLevel="2" x14ac:dyDescent="0.25">
      <c r="A84" s="27"/>
      <c r="B84" s="10" t="str">
        <f>CONCATENATE("          ", "6008", " - ", "STUDENT HOURLY-FICA EXEMPT")</f>
        <v xml:space="preserve">          6008 - STUDENT HOURLY-FICA EXEMPT</v>
      </c>
      <c r="C84" s="10"/>
      <c r="D84" s="6"/>
      <c r="E84" s="2"/>
      <c r="F84" s="7">
        <f t="shared" si="29"/>
        <v>0</v>
      </c>
      <c r="G84" s="2"/>
      <c r="H84" s="6"/>
      <c r="I84" s="2"/>
      <c r="J84" s="7">
        <f t="shared" si="30"/>
        <v>0</v>
      </c>
      <c r="K84" s="2"/>
      <c r="L84" s="6">
        <f t="shared" si="31"/>
        <v>0</v>
      </c>
      <c r="M84" s="2"/>
      <c r="N84" s="7">
        <f t="shared" si="32"/>
        <v>0</v>
      </c>
      <c r="O84" s="10"/>
      <c r="P84" s="6">
        <v>967.26</v>
      </c>
      <c r="Q84" s="2"/>
      <c r="R84" s="7">
        <f t="shared" si="33"/>
        <v>3.5258603793190192E-4</v>
      </c>
      <c r="S84" s="2"/>
      <c r="T84" s="6"/>
      <c r="U84" s="2"/>
      <c r="V84" s="7">
        <f t="shared" si="34"/>
        <v>0</v>
      </c>
      <c r="W84" s="2"/>
      <c r="X84" s="6">
        <f t="shared" si="35"/>
        <v>967.26</v>
      </c>
      <c r="Y84" s="2"/>
      <c r="Z84" s="7">
        <f t="shared" si="36"/>
        <v>0</v>
      </c>
    </row>
    <row r="85" spans="1:26" s="26" customFormat="1" outlineLevel="1" collapsed="1" x14ac:dyDescent="0.25">
      <c r="A85" s="25"/>
      <c r="B85" s="12" t="str">
        <f>CONCATENATE("     ","Advertising/Promo                                 ")</f>
        <v xml:space="preserve">     Advertising/Promo                                 </v>
      </c>
      <c r="C85" s="12"/>
      <c r="D85" s="1">
        <f>SUM(OSRRefD22_2x_0)</f>
        <v>348.4</v>
      </c>
      <c r="E85" s="1"/>
      <c r="F85" s="5">
        <f t="shared" ref="F85:F89" si="37">IF(D$12=0,0,D85/D$12)</f>
        <v>5.4699124201709149E-3</v>
      </c>
      <c r="G85" s="1"/>
      <c r="H85" s="1">
        <f>SUM(OSRRefH22_2x_0)</f>
        <v>0</v>
      </c>
      <c r="I85" s="1"/>
      <c r="J85" s="5">
        <f t="shared" ref="J85:J89" si="38">IF(H$12=0,0,H85/H$12)</f>
        <v>0</v>
      </c>
      <c r="K85" s="1"/>
      <c r="L85" s="1">
        <f t="shared" ref="L85:L89" si="39">+D85-H85</f>
        <v>348.4</v>
      </c>
      <c r="M85" s="1"/>
      <c r="N85" s="5">
        <f t="shared" ref="N85:N89" si="40">IF(H85=0,0,L85/H85)</f>
        <v>0</v>
      </c>
      <c r="O85" s="12"/>
      <c r="P85" s="1">
        <f>SUM(OSRRefP22_2x_0)</f>
        <v>2380.9899999999998</v>
      </c>
      <c r="Q85" s="1"/>
      <c r="R85" s="5">
        <f t="shared" ref="R85:R89" si="41">IF(P$12=0,0,P85/P$12)</f>
        <v>8.679195153893256E-4</v>
      </c>
      <c r="S85" s="1"/>
      <c r="T85" s="1">
        <f>SUM(OSRRefT22_2x_0)</f>
        <v>3981.59</v>
      </c>
      <c r="U85" s="1"/>
      <c r="V85" s="5">
        <f t="shared" ref="V85:V89" si="42">IF(T$12=0,0,T85/T$12)</f>
        <v>8.0774813366419923E-4</v>
      </c>
      <c r="W85" s="1"/>
      <c r="X85" s="1">
        <f t="shared" ref="X85:X89" si="43">+P85-T85</f>
        <v>-1600.6000000000004</v>
      </c>
      <c r="Y85" s="1"/>
      <c r="Z85" s="5">
        <f t="shared" ref="Z85:Z89" si="44">IF(T85=0,0,X85/T85)</f>
        <v>-0.40200020594787517</v>
      </c>
    </row>
    <row r="86" spans="1:26" s="23" customFormat="1" hidden="1" outlineLevel="2" x14ac:dyDescent="0.25">
      <c r="A86" s="27"/>
      <c r="B86" s="10" t="str">
        <f>CONCATENATE("          ", "6362", " - ", "ADVERTISING EXPENSE")</f>
        <v xml:space="preserve">          6362 - ADVERTISING EXPENSE</v>
      </c>
      <c r="C86" s="10"/>
      <c r="D86" s="6">
        <v>348.4</v>
      </c>
      <c r="E86" s="2"/>
      <c r="F86" s="7">
        <f t="shared" si="37"/>
        <v>5.4699124201709149E-3</v>
      </c>
      <c r="G86" s="2"/>
      <c r="H86" s="6"/>
      <c r="I86" s="2"/>
      <c r="J86" s="7">
        <f t="shared" si="38"/>
        <v>0</v>
      </c>
      <c r="K86" s="2"/>
      <c r="L86" s="6">
        <f t="shared" si="39"/>
        <v>348.4</v>
      </c>
      <c r="M86" s="2"/>
      <c r="N86" s="7">
        <f t="shared" si="40"/>
        <v>0</v>
      </c>
      <c r="O86" s="10"/>
      <c r="P86" s="6">
        <v>2380.9899999999998</v>
      </c>
      <c r="Q86" s="2"/>
      <c r="R86" s="7">
        <f t="shared" si="41"/>
        <v>8.679195153893256E-4</v>
      </c>
      <c r="S86" s="2"/>
      <c r="T86" s="6">
        <v>3981.59</v>
      </c>
      <c r="U86" s="2"/>
      <c r="V86" s="7">
        <f t="shared" si="42"/>
        <v>8.0774813366419923E-4</v>
      </c>
      <c r="W86" s="2"/>
      <c r="X86" s="6">
        <f t="shared" si="43"/>
        <v>-1600.6000000000004</v>
      </c>
      <c r="Y86" s="2"/>
      <c r="Z86" s="7">
        <f t="shared" si="44"/>
        <v>-0.40200020594787517</v>
      </c>
    </row>
    <row r="87" spans="1:26" s="26" customFormat="1" outlineLevel="1" collapsed="1" x14ac:dyDescent="0.25">
      <c r="A87" s="25"/>
      <c r="B87" s="12" t="str">
        <f>CONCATENATE("     ","Discounts and Markdowns                           ")</f>
        <v xml:space="preserve">     Discounts and Markdowns                           </v>
      </c>
      <c r="C87" s="12"/>
      <c r="D87" s="1">
        <f>SUM(OSRRefD22_3x_0)</f>
        <v>0</v>
      </c>
      <c r="E87" s="1"/>
      <c r="F87" s="5">
        <f t="shared" si="37"/>
        <v>0</v>
      </c>
      <c r="G87" s="1"/>
      <c r="H87" s="1">
        <f>SUM(OSRRefH22_3x_0)</f>
        <v>286.66000000000003</v>
      </c>
      <c r="I87" s="1"/>
      <c r="J87" s="5">
        <f t="shared" si="38"/>
        <v>4.7276879138850297E-3</v>
      </c>
      <c r="K87" s="1"/>
      <c r="L87" s="1">
        <f t="shared" si="39"/>
        <v>-286.66000000000003</v>
      </c>
      <c r="M87" s="1"/>
      <c r="N87" s="5">
        <f t="shared" si="40"/>
        <v>-1</v>
      </c>
      <c r="O87" s="12"/>
      <c r="P87" s="1">
        <f>SUM(OSRRefP22_3x_0)</f>
        <v>0</v>
      </c>
      <c r="Q87" s="1"/>
      <c r="R87" s="5">
        <f t="shared" si="41"/>
        <v>0</v>
      </c>
      <c r="S87" s="1"/>
      <c r="T87" s="1">
        <f>SUM(OSRRefT22_3x_0)</f>
        <v>307.76</v>
      </c>
      <c r="U87" s="1"/>
      <c r="V87" s="5">
        <f t="shared" si="42"/>
        <v>6.2435500796539554E-5</v>
      </c>
      <c r="W87" s="1"/>
      <c r="X87" s="1">
        <f t="shared" si="43"/>
        <v>-307.76</v>
      </c>
      <c r="Y87" s="1"/>
      <c r="Z87" s="5">
        <f t="shared" si="44"/>
        <v>-1</v>
      </c>
    </row>
    <row r="88" spans="1:26" s="23" customFormat="1" hidden="1" outlineLevel="2" x14ac:dyDescent="0.25">
      <c r="A88" s="27"/>
      <c r="B88" s="10" t="str">
        <f>CONCATENATE("          ", "6382", " - ", "DISCOUNTS/MARK DOWNS")</f>
        <v xml:space="preserve">          6382 - DISCOUNTS/MARK DOWNS</v>
      </c>
      <c r="C88" s="10"/>
      <c r="D88" s="6">
        <v>0</v>
      </c>
      <c r="E88" s="2"/>
      <c r="F88" s="7">
        <f t="shared" si="37"/>
        <v>0</v>
      </c>
      <c r="G88" s="2"/>
      <c r="H88" s="6">
        <v>286.66000000000003</v>
      </c>
      <c r="I88" s="2"/>
      <c r="J88" s="7">
        <f t="shared" si="38"/>
        <v>4.7276879138850297E-3</v>
      </c>
      <c r="K88" s="2"/>
      <c r="L88" s="6">
        <f t="shared" si="39"/>
        <v>-286.66000000000003</v>
      </c>
      <c r="M88" s="2"/>
      <c r="N88" s="7">
        <f t="shared" si="40"/>
        <v>-1</v>
      </c>
      <c r="O88" s="10"/>
      <c r="P88" s="6">
        <v>0</v>
      </c>
      <c r="Q88" s="2"/>
      <c r="R88" s="7">
        <f t="shared" si="41"/>
        <v>0</v>
      </c>
      <c r="S88" s="2"/>
      <c r="T88" s="6">
        <v>760.03</v>
      </c>
      <c r="U88" s="2"/>
      <c r="V88" s="7">
        <f t="shared" si="42"/>
        <v>1.5418785310109814E-4</v>
      </c>
      <c r="W88" s="2"/>
      <c r="X88" s="6">
        <f t="shared" si="43"/>
        <v>-760.03</v>
      </c>
      <c r="Y88" s="2"/>
      <c r="Z88" s="7">
        <f t="shared" si="44"/>
        <v>-1</v>
      </c>
    </row>
    <row r="89" spans="1:26" s="23" customFormat="1" hidden="1" outlineLevel="2" x14ac:dyDescent="0.25">
      <c r="A89" s="27"/>
      <c r="B89" s="10" t="str">
        <f>CONCATENATE("          ", "9175", " - ", "EARNED DISCOUNTS")</f>
        <v xml:space="preserve">          9175 - EARNED DISCOUNTS</v>
      </c>
      <c r="C89" s="10"/>
      <c r="D89" s="6"/>
      <c r="E89" s="2"/>
      <c r="F89" s="7">
        <f t="shared" si="37"/>
        <v>0</v>
      </c>
      <c r="G89" s="2"/>
      <c r="H89" s="6"/>
      <c r="I89" s="2"/>
      <c r="J89" s="7">
        <f t="shared" si="38"/>
        <v>0</v>
      </c>
      <c r="K89" s="2"/>
      <c r="L89" s="6">
        <f t="shared" si="39"/>
        <v>0</v>
      </c>
      <c r="M89" s="2"/>
      <c r="N89" s="7">
        <f t="shared" si="40"/>
        <v>0</v>
      </c>
      <c r="O89" s="10"/>
      <c r="P89" s="6">
        <v>0</v>
      </c>
      <c r="Q89" s="2"/>
      <c r="R89" s="7">
        <f t="shared" si="41"/>
        <v>0</v>
      </c>
      <c r="S89" s="2"/>
      <c r="T89" s="6">
        <v>-452.27</v>
      </c>
      <c r="U89" s="2"/>
      <c r="V89" s="7">
        <f t="shared" si="42"/>
        <v>-9.1752352304558572E-5</v>
      </c>
      <c r="W89" s="2"/>
      <c r="X89" s="6">
        <f t="shared" si="43"/>
        <v>452.27</v>
      </c>
      <c r="Y89" s="2"/>
      <c r="Z89" s="7">
        <f t="shared" si="44"/>
        <v>-1</v>
      </c>
    </row>
    <row r="90" spans="1:26" s="26" customFormat="1" outlineLevel="1" collapsed="1" x14ac:dyDescent="0.25">
      <c r="A90" s="25"/>
      <c r="B90" s="12" t="str">
        <f>CONCATENATE("     ","Employees' Appreciation                           ")</f>
        <v xml:space="preserve">     Employees' Appreciation                           </v>
      </c>
      <c r="C90" s="12"/>
      <c r="D90" s="1">
        <f>SUM(OSRRefD22_4x_0)</f>
        <v>0</v>
      </c>
      <c r="E90" s="1"/>
      <c r="F90" s="5">
        <f t="shared" ref="F90:F96" si="45">IF(D$12=0,0,D90/D$12)</f>
        <v>0</v>
      </c>
      <c r="G90" s="1"/>
      <c r="H90" s="1">
        <f>SUM(OSRRefH22_4x_0)</f>
        <v>0</v>
      </c>
      <c r="I90" s="1"/>
      <c r="J90" s="5">
        <f t="shared" ref="J90:J96" si="46">IF(H$12=0,0,H90/H$12)</f>
        <v>0</v>
      </c>
      <c r="K90" s="1"/>
      <c r="L90" s="1">
        <f t="shared" ref="L90:L96" si="47">+D90-H90</f>
        <v>0</v>
      </c>
      <c r="M90" s="1"/>
      <c r="N90" s="5">
        <f t="shared" ref="N90:N96" si="48">IF(H90=0,0,L90/H90)</f>
        <v>0</v>
      </c>
      <c r="O90" s="12"/>
      <c r="P90" s="1">
        <f>SUM(OSRRefP22_4x_0)</f>
        <v>107.7</v>
      </c>
      <c r="Q90" s="1"/>
      <c r="R90" s="5">
        <f t="shared" ref="R90:R96" si="49">IF(P$12=0,0,P90/P$12)</f>
        <v>3.9258851069273868E-5</v>
      </c>
      <c r="S90" s="1"/>
      <c r="T90" s="1">
        <f>SUM(OSRRefT22_4x_0)</f>
        <v>120.18</v>
      </c>
      <c r="U90" s="1"/>
      <c r="V90" s="5">
        <f t="shared" ref="V90:V96" si="50">IF(T$12=0,0,T90/T$12)</f>
        <v>2.4381006257239812E-5</v>
      </c>
      <c r="W90" s="1"/>
      <c r="X90" s="1">
        <f t="shared" ref="X90:X96" si="51">+P90-T90</f>
        <v>-12.480000000000004</v>
      </c>
      <c r="Y90" s="1"/>
      <c r="Z90" s="5">
        <f t="shared" ref="Z90:Z96" si="52">IF(T90=0,0,X90/T90)</f>
        <v>-0.10384423364952573</v>
      </c>
    </row>
    <row r="91" spans="1:26" s="23" customFormat="1" hidden="1" outlineLevel="2" x14ac:dyDescent="0.25">
      <c r="A91" s="27"/>
      <c r="B91" s="10" t="str">
        <f>CONCATENATE("          ", "6277", " - ", "EMPLOYEE APPRECIATION")</f>
        <v xml:space="preserve">          6277 - EMPLOYEE APPRECIATION</v>
      </c>
      <c r="C91" s="10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0"/>
      <c r="P91" s="6">
        <v>107.7</v>
      </c>
      <c r="Q91" s="2"/>
      <c r="R91" s="7">
        <f t="shared" si="49"/>
        <v>3.9258851069273868E-5</v>
      </c>
      <c r="S91" s="2"/>
      <c r="T91" s="6">
        <v>120.18</v>
      </c>
      <c r="U91" s="2"/>
      <c r="V91" s="7">
        <f t="shared" si="50"/>
        <v>2.4381006257239812E-5</v>
      </c>
      <c r="W91" s="2"/>
      <c r="X91" s="6">
        <f t="shared" si="51"/>
        <v>-12.480000000000004</v>
      </c>
      <c r="Y91" s="2"/>
      <c r="Z91" s="7">
        <f t="shared" si="52"/>
        <v>-0.10384423364952573</v>
      </c>
    </row>
    <row r="92" spans="1:26" s="26" customFormat="1" outlineLevel="1" collapsed="1" x14ac:dyDescent="0.25">
      <c r="A92" s="25"/>
      <c r="B92" s="12" t="str">
        <f>CONCATENATE("     ","Equipment Rental                                  ")</f>
        <v xml:space="preserve">     Equipment Rental                                  </v>
      </c>
      <c r="C92" s="12"/>
      <c r="D92" s="1">
        <f>SUM(OSRRefD22_5x_0)</f>
        <v>91.26</v>
      </c>
      <c r="E92" s="1"/>
      <c r="F92" s="5">
        <f t="shared" si="45"/>
        <v>1.4327904921492473E-3</v>
      </c>
      <c r="G92" s="1"/>
      <c r="H92" s="1">
        <f>SUM(OSRRefH22_5x_0)</f>
        <v>91.26</v>
      </c>
      <c r="I92" s="1"/>
      <c r="J92" s="5">
        <f t="shared" si="46"/>
        <v>1.5050889521424258E-3</v>
      </c>
      <c r="K92" s="1"/>
      <c r="L92" s="1">
        <f t="shared" si="47"/>
        <v>0</v>
      </c>
      <c r="M92" s="1"/>
      <c r="N92" s="5">
        <f t="shared" si="48"/>
        <v>0</v>
      </c>
      <c r="O92" s="12"/>
      <c r="P92" s="1">
        <f>SUM(OSRRefP22_5x_0)</f>
        <v>1003.86</v>
      </c>
      <c r="Q92" s="1"/>
      <c r="R92" s="5">
        <f t="shared" si="49"/>
        <v>3.6592748592758831E-4</v>
      </c>
      <c r="S92" s="1"/>
      <c r="T92" s="1">
        <f>SUM(OSRRefT22_5x_0)</f>
        <v>1003.86</v>
      </c>
      <c r="U92" s="1"/>
      <c r="V92" s="5">
        <f t="shared" si="50"/>
        <v>2.0365382710428321E-4</v>
      </c>
      <c r="W92" s="1"/>
      <c r="X92" s="1">
        <f t="shared" si="51"/>
        <v>0</v>
      </c>
      <c r="Y92" s="1"/>
      <c r="Z92" s="5">
        <f t="shared" si="52"/>
        <v>0</v>
      </c>
    </row>
    <row r="93" spans="1:26" s="23" customFormat="1" hidden="1" outlineLevel="2" x14ac:dyDescent="0.25">
      <c r="A93" s="27"/>
      <c r="B93" s="10" t="str">
        <f>CONCATENATE("          ", "6351", " - ", "EQUIPMENT RENTAL")</f>
        <v xml:space="preserve">          6351 - EQUIPMENT RENTAL</v>
      </c>
      <c r="C93" s="10"/>
      <c r="D93" s="6">
        <v>91.26</v>
      </c>
      <c r="E93" s="2"/>
      <c r="F93" s="7">
        <f t="shared" si="45"/>
        <v>1.4327904921492473E-3</v>
      </c>
      <c r="G93" s="2"/>
      <c r="H93" s="6">
        <v>91.26</v>
      </c>
      <c r="I93" s="2"/>
      <c r="J93" s="7">
        <f t="shared" si="46"/>
        <v>1.5050889521424258E-3</v>
      </c>
      <c r="K93" s="2"/>
      <c r="L93" s="6">
        <f t="shared" si="47"/>
        <v>0</v>
      </c>
      <c r="M93" s="2"/>
      <c r="N93" s="7">
        <f t="shared" si="48"/>
        <v>0</v>
      </c>
      <c r="O93" s="10"/>
      <c r="P93" s="6">
        <v>1003.86</v>
      </c>
      <c r="Q93" s="2"/>
      <c r="R93" s="7">
        <f t="shared" si="49"/>
        <v>3.6592748592758831E-4</v>
      </c>
      <c r="S93" s="2"/>
      <c r="T93" s="6">
        <v>1003.86</v>
      </c>
      <c r="U93" s="2"/>
      <c r="V93" s="7">
        <f t="shared" si="50"/>
        <v>2.0365382710428321E-4</v>
      </c>
      <c r="W93" s="2"/>
      <c r="X93" s="6">
        <f t="shared" si="51"/>
        <v>0</v>
      </c>
      <c r="Y93" s="2"/>
      <c r="Z93" s="7">
        <f t="shared" si="52"/>
        <v>0</v>
      </c>
    </row>
    <row r="94" spans="1:26" s="26" customFormat="1" outlineLevel="1" collapsed="1" x14ac:dyDescent="0.25">
      <c r="A94" s="25"/>
      <c r="B94" s="12" t="str">
        <f>CONCATENATE("     ","Freight out/Postage                               ")</f>
        <v xml:space="preserve">     Freight out/Postage                               </v>
      </c>
      <c r="C94" s="12"/>
      <c r="D94" s="1">
        <f>SUM(OSRRefD22_6x_0)</f>
        <v>2675.75</v>
      </c>
      <c r="E94" s="1"/>
      <c r="F94" s="5">
        <f t="shared" si="45"/>
        <v>4.2009523990448702E-2</v>
      </c>
      <c r="G94" s="1"/>
      <c r="H94" s="1">
        <f>SUM(OSRRefH22_6x_0)</f>
        <v>1082.96</v>
      </c>
      <c r="I94" s="1"/>
      <c r="J94" s="5">
        <f t="shared" si="46"/>
        <v>1.7860520837301792E-2</v>
      </c>
      <c r="K94" s="1"/>
      <c r="L94" s="1">
        <f t="shared" si="47"/>
        <v>1592.79</v>
      </c>
      <c r="M94" s="1"/>
      <c r="N94" s="5">
        <f t="shared" si="48"/>
        <v>1.470774543842801</v>
      </c>
      <c r="O94" s="12"/>
      <c r="P94" s="1">
        <f>SUM(OSRRefP22_6x_0)</f>
        <v>26453.74</v>
      </c>
      <c r="Q94" s="1"/>
      <c r="R94" s="5">
        <f t="shared" si="49"/>
        <v>9.6429288661587093E-3</v>
      </c>
      <c r="S94" s="1"/>
      <c r="T94" s="1">
        <f>SUM(OSRRefT22_6x_0)</f>
        <v>23849.200000000001</v>
      </c>
      <c r="U94" s="1"/>
      <c r="V94" s="5">
        <f t="shared" si="50"/>
        <v>4.8383049960905623E-3</v>
      </c>
      <c r="W94" s="1"/>
      <c r="X94" s="1">
        <f t="shared" si="51"/>
        <v>2604.5400000000009</v>
      </c>
      <c r="Y94" s="1"/>
      <c r="Z94" s="5">
        <f t="shared" si="52"/>
        <v>0.10920869463126649</v>
      </c>
    </row>
    <row r="95" spans="1:26" s="23" customFormat="1" hidden="1" outlineLevel="2" x14ac:dyDescent="0.25">
      <c r="A95" s="27"/>
      <c r="B95" s="10" t="str">
        <f>CONCATENATE("          ", "6305", " - ", "FREIGHT OUT")</f>
        <v xml:space="preserve">          6305 - FREIGHT OUT</v>
      </c>
      <c r="C95" s="10"/>
      <c r="D95" s="6">
        <v>2675.75</v>
      </c>
      <c r="E95" s="2"/>
      <c r="F95" s="7">
        <f t="shared" si="45"/>
        <v>4.2009523990448702E-2</v>
      </c>
      <c r="G95" s="2"/>
      <c r="H95" s="6">
        <v>1082.96</v>
      </c>
      <c r="I95" s="2"/>
      <c r="J95" s="7">
        <f t="shared" si="46"/>
        <v>1.7860520837301792E-2</v>
      </c>
      <c r="K95" s="2"/>
      <c r="L95" s="6">
        <f t="shared" si="47"/>
        <v>1592.79</v>
      </c>
      <c r="M95" s="2"/>
      <c r="N95" s="7">
        <f t="shared" si="48"/>
        <v>1.470774543842801</v>
      </c>
      <c r="O95" s="10"/>
      <c r="P95" s="6">
        <v>26453.24</v>
      </c>
      <c r="Q95" s="2"/>
      <c r="R95" s="7">
        <f t="shared" si="49"/>
        <v>9.6427466059401876E-3</v>
      </c>
      <c r="S95" s="2"/>
      <c r="T95" s="6">
        <v>23847.25</v>
      </c>
      <c r="U95" s="2"/>
      <c r="V95" s="7">
        <f t="shared" si="50"/>
        <v>4.8379093981358139E-3</v>
      </c>
      <c r="W95" s="2"/>
      <c r="X95" s="6">
        <f t="shared" si="51"/>
        <v>2605.9900000000016</v>
      </c>
      <c r="Y95" s="2"/>
      <c r="Z95" s="7">
        <f t="shared" si="52"/>
        <v>0.10927842833031069</v>
      </c>
    </row>
    <row r="96" spans="1:26" s="23" customFormat="1" hidden="1" outlineLevel="2" x14ac:dyDescent="0.25">
      <c r="A96" s="27"/>
      <c r="B96" s="10" t="str">
        <f>CONCATENATE("          ", "6307", " - ", "POSTAGE")</f>
        <v xml:space="preserve">          6307 - POSTAGE</v>
      </c>
      <c r="C96" s="10"/>
      <c r="D96" s="6"/>
      <c r="E96" s="2"/>
      <c r="F96" s="7">
        <f t="shared" si="45"/>
        <v>0</v>
      </c>
      <c r="G96" s="2"/>
      <c r="H96" s="6"/>
      <c r="I96" s="2"/>
      <c r="J96" s="7">
        <f t="shared" si="46"/>
        <v>0</v>
      </c>
      <c r="K96" s="2"/>
      <c r="L96" s="6">
        <f t="shared" si="47"/>
        <v>0</v>
      </c>
      <c r="M96" s="2"/>
      <c r="N96" s="7">
        <f t="shared" si="48"/>
        <v>0</v>
      </c>
      <c r="O96" s="10"/>
      <c r="P96" s="6">
        <v>0.5</v>
      </c>
      <c r="Q96" s="2"/>
      <c r="R96" s="7">
        <f t="shared" si="49"/>
        <v>1.8226021852030578E-7</v>
      </c>
      <c r="S96" s="2"/>
      <c r="T96" s="6">
        <v>1.95</v>
      </c>
      <c r="U96" s="2"/>
      <c r="V96" s="7">
        <f t="shared" si="50"/>
        <v>3.9559795474802492E-7</v>
      </c>
      <c r="W96" s="2"/>
      <c r="X96" s="6">
        <f t="shared" si="51"/>
        <v>-1.45</v>
      </c>
      <c r="Y96" s="2"/>
      <c r="Z96" s="7">
        <f t="shared" si="52"/>
        <v>-0.74358974358974361</v>
      </c>
    </row>
    <row r="97" spans="1:26" s="26" customFormat="1" outlineLevel="1" collapsed="1" x14ac:dyDescent="0.25">
      <c r="A97" s="25"/>
      <c r="B97" s="12" t="str">
        <f>CONCATENATE("     ","General                                           ")</f>
        <v xml:space="preserve">     General                                           </v>
      </c>
      <c r="C97" s="12"/>
      <c r="D97" s="1">
        <f>SUM(OSRRefD22_7x_0)</f>
        <v>0</v>
      </c>
      <c r="E97" s="1"/>
      <c r="F97" s="5">
        <f t="shared" ref="F97:F101" si="53">IF(D$12=0,0,D97/D$12)</f>
        <v>0</v>
      </c>
      <c r="G97" s="1"/>
      <c r="H97" s="1">
        <f>SUM(OSRRefH22_7x_0)</f>
        <v>0</v>
      </c>
      <c r="I97" s="1"/>
      <c r="J97" s="5">
        <f t="shared" ref="J97:J101" si="54">IF(H$12=0,0,H97/H$12)</f>
        <v>0</v>
      </c>
      <c r="K97" s="1"/>
      <c r="L97" s="1">
        <f t="shared" ref="L97:L101" si="55">+D97-H97</f>
        <v>0</v>
      </c>
      <c r="M97" s="1"/>
      <c r="N97" s="5">
        <f t="shared" ref="N97:N101" si="56">IF(H97=0,0,L97/H97)</f>
        <v>0</v>
      </c>
      <c r="O97" s="12"/>
      <c r="P97" s="1">
        <f>SUM(OSRRefP22_7x_0)</f>
        <v>-1043.02</v>
      </c>
      <c r="Q97" s="1"/>
      <c r="R97" s="5">
        <f t="shared" ref="R97:R101" si="57">IF(P$12=0,0,P97/P$12)</f>
        <v>-3.8020210624209867E-4</v>
      </c>
      <c r="S97" s="1"/>
      <c r="T97" s="1">
        <f>SUM(OSRRefT22_7x_0)</f>
        <v>7593.03</v>
      </c>
      <c r="U97" s="1"/>
      <c r="V97" s="5">
        <f t="shared" ref="V97:V101" si="58">IF(T$12=0,0,T97/T$12)</f>
        <v>1.5404036606873823E-3</v>
      </c>
      <c r="W97" s="1"/>
      <c r="X97" s="1">
        <f t="shared" ref="X97:X101" si="59">+P97-T97</f>
        <v>-8636.0499999999993</v>
      </c>
      <c r="Y97" s="1"/>
      <c r="Z97" s="5">
        <f t="shared" ref="Z97:Z101" si="60">IF(T97=0,0,X97/T97)</f>
        <v>-1.1373654522634573</v>
      </c>
    </row>
    <row r="98" spans="1:26" s="23" customFormat="1" hidden="1" outlineLevel="2" x14ac:dyDescent="0.25">
      <c r="A98" s="27"/>
      <c r="B98" s="10" t="str">
        <f>CONCATENATE("          ", "6279", " - ", "GENERAL EXPENSE")</f>
        <v xml:space="preserve">          6279 - GENERAL EXPENSE</v>
      </c>
      <c r="C98" s="10"/>
      <c r="D98" s="6"/>
      <c r="E98" s="2"/>
      <c r="F98" s="7">
        <f t="shared" si="53"/>
        <v>0</v>
      </c>
      <c r="G98" s="2"/>
      <c r="H98" s="6"/>
      <c r="I98" s="2"/>
      <c r="J98" s="7">
        <f t="shared" si="54"/>
        <v>0</v>
      </c>
      <c r="K98" s="2"/>
      <c r="L98" s="6">
        <f t="shared" si="55"/>
        <v>0</v>
      </c>
      <c r="M98" s="2"/>
      <c r="N98" s="7">
        <f t="shared" si="56"/>
        <v>0</v>
      </c>
      <c r="O98" s="10"/>
      <c r="P98" s="6">
        <v>-1043.02</v>
      </c>
      <c r="Q98" s="2"/>
      <c r="R98" s="7">
        <f t="shared" si="57"/>
        <v>-3.8020210624209867E-4</v>
      </c>
      <c r="S98" s="2"/>
      <c r="T98" s="6">
        <v>7593.03</v>
      </c>
      <c r="U98" s="2"/>
      <c r="V98" s="7">
        <f t="shared" si="58"/>
        <v>1.5404036606873823E-3</v>
      </c>
      <c r="W98" s="2"/>
      <c r="X98" s="6">
        <f t="shared" si="59"/>
        <v>-8636.0499999999993</v>
      </c>
      <c r="Y98" s="2"/>
      <c r="Z98" s="7">
        <f t="shared" si="60"/>
        <v>-1.1373654522634573</v>
      </c>
    </row>
    <row r="99" spans="1:26" s="26" customFormat="1" outlineLevel="1" collapsed="1" x14ac:dyDescent="0.25">
      <c r="A99" s="25"/>
      <c r="B99" s="12" t="str">
        <f>CONCATENATE("     ","Inventory Adjustment                              ")</f>
        <v xml:space="preserve">     Inventory Adjustment                              </v>
      </c>
      <c r="C99" s="12"/>
      <c r="D99" s="1">
        <f>SUM(OSRRefD22_8x_0)</f>
        <v>1000</v>
      </c>
      <c r="E99" s="1"/>
      <c r="F99" s="5">
        <f t="shared" si="53"/>
        <v>1.5700093054451539E-2</v>
      </c>
      <c r="G99" s="1"/>
      <c r="H99" s="1">
        <f>SUM(OSRRefH22_8x_0)</f>
        <v>1000</v>
      </c>
      <c r="I99" s="1"/>
      <c r="J99" s="5">
        <f t="shared" si="54"/>
        <v>1.6492318125601861E-2</v>
      </c>
      <c r="K99" s="1"/>
      <c r="L99" s="1">
        <f t="shared" si="55"/>
        <v>0</v>
      </c>
      <c r="M99" s="1"/>
      <c r="N99" s="5">
        <f t="shared" si="56"/>
        <v>0</v>
      </c>
      <c r="O99" s="12"/>
      <c r="P99" s="1">
        <f>SUM(OSRRefP22_8x_0)</f>
        <v>16000</v>
      </c>
      <c r="Q99" s="1"/>
      <c r="R99" s="5">
        <f t="shared" si="57"/>
        <v>5.8323269926497849E-3</v>
      </c>
      <c r="S99" s="1"/>
      <c r="T99" s="1">
        <f>SUM(OSRRefT22_8x_0)</f>
        <v>16800</v>
      </c>
      <c r="U99" s="1"/>
      <c r="V99" s="5">
        <f t="shared" si="58"/>
        <v>3.4082285332137532E-3</v>
      </c>
      <c r="W99" s="1"/>
      <c r="X99" s="1">
        <f t="shared" si="59"/>
        <v>-800</v>
      </c>
      <c r="Y99" s="1"/>
      <c r="Z99" s="5">
        <f t="shared" si="60"/>
        <v>-4.7619047619047616E-2</v>
      </c>
    </row>
    <row r="100" spans="1:26" s="23" customFormat="1" hidden="1" outlineLevel="2" x14ac:dyDescent="0.25">
      <c r="A100" s="27"/>
      <c r="B100" s="10" t="str">
        <f>CONCATENATE("          ", "6408", " - ", "INVENTORY ADJUSTMENT")</f>
        <v xml:space="preserve">          6408 - INVENTORY ADJUSTMENT</v>
      </c>
      <c r="C100" s="10"/>
      <c r="D100" s="6">
        <v>1000</v>
      </c>
      <c r="E100" s="2"/>
      <c r="F100" s="7">
        <f t="shared" si="53"/>
        <v>1.5700093054451539E-2</v>
      </c>
      <c r="G100" s="2"/>
      <c r="H100" s="6">
        <v>1000</v>
      </c>
      <c r="I100" s="2"/>
      <c r="J100" s="7">
        <f t="shared" si="54"/>
        <v>1.6492318125601861E-2</v>
      </c>
      <c r="K100" s="2"/>
      <c r="L100" s="6">
        <f t="shared" si="55"/>
        <v>0</v>
      </c>
      <c r="M100" s="2"/>
      <c r="N100" s="7">
        <f t="shared" si="56"/>
        <v>0</v>
      </c>
      <c r="O100" s="10"/>
      <c r="P100" s="6">
        <v>16000</v>
      </c>
      <c r="Q100" s="2"/>
      <c r="R100" s="7">
        <f t="shared" si="57"/>
        <v>5.8323269926497849E-3</v>
      </c>
      <c r="S100" s="2"/>
      <c r="T100" s="6">
        <v>16800</v>
      </c>
      <c r="U100" s="2"/>
      <c r="V100" s="7">
        <f t="shared" si="58"/>
        <v>3.4082285332137532E-3</v>
      </c>
      <c r="W100" s="2"/>
      <c r="X100" s="6">
        <f t="shared" si="59"/>
        <v>-800</v>
      </c>
      <c r="Y100" s="2"/>
      <c r="Z100" s="7">
        <f t="shared" si="60"/>
        <v>-4.7619047619047616E-2</v>
      </c>
    </row>
    <row r="101" spans="1:26" s="23" customFormat="1" hidden="1" outlineLevel="2" x14ac:dyDescent="0.25">
      <c r="A101" s="27"/>
      <c r="B101" s="10" t="str">
        <f>CONCATENATE("          ", "7701", " - ", "INV. SHRINKAGE-NEW TEXT")</f>
        <v xml:space="preserve">          7701 - INV. SHRINKAGE-NEW TEXT</v>
      </c>
      <c r="C101" s="10"/>
      <c r="D101" s="6"/>
      <c r="E101" s="2"/>
      <c r="F101" s="7">
        <f t="shared" si="53"/>
        <v>0</v>
      </c>
      <c r="G101" s="2"/>
      <c r="H101" s="6"/>
      <c r="I101" s="2"/>
      <c r="J101" s="7">
        <f t="shared" si="54"/>
        <v>0</v>
      </c>
      <c r="K101" s="2"/>
      <c r="L101" s="6">
        <f t="shared" si="55"/>
        <v>0</v>
      </c>
      <c r="M101" s="2"/>
      <c r="N101" s="7">
        <f t="shared" si="56"/>
        <v>0</v>
      </c>
      <c r="O101" s="10"/>
      <c r="P101" s="6"/>
      <c r="Q101" s="2"/>
      <c r="R101" s="7">
        <f t="shared" si="57"/>
        <v>0</v>
      </c>
      <c r="S101" s="2"/>
      <c r="T101" s="6">
        <v>0</v>
      </c>
      <c r="U101" s="2"/>
      <c r="V101" s="7">
        <f t="shared" si="58"/>
        <v>0</v>
      </c>
      <c r="W101" s="2"/>
      <c r="X101" s="6">
        <f t="shared" si="59"/>
        <v>0</v>
      </c>
      <c r="Y101" s="2"/>
      <c r="Z101" s="7">
        <f t="shared" si="60"/>
        <v>0</v>
      </c>
    </row>
    <row r="102" spans="1:26" s="26" customFormat="1" outlineLevel="1" collapsed="1" x14ac:dyDescent="0.25">
      <c r="A102" s="25"/>
      <c r="B102" s="12" t="str">
        <f>CONCATENATE("     ","Repair and Maintenance                            ")</f>
        <v xml:space="preserve">     Repair and Maintenance                            </v>
      </c>
      <c r="C102" s="12"/>
      <c r="D102" s="1">
        <f>SUM(OSRRefD22_9x_0)</f>
        <v>14.74</v>
      </c>
      <c r="E102" s="1"/>
      <c r="F102" s="5">
        <f t="shared" ref="F102:F104" si="61">IF(D$12=0,0,D102/D$12)</f>
        <v>2.3141937162261567E-4</v>
      </c>
      <c r="G102" s="1"/>
      <c r="H102" s="1">
        <f>SUM(OSRRefH22_9x_0)</f>
        <v>45.72</v>
      </c>
      <c r="I102" s="1"/>
      <c r="J102" s="5">
        <f t="shared" ref="J102:J104" si="62">IF(H$12=0,0,H102/H$12)</f>
        <v>7.5402878470251706E-4</v>
      </c>
      <c r="K102" s="1"/>
      <c r="L102" s="1">
        <f t="shared" ref="L102:L104" si="63">+D102-H102</f>
        <v>-30.979999999999997</v>
      </c>
      <c r="M102" s="1"/>
      <c r="N102" s="5">
        <f t="shared" ref="N102:N104" si="64">IF(H102=0,0,L102/H102)</f>
        <v>-0.67760279965004366</v>
      </c>
      <c r="O102" s="12"/>
      <c r="P102" s="1">
        <f>SUM(OSRRefP22_9x_0)</f>
        <v>476.99</v>
      </c>
      <c r="Q102" s="1"/>
      <c r="R102" s="5">
        <f t="shared" ref="R102:R104" si="65">IF(P$12=0,0,P102/P$12)</f>
        <v>1.7387260326400133E-4</v>
      </c>
      <c r="S102" s="1"/>
      <c r="T102" s="1">
        <f>SUM(OSRRefT22_9x_0)</f>
        <v>288.17</v>
      </c>
      <c r="U102" s="1"/>
      <c r="V102" s="5">
        <f t="shared" ref="V102:V104" si="66">IF(T$12=0,0,T102/T$12)</f>
        <v>5.8461262881917096E-5</v>
      </c>
      <c r="W102" s="1"/>
      <c r="X102" s="1">
        <f t="shared" ref="X102:X104" si="67">+P102-T102</f>
        <v>188.82</v>
      </c>
      <c r="Y102" s="1"/>
      <c r="Z102" s="5">
        <f t="shared" ref="Z102:Z104" si="68">IF(T102=0,0,X102/T102)</f>
        <v>0.65523822743519444</v>
      </c>
    </row>
    <row r="103" spans="1:26" s="23" customFormat="1" hidden="1" outlineLevel="2" x14ac:dyDescent="0.25">
      <c r="A103" s="27"/>
      <c r="B103" s="10" t="str">
        <f>CONCATENATE("          ", "6373", " - ", "MAINTENANCE CONTRACTS")</f>
        <v xml:space="preserve">          6373 - MAINTENANCE CONTRACTS</v>
      </c>
      <c r="C103" s="10"/>
      <c r="D103" s="6">
        <v>14.74</v>
      </c>
      <c r="E103" s="2"/>
      <c r="F103" s="7">
        <f t="shared" si="61"/>
        <v>2.3141937162261567E-4</v>
      </c>
      <c r="G103" s="2"/>
      <c r="H103" s="6">
        <v>45.72</v>
      </c>
      <c r="I103" s="2"/>
      <c r="J103" s="7">
        <f t="shared" si="62"/>
        <v>7.5402878470251706E-4</v>
      </c>
      <c r="K103" s="2"/>
      <c r="L103" s="6">
        <f t="shared" si="63"/>
        <v>-30.979999999999997</v>
      </c>
      <c r="M103" s="2"/>
      <c r="N103" s="7">
        <f t="shared" si="64"/>
        <v>-0.67760279965004366</v>
      </c>
      <c r="O103" s="10"/>
      <c r="P103" s="6">
        <v>219.48</v>
      </c>
      <c r="Q103" s="2"/>
      <c r="R103" s="7">
        <f t="shared" si="65"/>
        <v>8.0004945521673423E-5</v>
      </c>
      <c r="S103" s="2"/>
      <c r="T103" s="6">
        <v>288.17</v>
      </c>
      <c r="U103" s="2"/>
      <c r="V103" s="7">
        <f t="shared" si="66"/>
        <v>5.8461262881917096E-5</v>
      </c>
      <c r="W103" s="2"/>
      <c r="X103" s="6">
        <f t="shared" si="67"/>
        <v>-68.690000000000026</v>
      </c>
      <c r="Y103" s="2"/>
      <c r="Z103" s="7">
        <f t="shared" si="68"/>
        <v>-0.23836624214873173</v>
      </c>
    </row>
    <row r="104" spans="1:26" s="23" customFormat="1" hidden="1" outlineLevel="2" x14ac:dyDescent="0.25">
      <c r="A104" s="27"/>
      <c r="B104" s="10" t="str">
        <f>CONCATENATE("          ", "6375", " - ", "OUTSIDE REPAIRS &amp; MAINTENANCE")</f>
        <v xml:space="preserve">          6375 - OUTSIDE REPAIRS &amp; MAINTENANCE</v>
      </c>
      <c r="C104" s="10"/>
      <c r="D104" s="6"/>
      <c r="E104" s="2"/>
      <c r="F104" s="7">
        <f t="shared" si="61"/>
        <v>0</v>
      </c>
      <c r="G104" s="2"/>
      <c r="H104" s="6"/>
      <c r="I104" s="2"/>
      <c r="J104" s="7">
        <f t="shared" si="62"/>
        <v>0</v>
      </c>
      <c r="K104" s="2"/>
      <c r="L104" s="6">
        <f t="shared" si="63"/>
        <v>0</v>
      </c>
      <c r="M104" s="2"/>
      <c r="N104" s="7">
        <f t="shared" si="64"/>
        <v>0</v>
      </c>
      <c r="O104" s="10"/>
      <c r="P104" s="6">
        <v>257.51</v>
      </c>
      <c r="Q104" s="2"/>
      <c r="R104" s="7">
        <f t="shared" si="65"/>
        <v>9.3867657742327876E-5</v>
      </c>
      <c r="S104" s="2"/>
      <c r="T104" s="6"/>
      <c r="U104" s="2"/>
      <c r="V104" s="7">
        <f t="shared" si="66"/>
        <v>0</v>
      </c>
      <c r="W104" s="2"/>
      <c r="X104" s="6">
        <f t="shared" si="67"/>
        <v>257.51</v>
      </c>
      <c r="Y104" s="2"/>
      <c r="Z104" s="7">
        <f t="shared" si="68"/>
        <v>0</v>
      </c>
    </row>
    <row r="105" spans="1:26" s="26" customFormat="1" outlineLevel="1" collapsed="1" x14ac:dyDescent="0.25">
      <c r="A105" s="25"/>
      <c r="B105" s="12" t="str">
        <f>CONCATENATE("     ","Subscriptions &amp; Dues                              ")</f>
        <v xml:space="preserve">     Subscriptions &amp; Dues                              </v>
      </c>
      <c r="C105" s="12"/>
      <c r="D105" s="1">
        <f>SUM(OSRRefD22_10x_0)</f>
        <v>554.32000000000005</v>
      </c>
      <c r="E105" s="1"/>
      <c r="F105" s="5">
        <f t="shared" ref="F105:F107" si="69">IF(D$12=0,0,D105/D$12)</f>
        <v>8.7028755819435772E-3</v>
      </c>
      <c r="G105" s="1"/>
      <c r="H105" s="1">
        <f>SUM(OSRRefH22_10x_0)</f>
        <v>260</v>
      </c>
      <c r="I105" s="1"/>
      <c r="J105" s="5">
        <f t="shared" ref="J105:J107" si="70">IF(H$12=0,0,H105/H$12)</f>
        <v>4.2880027126564833E-3</v>
      </c>
      <c r="K105" s="1"/>
      <c r="L105" s="1">
        <f t="shared" ref="L105:L107" si="71">+D105-H105</f>
        <v>294.32000000000005</v>
      </c>
      <c r="M105" s="1"/>
      <c r="N105" s="5">
        <f t="shared" ref="N105:N107" si="72">IF(H105=0,0,L105/H105)</f>
        <v>1.1320000000000001</v>
      </c>
      <c r="O105" s="12"/>
      <c r="P105" s="1">
        <f>SUM(OSRRefP22_10x_0)</f>
        <v>5209.66</v>
      </c>
      <c r="Q105" s="1"/>
      <c r="R105" s="5">
        <f t="shared" ref="R105:R107" si="73">IF(P$12=0,0,P105/P$12)</f>
        <v>1.8990275400329925E-3</v>
      </c>
      <c r="S105" s="1"/>
      <c r="T105" s="1">
        <f>SUM(OSRRefT22_10x_0)</f>
        <v>5310.5599999999995</v>
      </c>
      <c r="U105" s="1"/>
      <c r="V105" s="5">
        <f t="shared" ref="V105:V107" si="74">IF(T$12=0,0,T105/T$12)</f>
        <v>1.0773572690085493E-3</v>
      </c>
      <c r="W105" s="1"/>
      <c r="X105" s="1">
        <f t="shared" ref="X105:X107" si="75">+P105-T105</f>
        <v>-100.89999999999964</v>
      </c>
      <c r="Y105" s="1"/>
      <c r="Z105" s="5">
        <f t="shared" ref="Z105:Z107" si="76">IF(T105=0,0,X105/T105)</f>
        <v>-1.8999879485402604E-2</v>
      </c>
    </row>
    <row r="106" spans="1:26" s="23" customFormat="1" hidden="1" outlineLevel="2" x14ac:dyDescent="0.25">
      <c r="A106" s="27"/>
      <c r="B106" s="10" t="str">
        <f>CONCATENATE("          ", "6258", " - ", "MEMBERSHIP DUES")</f>
        <v xml:space="preserve">          6258 - MEMBERSHIP DUES</v>
      </c>
      <c r="C106" s="10"/>
      <c r="D106" s="6">
        <v>554.32000000000005</v>
      </c>
      <c r="E106" s="2"/>
      <c r="F106" s="7">
        <f t="shared" si="69"/>
        <v>8.7028755819435772E-3</v>
      </c>
      <c r="G106" s="2"/>
      <c r="H106" s="6">
        <v>260</v>
      </c>
      <c r="I106" s="2"/>
      <c r="J106" s="7">
        <f t="shared" si="70"/>
        <v>4.2880027126564833E-3</v>
      </c>
      <c r="K106" s="2"/>
      <c r="L106" s="6">
        <f t="shared" si="71"/>
        <v>294.32000000000005</v>
      </c>
      <c r="M106" s="2"/>
      <c r="N106" s="7">
        <f t="shared" si="72"/>
        <v>1.1320000000000001</v>
      </c>
      <c r="O106" s="10"/>
      <c r="P106" s="6">
        <v>3357.58</v>
      </c>
      <c r="Q106" s="2"/>
      <c r="R106" s="7">
        <f t="shared" si="73"/>
        <v>1.2239065289988166E-3</v>
      </c>
      <c r="S106" s="2"/>
      <c r="T106" s="6">
        <v>3458.48</v>
      </c>
      <c r="U106" s="2"/>
      <c r="V106" s="7">
        <f t="shared" si="74"/>
        <v>7.0162441771125597E-4</v>
      </c>
      <c r="W106" s="2"/>
      <c r="X106" s="6">
        <f t="shared" si="75"/>
        <v>-100.90000000000009</v>
      </c>
      <c r="Y106" s="2"/>
      <c r="Z106" s="7">
        <f t="shared" si="76"/>
        <v>-2.9174666327403974E-2</v>
      </c>
    </row>
    <row r="107" spans="1:26" s="23" customFormat="1" hidden="1" outlineLevel="2" x14ac:dyDescent="0.25">
      <c r="A107" s="27"/>
      <c r="B107" s="10" t="str">
        <f>CONCATENATE("          ", "6275", " - ", "SUBSCRIPTIONS")</f>
        <v xml:space="preserve">          6275 - SUBSCRIPTIONS</v>
      </c>
      <c r="C107" s="10"/>
      <c r="D107" s="6"/>
      <c r="E107" s="2"/>
      <c r="F107" s="7">
        <f t="shared" si="69"/>
        <v>0</v>
      </c>
      <c r="G107" s="2"/>
      <c r="H107" s="6"/>
      <c r="I107" s="2"/>
      <c r="J107" s="7">
        <f t="shared" si="70"/>
        <v>0</v>
      </c>
      <c r="K107" s="2"/>
      <c r="L107" s="6">
        <f t="shared" si="71"/>
        <v>0</v>
      </c>
      <c r="M107" s="2"/>
      <c r="N107" s="7">
        <f t="shared" si="72"/>
        <v>0</v>
      </c>
      <c r="O107" s="10"/>
      <c r="P107" s="6">
        <v>1852.08</v>
      </c>
      <c r="Q107" s="2"/>
      <c r="R107" s="7">
        <f t="shared" si="73"/>
        <v>6.7512101103417584E-4</v>
      </c>
      <c r="S107" s="2"/>
      <c r="T107" s="6">
        <v>1852.08</v>
      </c>
      <c r="U107" s="2"/>
      <c r="V107" s="7">
        <f t="shared" si="74"/>
        <v>3.7573285129729328E-4</v>
      </c>
      <c r="W107" s="2"/>
      <c r="X107" s="6">
        <f t="shared" si="75"/>
        <v>0</v>
      </c>
      <c r="Y107" s="2"/>
      <c r="Z107" s="7">
        <f t="shared" si="76"/>
        <v>0</v>
      </c>
    </row>
    <row r="108" spans="1:26" s="26" customFormat="1" outlineLevel="1" collapsed="1" x14ac:dyDescent="0.25">
      <c r="A108" s="25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SUM(OSRRefD22_11x_0)</f>
        <v>-7.0600000000000023</v>
      </c>
      <c r="E108" s="1"/>
      <c r="F108" s="5">
        <f t="shared" ref="F108:F111" si="77">IF(D$12=0,0,D108/D$12)</f>
        <v>-1.1084265696442789E-4</v>
      </c>
      <c r="G108" s="1"/>
      <c r="H108" s="1">
        <f>SUM(OSRRefH22_11x_0)</f>
        <v>772.5</v>
      </c>
      <c r="I108" s="1"/>
      <c r="J108" s="5">
        <f t="shared" ref="J108:J111" si="78">IF(H$12=0,0,H108/H$12)</f>
        <v>1.2740315752027437E-2</v>
      </c>
      <c r="K108" s="1"/>
      <c r="L108" s="1">
        <f t="shared" ref="L108:L111" si="79">+D108-H108</f>
        <v>-779.56</v>
      </c>
      <c r="M108" s="1"/>
      <c r="N108" s="5">
        <f t="shared" ref="N108:N111" si="80">IF(H108=0,0,L108/H108)</f>
        <v>-1.0091391585760516</v>
      </c>
      <c r="O108" s="12"/>
      <c r="P108" s="1">
        <f>SUM(OSRRefP22_11x_0)</f>
        <v>5366.37</v>
      </c>
      <c r="Q108" s="1"/>
      <c r="R108" s="5">
        <f t="shared" ref="R108:R111" si="81">IF(P$12=0,0,P108/P$12)</f>
        <v>1.9561515377216265E-3</v>
      </c>
      <c r="S108" s="1"/>
      <c r="T108" s="1">
        <f>SUM(OSRRefT22_11x_0)</f>
        <v>13520.43</v>
      </c>
      <c r="U108" s="1"/>
      <c r="V108" s="5">
        <f t="shared" ref="V108:V111" si="82">IF(T$12=0,0,T108/T$12)</f>
        <v>2.7428997206737633E-3</v>
      </c>
      <c r="W108" s="1"/>
      <c r="X108" s="1">
        <f t="shared" ref="X108:X111" si="83">+P108-T108</f>
        <v>-8154.06</v>
      </c>
      <c r="Y108" s="1"/>
      <c r="Z108" s="5">
        <f t="shared" ref="Z108:Z111" si="84">IF(T108=0,0,X108/T108)</f>
        <v>-0.60309176557254462</v>
      </c>
    </row>
    <row r="109" spans="1:26" s="23" customFormat="1" hidden="1" outlineLevel="2" x14ac:dyDescent="0.25">
      <c r="A109" s="27"/>
      <c r="B109" s="10" t="str">
        <f>CONCATENATE("          ", "6241", " - ", "OFFICE EXPENSE")</f>
        <v xml:space="preserve">          6241 - OFFICE EXPENSE</v>
      </c>
      <c r="C109" s="10"/>
      <c r="D109" s="6">
        <v>58.08</v>
      </c>
      <c r="E109" s="2"/>
      <c r="F109" s="7">
        <f t="shared" si="77"/>
        <v>9.1186140460254529E-4</v>
      </c>
      <c r="G109" s="2"/>
      <c r="H109" s="6">
        <v>250.63</v>
      </c>
      <c r="I109" s="2"/>
      <c r="J109" s="7">
        <f t="shared" si="78"/>
        <v>4.1334696918195945E-3</v>
      </c>
      <c r="K109" s="2"/>
      <c r="L109" s="6">
        <f t="shared" si="79"/>
        <v>-192.55</v>
      </c>
      <c r="M109" s="2"/>
      <c r="N109" s="7">
        <f t="shared" si="80"/>
        <v>-0.76826397478354558</v>
      </c>
      <c r="O109" s="10"/>
      <c r="P109" s="6">
        <v>1624.75</v>
      </c>
      <c r="Q109" s="2"/>
      <c r="R109" s="7">
        <f t="shared" si="81"/>
        <v>5.9225458008173369E-4</v>
      </c>
      <c r="S109" s="2"/>
      <c r="T109" s="6">
        <v>4278.49</v>
      </c>
      <c r="U109" s="2"/>
      <c r="V109" s="7">
        <f t="shared" si="82"/>
        <v>8.6798045815891128E-4</v>
      </c>
      <c r="W109" s="2"/>
      <c r="X109" s="6">
        <f t="shared" si="83"/>
        <v>-2653.74</v>
      </c>
      <c r="Y109" s="2"/>
      <c r="Z109" s="7">
        <f t="shared" si="84"/>
        <v>-0.62025153734144522</v>
      </c>
    </row>
    <row r="110" spans="1:26" s="23" customFormat="1" hidden="1" outlineLevel="2" x14ac:dyDescent="0.25">
      <c r="A110" s="27"/>
      <c r="B110" s="10" t="str">
        <f>CONCATENATE("          ", "6245", " - ", "PRINTING")</f>
        <v xml:space="preserve">          6245 - PRINTING</v>
      </c>
      <c r="C110" s="10"/>
      <c r="D110" s="6"/>
      <c r="E110" s="2"/>
      <c r="F110" s="7">
        <f t="shared" si="77"/>
        <v>0</v>
      </c>
      <c r="G110" s="2"/>
      <c r="H110" s="6"/>
      <c r="I110" s="2"/>
      <c r="J110" s="7">
        <f t="shared" si="78"/>
        <v>0</v>
      </c>
      <c r="K110" s="2"/>
      <c r="L110" s="6">
        <f t="shared" si="79"/>
        <v>0</v>
      </c>
      <c r="M110" s="2"/>
      <c r="N110" s="7">
        <f t="shared" si="80"/>
        <v>0</v>
      </c>
      <c r="O110" s="10"/>
      <c r="P110" s="6"/>
      <c r="Q110" s="2"/>
      <c r="R110" s="7">
        <f t="shared" si="81"/>
        <v>0</v>
      </c>
      <c r="S110" s="2"/>
      <c r="T110" s="6">
        <v>5198.58</v>
      </c>
      <c r="U110" s="2"/>
      <c r="V110" s="7">
        <f t="shared" si="82"/>
        <v>1.0546398028687114E-3</v>
      </c>
      <c r="W110" s="2"/>
      <c r="X110" s="6">
        <f t="shared" si="83"/>
        <v>-5198.58</v>
      </c>
      <c r="Y110" s="2"/>
      <c r="Z110" s="7">
        <f t="shared" si="84"/>
        <v>-1</v>
      </c>
    </row>
    <row r="111" spans="1:26" s="23" customFormat="1" hidden="1" outlineLevel="2" x14ac:dyDescent="0.25">
      <c r="A111" s="27"/>
      <c r="B111" s="10" t="str">
        <f>CONCATENATE("          ", "6247", " - ", "STORE SUPPLIES")</f>
        <v xml:space="preserve">          6247 - STORE SUPPLIES</v>
      </c>
      <c r="C111" s="10"/>
      <c r="D111" s="6">
        <v>-65.14</v>
      </c>
      <c r="E111" s="2"/>
      <c r="F111" s="7">
        <f t="shared" si="77"/>
        <v>-1.0227040615669732E-3</v>
      </c>
      <c r="G111" s="2"/>
      <c r="H111" s="6">
        <v>521.87</v>
      </c>
      <c r="I111" s="2"/>
      <c r="J111" s="7">
        <f t="shared" si="78"/>
        <v>8.6068460602078435E-3</v>
      </c>
      <c r="K111" s="2"/>
      <c r="L111" s="6">
        <f t="shared" si="79"/>
        <v>-587.01</v>
      </c>
      <c r="M111" s="2"/>
      <c r="N111" s="7">
        <f t="shared" si="80"/>
        <v>-1.124820357560312</v>
      </c>
      <c r="O111" s="10"/>
      <c r="P111" s="6">
        <v>3741.62</v>
      </c>
      <c r="Q111" s="2"/>
      <c r="R111" s="7">
        <f t="shared" si="81"/>
        <v>1.363896957639893E-3</v>
      </c>
      <c r="S111" s="2"/>
      <c r="T111" s="6">
        <v>4043.36</v>
      </c>
      <c r="U111" s="2"/>
      <c r="V111" s="7">
        <f t="shared" si="82"/>
        <v>8.2027945964614052E-4</v>
      </c>
      <c r="W111" s="2"/>
      <c r="X111" s="6">
        <f t="shared" si="83"/>
        <v>-301.74000000000024</v>
      </c>
      <c r="Y111" s="2"/>
      <c r="Z111" s="7">
        <f t="shared" si="84"/>
        <v>-7.4626053579201518E-2</v>
      </c>
    </row>
    <row r="112" spans="1:26" s="26" customFormat="1" outlineLevel="1" collapsed="1" x14ac:dyDescent="0.25">
      <c r="A112" s="25"/>
      <c r="B112" s="12" t="str">
        <f>CONCATENATE("     ","Telephone/Data Lines                              ")</f>
        <v xml:space="preserve">     Telephone/Data Lines                              </v>
      </c>
      <c r="C112" s="12"/>
      <c r="D112" s="1">
        <f>SUM(OSRRefD22_12x_0)</f>
        <v>563.79999999999995</v>
      </c>
      <c r="E112" s="1"/>
      <c r="F112" s="5">
        <f t="shared" ref="F112:F114" si="85">IF(D$12=0,0,D112/D$12)</f>
        <v>8.8517124640997754E-3</v>
      </c>
      <c r="G112" s="1"/>
      <c r="H112" s="1">
        <f>SUM(OSRRefH22_12x_0)</f>
        <v>1113.05</v>
      </c>
      <c r="I112" s="1"/>
      <c r="J112" s="5">
        <f t="shared" ref="J112:J114" si="86">IF(H$12=0,0,H112/H$12)</f>
        <v>1.835677468970115E-2</v>
      </c>
      <c r="K112" s="1"/>
      <c r="L112" s="1">
        <f t="shared" ref="L112:L114" si="87">+D112-H112</f>
        <v>-549.25</v>
      </c>
      <c r="M112" s="1"/>
      <c r="N112" s="5">
        <f t="shared" ref="N112:N114" si="88">IF(H112=0,0,L112/H112)</f>
        <v>-0.4934639054849288</v>
      </c>
      <c r="O112" s="12"/>
      <c r="P112" s="1">
        <f>SUM(OSRRefP22_12x_0)</f>
        <v>8749.7000000000007</v>
      </c>
      <c r="Q112" s="1"/>
      <c r="R112" s="5">
        <f t="shared" ref="R112:R114" si="89">IF(P$12=0,0,P112/P$12)</f>
        <v>3.1894444679742393E-3</v>
      </c>
      <c r="S112" s="1"/>
      <c r="T112" s="1">
        <f>SUM(OSRRefT22_12x_0)</f>
        <v>8259.0400000000009</v>
      </c>
      <c r="U112" s="1"/>
      <c r="V112" s="5">
        <f t="shared" ref="V112:V114" si="90">IF(T$12=0,0,T112/T$12)</f>
        <v>1.6755176062472452E-3</v>
      </c>
      <c r="W112" s="1"/>
      <c r="X112" s="1">
        <f t="shared" ref="X112:X114" si="91">+P112-T112</f>
        <v>490.65999999999985</v>
      </c>
      <c r="Y112" s="1"/>
      <c r="Z112" s="5">
        <f t="shared" ref="Z112:Z114" si="92">IF(T112=0,0,X112/T112)</f>
        <v>5.9408841705573506E-2</v>
      </c>
    </row>
    <row r="113" spans="1:26" s="23" customFormat="1" hidden="1" outlineLevel="2" x14ac:dyDescent="0.25">
      <c r="A113" s="27"/>
      <c r="B113" s="10" t="str">
        <f>CONCATENATE("          ", "6303", " - ", "DATA PHONE LINES")</f>
        <v xml:space="preserve">          6303 - DATA PHONE LINES</v>
      </c>
      <c r="C113" s="10"/>
      <c r="D113" s="6"/>
      <c r="E113" s="2"/>
      <c r="F113" s="7">
        <f t="shared" si="85"/>
        <v>0</v>
      </c>
      <c r="G113" s="2"/>
      <c r="H113" s="6">
        <v>590</v>
      </c>
      <c r="I113" s="2"/>
      <c r="J113" s="7">
        <f t="shared" si="86"/>
        <v>9.7304676941050976E-3</v>
      </c>
      <c r="K113" s="2"/>
      <c r="L113" s="6">
        <f t="shared" si="87"/>
        <v>-590</v>
      </c>
      <c r="M113" s="2"/>
      <c r="N113" s="7">
        <f t="shared" si="88"/>
        <v>-1</v>
      </c>
      <c r="O113" s="10"/>
      <c r="P113" s="6">
        <v>3540</v>
      </c>
      <c r="Q113" s="2"/>
      <c r="R113" s="7">
        <f t="shared" si="89"/>
        <v>1.290402347123765E-3</v>
      </c>
      <c r="S113" s="2"/>
      <c r="T113" s="6">
        <v>2950</v>
      </c>
      <c r="U113" s="2"/>
      <c r="V113" s="7">
        <f t="shared" si="90"/>
        <v>5.9846870077265302E-4</v>
      </c>
      <c r="W113" s="2"/>
      <c r="X113" s="6">
        <f t="shared" si="91"/>
        <v>590</v>
      </c>
      <c r="Y113" s="2"/>
      <c r="Z113" s="7">
        <f t="shared" si="92"/>
        <v>0.2</v>
      </c>
    </row>
    <row r="114" spans="1:26" s="23" customFormat="1" hidden="1" outlineLevel="2" x14ac:dyDescent="0.25">
      <c r="A114" s="27"/>
      <c r="B114" s="10" t="str">
        <f>CONCATENATE("          ", "6309", " - ", "TELEPHONE")</f>
        <v xml:space="preserve">          6309 - TELEPHONE</v>
      </c>
      <c r="C114" s="10"/>
      <c r="D114" s="6">
        <v>563.79999999999995</v>
      </c>
      <c r="E114" s="2"/>
      <c r="F114" s="7">
        <f t="shared" si="85"/>
        <v>8.8517124640997754E-3</v>
      </c>
      <c r="G114" s="2"/>
      <c r="H114" s="6">
        <v>523.04999999999995</v>
      </c>
      <c r="I114" s="2"/>
      <c r="J114" s="7">
        <f t="shared" si="86"/>
        <v>8.626306995596052E-3</v>
      </c>
      <c r="K114" s="2"/>
      <c r="L114" s="6">
        <f t="shared" si="87"/>
        <v>40.75</v>
      </c>
      <c r="M114" s="2"/>
      <c r="N114" s="7">
        <f t="shared" si="88"/>
        <v>7.7908421757002203E-2</v>
      </c>
      <c r="O114" s="10"/>
      <c r="P114" s="6">
        <v>5209.7</v>
      </c>
      <c r="Q114" s="2"/>
      <c r="R114" s="7">
        <f t="shared" si="89"/>
        <v>1.899042120850474E-3</v>
      </c>
      <c r="S114" s="2"/>
      <c r="T114" s="6">
        <v>5309.04</v>
      </c>
      <c r="U114" s="2"/>
      <c r="V114" s="7">
        <f t="shared" si="90"/>
        <v>1.0770489054745919E-3</v>
      </c>
      <c r="W114" s="2"/>
      <c r="X114" s="6">
        <f t="shared" si="91"/>
        <v>-99.340000000000146</v>
      </c>
      <c r="Y114" s="2"/>
      <c r="Z114" s="7">
        <f t="shared" si="92"/>
        <v>-1.871148079502135E-2</v>
      </c>
    </row>
    <row r="115" spans="1:26" s="26" customFormat="1" outlineLevel="1" collapsed="1" x14ac:dyDescent="0.25">
      <c r="A115" s="25"/>
      <c r="B115" s="12" t="str">
        <f>CONCATENATE("     ","Training                                          ")</f>
        <v xml:space="preserve">     Training                                          </v>
      </c>
      <c r="C115" s="12"/>
      <c r="D115" s="1">
        <f>SUM(OSRRefD22_13x_0)</f>
        <v>0</v>
      </c>
      <c r="E115" s="1"/>
      <c r="F115" s="5">
        <f t="shared" ref="F115:F118" si="93">IF(D$12=0,0,D115/D$12)</f>
        <v>0</v>
      </c>
      <c r="G115" s="1"/>
      <c r="H115" s="1">
        <f>SUM(OSRRefH22_13x_0)</f>
        <v>0</v>
      </c>
      <c r="I115" s="1"/>
      <c r="J115" s="5">
        <f t="shared" ref="J115:J118" si="94">IF(H$12=0,0,H115/H$12)</f>
        <v>0</v>
      </c>
      <c r="K115" s="1"/>
      <c r="L115" s="1">
        <f t="shared" ref="L115:L118" si="95">+D115-H115</f>
        <v>0</v>
      </c>
      <c r="M115" s="1"/>
      <c r="N115" s="5">
        <f t="shared" ref="N115:N118" si="96">IF(H115=0,0,L115/H115)</f>
        <v>0</v>
      </c>
      <c r="O115" s="12"/>
      <c r="P115" s="1">
        <f>SUM(OSRRefP22_13x_0)</f>
        <v>0</v>
      </c>
      <c r="Q115" s="1"/>
      <c r="R115" s="5">
        <f t="shared" ref="R115:R118" si="97">IF(P$12=0,0,P115/P$12)</f>
        <v>0</v>
      </c>
      <c r="S115" s="1"/>
      <c r="T115" s="1">
        <f>SUM(OSRRefT22_13x_0)</f>
        <v>4157.1499999999996</v>
      </c>
      <c r="U115" s="1"/>
      <c r="V115" s="5">
        <f t="shared" ref="V115:V118" si="98">IF(T$12=0,0,T115/T$12)</f>
        <v>8.4336412183628291E-4</v>
      </c>
      <c r="W115" s="1"/>
      <c r="X115" s="1">
        <f t="shared" ref="X115:X118" si="99">+P115-T115</f>
        <v>-4157.1499999999996</v>
      </c>
      <c r="Y115" s="1"/>
      <c r="Z115" s="5">
        <f t="shared" ref="Z115:Z118" si="100">IF(T115=0,0,X115/T115)</f>
        <v>-1</v>
      </c>
    </row>
    <row r="116" spans="1:26" s="23" customFormat="1" hidden="1" outlineLevel="2" x14ac:dyDescent="0.25">
      <c r="A116" s="27"/>
      <c r="B116" s="10" t="str">
        <f>CONCATENATE("          ", "6376", " - ", "TRAINING")</f>
        <v xml:space="preserve">          6376 - TRAINING</v>
      </c>
      <c r="C116" s="10"/>
      <c r="D116" s="6"/>
      <c r="E116" s="2"/>
      <c r="F116" s="7">
        <f t="shared" si="93"/>
        <v>0</v>
      </c>
      <c r="G116" s="2"/>
      <c r="H116" s="6"/>
      <c r="I116" s="2"/>
      <c r="J116" s="7">
        <f t="shared" si="94"/>
        <v>0</v>
      </c>
      <c r="K116" s="2"/>
      <c r="L116" s="6">
        <f t="shared" si="95"/>
        <v>0</v>
      </c>
      <c r="M116" s="2"/>
      <c r="N116" s="7">
        <f t="shared" si="96"/>
        <v>0</v>
      </c>
      <c r="O116" s="10"/>
      <c r="P116" s="6"/>
      <c r="Q116" s="2"/>
      <c r="R116" s="7">
        <f t="shared" si="97"/>
        <v>0</v>
      </c>
      <c r="S116" s="2"/>
      <c r="T116" s="6">
        <v>4157.1499999999996</v>
      </c>
      <c r="U116" s="2"/>
      <c r="V116" s="7">
        <f t="shared" si="98"/>
        <v>8.4336412183628291E-4</v>
      </c>
      <c r="W116" s="2"/>
      <c r="X116" s="6">
        <f t="shared" si="99"/>
        <v>-4157.1499999999996</v>
      </c>
      <c r="Y116" s="2"/>
      <c r="Z116" s="7">
        <f t="shared" si="100"/>
        <v>-1</v>
      </c>
    </row>
    <row r="117" spans="1:26" s="26" customFormat="1" outlineLevel="1" collapsed="1" x14ac:dyDescent="0.25">
      <c r="A117" s="25"/>
      <c r="B117" s="12" t="str">
        <f>CONCATENATE("     ","Travel                                            ")</f>
        <v xml:space="preserve">     Travel                                            </v>
      </c>
      <c r="C117" s="12"/>
      <c r="D117" s="1">
        <f>SUM(OSRRefD22_14x_0)</f>
        <v>0</v>
      </c>
      <c r="E117" s="1"/>
      <c r="F117" s="5">
        <f t="shared" si="93"/>
        <v>0</v>
      </c>
      <c r="G117" s="1"/>
      <c r="H117" s="1">
        <f>SUM(OSRRefH22_14x_0)</f>
        <v>0</v>
      </c>
      <c r="I117" s="1"/>
      <c r="J117" s="5">
        <f t="shared" si="94"/>
        <v>0</v>
      </c>
      <c r="K117" s="1"/>
      <c r="L117" s="1">
        <f t="shared" si="95"/>
        <v>0</v>
      </c>
      <c r="M117" s="1"/>
      <c r="N117" s="5">
        <f t="shared" si="96"/>
        <v>0</v>
      </c>
      <c r="O117" s="12"/>
      <c r="P117" s="1">
        <f>SUM(OSRRefP22_14x_0)</f>
        <v>0.16</v>
      </c>
      <c r="Q117" s="1"/>
      <c r="R117" s="5">
        <f t="shared" si="97"/>
        <v>5.8323269926497855E-8</v>
      </c>
      <c r="S117" s="1"/>
      <c r="T117" s="1">
        <f>SUM(OSRRefT22_14x_0)</f>
        <v>83.93</v>
      </c>
      <c r="U117" s="1"/>
      <c r="V117" s="5">
        <f t="shared" si="98"/>
        <v>1.7026941713847042E-5</v>
      </c>
      <c r="W117" s="1"/>
      <c r="X117" s="1">
        <f t="shared" si="99"/>
        <v>-83.77000000000001</v>
      </c>
      <c r="Y117" s="1"/>
      <c r="Z117" s="5">
        <f t="shared" si="100"/>
        <v>-0.99809364946979628</v>
      </c>
    </row>
    <row r="118" spans="1:26" s="23" customFormat="1" hidden="1" outlineLevel="2" x14ac:dyDescent="0.25">
      <c r="A118" s="27"/>
      <c r="B118" s="10" t="str">
        <f>CONCATENATE("          ", "6292", " - ", "TRAVEL/CONFERENCE")</f>
        <v xml:space="preserve">          6292 - TRAVEL/CONFERENCE</v>
      </c>
      <c r="C118" s="10"/>
      <c r="D118" s="6"/>
      <c r="E118" s="2"/>
      <c r="F118" s="7">
        <f t="shared" si="93"/>
        <v>0</v>
      </c>
      <c r="G118" s="2"/>
      <c r="H118" s="6"/>
      <c r="I118" s="2"/>
      <c r="J118" s="7">
        <f t="shared" si="94"/>
        <v>0</v>
      </c>
      <c r="K118" s="2"/>
      <c r="L118" s="6">
        <f t="shared" si="95"/>
        <v>0</v>
      </c>
      <c r="M118" s="2"/>
      <c r="N118" s="7">
        <f t="shared" si="96"/>
        <v>0</v>
      </c>
      <c r="O118" s="10"/>
      <c r="P118" s="6">
        <v>0.16</v>
      </c>
      <c r="Q118" s="2"/>
      <c r="R118" s="7">
        <f t="shared" si="97"/>
        <v>5.8323269926497855E-8</v>
      </c>
      <c r="S118" s="2"/>
      <c r="T118" s="6">
        <v>83.93</v>
      </c>
      <c r="U118" s="2"/>
      <c r="V118" s="7">
        <f t="shared" si="98"/>
        <v>1.7026941713847042E-5</v>
      </c>
      <c r="W118" s="2"/>
      <c r="X118" s="6">
        <f t="shared" si="99"/>
        <v>-83.77000000000001</v>
      </c>
      <c r="Y118" s="2"/>
      <c r="Z118" s="7">
        <f t="shared" si="100"/>
        <v>-0.99809364946979628</v>
      </c>
    </row>
    <row r="119" spans="1:26" s="57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4" customFormat="1" collapsed="1" x14ac:dyDescent="0.25">
      <c r="A120" s="11"/>
      <c r="B120" s="29" t="s">
        <v>292</v>
      </c>
      <c r="C120" s="11"/>
      <c r="D120" s="4">
        <f>SUM(OSRRefD25x_0)</f>
        <v>3009.01</v>
      </c>
      <c r="E120" s="4"/>
      <c r="F120" s="13">
        <f t="shared" ref="F120:F123" si="101">IF(D$12=0,0,D120/D$12)</f>
        <v>4.7241737001775225E-2</v>
      </c>
      <c r="G120" s="4"/>
      <c r="H120" s="4">
        <f>SUM(OSRRefH25x_0)</f>
        <v>5867.1100000000006</v>
      </c>
      <c r="I120" s="4"/>
      <c r="J120" s="13">
        <f t="shared" ref="J120:J123" si="102">IF(H$12=0,0,H120/H$12)</f>
        <v>9.6762244597899935E-2</v>
      </c>
      <c r="K120" s="4"/>
      <c r="L120" s="4">
        <f t="shared" ref="L120:L123" si="103">+D120-H120</f>
        <v>-2858.1000000000004</v>
      </c>
      <c r="M120" s="4"/>
      <c r="N120" s="13">
        <f t="shared" ref="N120:N123" si="104">IF(H120=0,0,L120/H120)</f>
        <v>-0.48713932413061967</v>
      </c>
      <c r="O120" s="11"/>
      <c r="P120" s="4">
        <f>SUM(OSRRefP25x_0)</f>
        <v>334317.08</v>
      </c>
      <c r="Q120" s="4"/>
      <c r="R120" s="13">
        <f t="shared" ref="R120:R123" si="105">IF(P$12=0,0,P120/P$12)</f>
        <v>0.12186540811174111</v>
      </c>
      <c r="S120" s="4"/>
      <c r="T120" s="4">
        <f>SUM(OSRRefT25x_0)</f>
        <v>193909.89</v>
      </c>
      <c r="U120" s="4"/>
      <c r="V120" s="13">
        <f t="shared" ref="V120:V123" si="106">IF(T$12=0,0,T120/T$12)</f>
        <v>3.9338644045853584E-2</v>
      </c>
      <c r="W120" s="4"/>
      <c r="X120" s="4">
        <f t="shared" ref="X120:X123" si="107">+P120-T120</f>
        <v>140407.19</v>
      </c>
      <c r="Y120" s="4"/>
      <c r="Z120" s="13">
        <f t="shared" ref="Z120:Z123" si="108">IF(T120=0,0,X120/T120)</f>
        <v>0.72408472822092773</v>
      </c>
    </row>
    <row r="121" spans="1:26" s="23" customFormat="1" hidden="1" outlineLevel="1" x14ac:dyDescent="0.25">
      <c r="A121" s="44"/>
      <c r="B121" s="10" t="str">
        <f>CONCATENATE("          ", "9150", " - ", "MISC. INCOME")</f>
        <v xml:space="preserve">          9150 - MISC. INCOME</v>
      </c>
      <c r="C121" s="10"/>
      <c r="D121" s="2">
        <f>--1572.94</f>
        <v>1572.94</v>
      </c>
      <c r="E121" s="2"/>
      <c r="F121" s="19">
        <f t="shared" si="101"/>
        <v>2.4695304369069002E-2</v>
      </c>
      <c r="G121" s="2"/>
      <c r="H121" s="2">
        <f>--774.27</f>
        <v>774.27</v>
      </c>
      <c r="I121" s="2"/>
      <c r="J121" s="19">
        <f t="shared" si="102"/>
        <v>1.2769507155109753E-2</v>
      </c>
      <c r="K121" s="2"/>
      <c r="L121" s="2">
        <f t="shared" si="103"/>
        <v>798.67000000000007</v>
      </c>
      <c r="M121" s="2"/>
      <c r="N121" s="19">
        <f t="shared" si="104"/>
        <v>1.0315135547031398</v>
      </c>
      <c r="O121" s="10"/>
      <c r="P121" s="2">
        <f>--33036.05</f>
        <v>33036.050000000003</v>
      </c>
      <c r="Q121" s="2"/>
      <c r="R121" s="19">
        <f t="shared" si="105"/>
        <v>1.2042315384095496E-2</v>
      </c>
      <c r="S121" s="2"/>
      <c r="T121" s="2">
        <f>--21290.7</f>
        <v>21290.7</v>
      </c>
      <c r="U121" s="2"/>
      <c r="V121" s="19">
        <f t="shared" si="106"/>
        <v>4.3192601923865512E-3</v>
      </c>
      <c r="W121" s="2"/>
      <c r="X121" s="2">
        <f t="shared" si="107"/>
        <v>11745.350000000002</v>
      </c>
      <c r="Y121" s="2"/>
      <c r="Z121" s="19">
        <f t="shared" si="108"/>
        <v>0.55166575077381208</v>
      </c>
    </row>
    <row r="122" spans="1:26" s="23" customFormat="1" hidden="1" outlineLevel="1" x14ac:dyDescent="0.25">
      <c r="A122" s="44"/>
      <c r="B122" s="10" t="str">
        <f>CONCATENATE("          ", "9151", " - ", "MISC. INCOME")</f>
        <v xml:space="preserve">          9151 - MISC. INCOME</v>
      </c>
      <c r="C122" s="10"/>
      <c r="D122" s="2">
        <f>0</f>
        <v>0</v>
      </c>
      <c r="E122" s="2"/>
      <c r="F122" s="19">
        <f t="shared" si="101"/>
        <v>0</v>
      </c>
      <c r="G122" s="2"/>
      <c r="H122" s="2">
        <f>0</f>
        <v>0</v>
      </c>
      <c r="I122" s="2"/>
      <c r="J122" s="19">
        <f t="shared" si="102"/>
        <v>0</v>
      </c>
      <c r="K122" s="2"/>
      <c r="L122" s="2">
        <f t="shared" si="103"/>
        <v>0</v>
      </c>
      <c r="M122" s="2"/>
      <c r="N122" s="19">
        <f t="shared" si="104"/>
        <v>0</v>
      </c>
      <c r="O122" s="10"/>
      <c r="P122" s="2">
        <f>--295628.46</f>
        <v>295628.46000000002</v>
      </c>
      <c r="Q122" s="2"/>
      <c r="R122" s="19">
        <f t="shared" si="105"/>
        <v>0.10776261544084297</v>
      </c>
      <c r="S122" s="2"/>
      <c r="T122" s="2">
        <f>--162744.3</f>
        <v>162744.29999999999</v>
      </c>
      <c r="U122" s="2"/>
      <c r="V122" s="19">
        <f t="shared" si="106"/>
        <v>3.3016057552255888E-2</v>
      </c>
      <c r="W122" s="2"/>
      <c r="X122" s="2">
        <f t="shared" si="107"/>
        <v>132884.16000000003</v>
      </c>
      <c r="Y122" s="2"/>
      <c r="Z122" s="19">
        <f t="shared" si="108"/>
        <v>0.81652113161566975</v>
      </c>
    </row>
    <row r="123" spans="1:26" s="23" customFormat="1" hidden="1" outlineLevel="1" x14ac:dyDescent="0.25">
      <c r="A123" s="44"/>
      <c r="B123" s="10" t="str">
        <f>CONCATENATE("          ", "9152", " - ", "MISC. INCOME")</f>
        <v xml:space="preserve">          9152 - MISC. INCOME</v>
      </c>
      <c r="C123" s="10"/>
      <c r="D123" s="2">
        <f>--1436.07</f>
        <v>1436.07</v>
      </c>
      <c r="E123" s="2"/>
      <c r="F123" s="19">
        <f t="shared" si="101"/>
        <v>2.2546432632706219E-2</v>
      </c>
      <c r="G123" s="2"/>
      <c r="H123" s="2">
        <f>--5092.84</f>
        <v>5092.84</v>
      </c>
      <c r="I123" s="2"/>
      <c r="J123" s="19">
        <f t="shared" si="102"/>
        <v>8.3992737442790177E-2</v>
      </c>
      <c r="K123" s="2"/>
      <c r="L123" s="2">
        <f t="shared" si="103"/>
        <v>-3656.7700000000004</v>
      </c>
      <c r="M123" s="2"/>
      <c r="N123" s="19">
        <f t="shared" si="104"/>
        <v>-0.71802177174228921</v>
      </c>
      <c r="O123" s="10"/>
      <c r="P123" s="2">
        <f>--5652.57</f>
        <v>5652.57</v>
      </c>
      <c r="Q123" s="2"/>
      <c r="R123" s="19">
        <f t="shared" si="105"/>
        <v>2.0604772868026496E-3</v>
      </c>
      <c r="S123" s="2"/>
      <c r="T123" s="2">
        <f>--9874.89</f>
        <v>9874.89</v>
      </c>
      <c r="U123" s="2"/>
      <c r="V123" s="19">
        <f t="shared" si="106"/>
        <v>2.0033263012111404E-3</v>
      </c>
      <c r="W123" s="2"/>
      <c r="X123" s="2">
        <f t="shared" si="107"/>
        <v>-4222.32</v>
      </c>
      <c r="Y123" s="2"/>
      <c r="Z123" s="19">
        <f t="shared" si="108"/>
        <v>-0.42758147179360984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x14ac:dyDescent="0.25">
      <c r="A125" s="11"/>
      <c r="B125" s="28" t="s">
        <v>276</v>
      </c>
      <c r="C125" s="28"/>
      <c r="D125" s="20">
        <f>+D64-D66+D120</f>
        <v>-31804.840000000033</v>
      </c>
      <c r="E125" s="14"/>
      <c r="F125" s="21">
        <f>IF(D$12=0,0,D125/D$12)</f>
        <v>-0.49933894758194297</v>
      </c>
      <c r="G125" s="14"/>
      <c r="H125" s="20">
        <f>+H64-H66+H120</f>
        <v>-23063.449999999997</v>
      </c>
      <c r="I125" s="14"/>
      <c r="J125" s="21">
        <f>IF(H$12=0,0,H125/H$12)</f>
        <v>-0.38036975447391219</v>
      </c>
      <c r="K125" s="15"/>
      <c r="L125" s="20">
        <f>+D125-H125</f>
        <v>-8741.3900000000358</v>
      </c>
      <c r="M125" s="15"/>
      <c r="N125" s="21">
        <f>IF(H125=0,0,L125/H125)</f>
        <v>0.3790148481688575</v>
      </c>
      <c r="O125" s="29"/>
      <c r="P125" s="20">
        <f>+P64-P66+P120</f>
        <v>612776.18999999983</v>
      </c>
      <c r="Q125" s="14"/>
      <c r="R125" s="21">
        <f>IF(P$12=0,0,P125/P$12)</f>
        <v>0.22336944458688077</v>
      </c>
      <c r="S125" s="14"/>
      <c r="T125" s="20">
        <f>+T64-T66+T120</f>
        <v>1078550.4699999974</v>
      </c>
      <c r="U125" s="14"/>
      <c r="V125" s="21">
        <f>IF(T$12=0,0,T125/T$12)</f>
        <v>0.21880633847411279</v>
      </c>
      <c r="W125" s="15"/>
      <c r="X125" s="20">
        <f>+P125-T125</f>
        <v>-465774.27999999758</v>
      </c>
      <c r="Y125" s="15"/>
      <c r="Z125" s="21">
        <f>IF(T125=0,0,X125/T125)</f>
        <v>-0.43185209496964821</v>
      </c>
    </row>
    <row r="126" spans="1:26" x14ac:dyDescent="0.25">
      <c r="A126" s="9"/>
      <c r="B126" s="11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4" customFormat="1" x14ac:dyDescent="0.25">
      <c r="A127" s="51"/>
      <c r="B127" s="11" t="s">
        <v>127</v>
      </c>
      <c r="C127" s="11"/>
      <c r="D127" s="4">
        <v>25632.87</v>
      </c>
      <c r="E127" s="4"/>
      <c r="F127" s="13">
        <f>IF(D$12=0,0,D127/D$12)</f>
        <v>0.40243844425265918</v>
      </c>
      <c r="G127" s="4"/>
      <c r="H127" s="4">
        <v>30928.13</v>
      </c>
      <c r="I127" s="4"/>
      <c r="J127" s="13">
        <f>IF(H$12=0,0,H127/H$12)</f>
        <v>0.51007655898997073</v>
      </c>
      <c r="K127" s="4"/>
      <c r="L127" s="4">
        <f>+D127-H127</f>
        <v>-5295.260000000002</v>
      </c>
      <c r="M127" s="4"/>
      <c r="N127" s="13">
        <f>IF(H127=0,0,L127/H127)</f>
        <v>-0.17121177387704986</v>
      </c>
      <c r="O127" s="11"/>
      <c r="P127" s="4">
        <v>586223.69999999995</v>
      </c>
      <c r="Q127" s="4"/>
      <c r="R127" s="13">
        <f>IF(P$12=0,0,P127/P$12)</f>
        <v>0.21369051932756433</v>
      </c>
      <c r="S127" s="4"/>
      <c r="T127" s="4">
        <v>583724.25</v>
      </c>
      <c r="U127" s="4"/>
      <c r="V127" s="13">
        <f>IF(T$12=0,0,T127/T$12)</f>
        <v>0.11842057407016655</v>
      </c>
      <c r="W127" s="4"/>
      <c r="X127" s="4">
        <f>+P127-T127</f>
        <v>2499.4499999999534</v>
      </c>
      <c r="Y127" s="4"/>
      <c r="Z127" s="13">
        <f>IF(T127=0,0,X127/T127)</f>
        <v>4.2819019425695496E-3</v>
      </c>
    </row>
    <row r="128" spans="1:26" x14ac:dyDescent="0.25">
      <c r="A128" s="9"/>
      <c r="B128" s="11"/>
      <c r="C128" s="11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1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4" customFormat="1" ht="15.75" thickBot="1" x14ac:dyDescent="0.3">
      <c r="A129" s="11"/>
      <c r="B129" s="28" t="s">
        <v>125</v>
      </c>
      <c r="C129" s="28"/>
      <c r="D129" s="35">
        <f>+D125-D127</f>
        <v>-57437.710000000036</v>
      </c>
      <c r="E129" s="14"/>
      <c r="F129" s="36">
        <f>IF(D$12=0,0,D129/D$12)</f>
        <v>-0.90177739183460215</v>
      </c>
      <c r="G129" s="14"/>
      <c r="H129" s="35">
        <f>+H125-H127</f>
        <v>-53991.58</v>
      </c>
      <c r="I129" s="14"/>
      <c r="J129" s="36">
        <f>IF(H$12=0,0,H129/H$12)</f>
        <v>-0.89044631346388292</v>
      </c>
      <c r="K129" s="15"/>
      <c r="L129" s="35">
        <f>D129-H129</f>
        <v>-3446.1300000000338</v>
      </c>
      <c r="M129" s="15"/>
      <c r="N129" s="36">
        <f>IF(H129=0,0,L129/H129)</f>
        <v>6.3827174533511222E-2</v>
      </c>
      <c r="O129" s="29"/>
      <c r="P129" s="35">
        <f>+P125-P127</f>
        <v>26552.489999999874</v>
      </c>
      <c r="Q129" s="14"/>
      <c r="R129" s="36">
        <f>IF(P$12=0,0,P129/P$12)</f>
        <v>9.6789252593164222E-3</v>
      </c>
      <c r="S129" s="14"/>
      <c r="T129" s="35">
        <f>+T125-T127</f>
        <v>494826.21999999741</v>
      </c>
      <c r="U129" s="14"/>
      <c r="V129" s="36">
        <f>IF(T$12=0,0,T129/T$12)</f>
        <v>0.10038576440394625</v>
      </c>
      <c r="W129" s="15"/>
      <c r="X129" s="35">
        <f>P129-T129</f>
        <v>-468273.72999999754</v>
      </c>
      <c r="Y129" s="15"/>
      <c r="Z129" s="36">
        <f>IF(T129=0,0,X129/T129)</f>
        <v>-0.94633976752484938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ht="15.75" thickBot="1" x14ac:dyDescent="0.3">
      <c r="A132" s="11"/>
      <c r="B132" s="28" t="s">
        <v>293</v>
      </c>
      <c r="C132" s="28"/>
      <c r="D132" s="30">
        <f>SUM(D129:D131)</f>
        <v>-57437.710000000036</v>
      </c>
      <c r="E132" s="14"/>
      <c r="F132" s="31">
        <f>IF(D$12=0,0,D132/D$12)</f>
        <v>-0.90177739183460215</v>
      </c>
      <c r="G132" s="14"/>
      <c r="H132" s="30">
        <f>SUM(H129:H131)</f>
        <v>-53991.58</v>
      </c>
      <c r="I132" s="14"/>
      <c r="J132" s="31">
        <f>IF(H$12=0,0,H132/H$12)</f>
        <v>-0.89044631346388292</v>
      </c>
      <c r="K132" s="15"/>
      <c r="L132" s="30">
        <f>+D132-H132</f>
        <v>-3446.1300000000338</v>
      </c>
      <c r="M132" s="15"/>
      <c r="N132" s="31">
        <f>IF(H132=0,0,L132/H132)</f>
        <v>6.3827174533511222E-2</v>
      </c>
      <c r="O132" s="29"/>
      <c r="P132" s="30">
        <f>SUM(P129:P131)</f>
        <v>26552.489999999874</v>
      </c>
      <c r="Q132" s="14"/>
      <c r="R132" s="31">
        <f>IF(P$12=0,0,P132/P$12)</f>
        <v>9.6789252593164222E-3</v>
      </c>
      <c r="S132" s="14"/>
      <c r="T132" s="30">
        <f>SUM(T129:T131)</f>
        <v>494826.21999999741</v>
      </c>
      <c r="U132" s="14"/>
      <c r="V132" s="31">
        <f>IF(T$12=0,0,T132/T$12)</f>
        <v>0.10038576440394625</v>
      </c>
      <c r="W132" s="15"/>
      <c r="X132" s="30">
        <f>+P132-T132</f>
        <v>-468273.72999999754</v>
      </c>
      <c r="Y132" s="15"/>
      <c r="Z132" s="31">
        <f>IF(T132=0,0,X132/T132)</f>
        <v>-0.94633976752484938</v>
      </c>
    </row>
    <row r="133" spans="1:26" ht="15.75" thickTop="1" x14ac:dyDescent="0.25">
      <c r="A133" s="9"/>
      <c r="C133" s="9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59">
        <v>44356.893285914353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2" t="s">
        <v>56</v>
      </c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4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","311", " - ", "Textbooks")</f>
        <v>Department 311 - Textbooks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51588.349999999984</v>
      </c>
      <c r="E12" s="4"/>
      <c r="F12" s="13"/>
      <c r="G12" s="4"/>
      <c r="H12" s="4">
        <f>SUM(OSRRefH13x_0)</f>
        <v>38394.049999999996</v>
      </c>
      <c r="I12" s="4"/>
      <c r="J12" s="13"/>
      <c r="K12" s="4"/>
      <c r="L12" s="4">
        <f t="shared" ref="L12:L42" si="0">+D12-H12</f>
        <v>13194.299999999988</v>
      </c>
      <c r="M12" s="4"/>
      <c r="N12" s="13">
        <f t="shared" ref="N12:N42" si="1">IF(H12=0,0,L12/H12)</f>
        <v>0.34365481109703172</v>
      </c>
      <c r="O12" s="11"/>
      <c r="P12" s="4">
        <f>SUM(OSRRefP13x_0)</f>
        <v>1966145.06</v>
      </c>
      <c r="Q12" s="4"/>
      <c r="R12" s="13"/>
      <c r="S12" s="4"/>
      <c r="T12" s="4">
        <f>SUM(OSRRefT13x_0)</f>
        <v>3331407.1599999992</v>
      </c>
      <c r="U12" s="4"/>
      <c r="V12" s="13"/>
      <c r="W12" s="4"/>
      <c r="X12" s="4">
        <f t="shared" ref="X12:X42" si="2">+P12-T12</f>
        <v>-1365262.0999999992</v>
      </c>
      <c r="Y12" s="4"/>
      <c r="Z12" s="13">
        <f t="shared" ref="Z12:Z42" si="3">IF(T12=0,0,X12/T12)</f>
        <v>-0.40981544267317943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-701.64</f>
        <v>-701.64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-701.64</v>
      </c>
      <c r="M13" s="2"/>
      <c r="N13" s="19">
        <f t="shared" si="1"/>
        <v>0</v>
      </c>
      <c r="O13" s="10"/>
      <c r="P13" s="2">
        <f>-9280.36</f>
        <v>-9280.36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-9280.36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--29436.91</f>
        <v>29436.91</v>
      </c>
      <c r="E14" s="2"/>
      <c r="F14" s="19"/>
      <c r="G14" s="2"/>
      <c r="H14" s="2">
        <f>--24452.17</f>
        <v>24452.17</v>
      </c>
      <c r="I14" s="2"/>
      <c r="J14" s="19"/>
      <c r="K14" s="2"/>
      <c r="L14" s="2">
        <f t="shared" si="0"/>
        <v>4984.7400000000016</v>
      </c>
      <c r="M14" s="2"/>
      <c r="N14" s="19">
        <f t="shared" si="1"/>
        <v>0.20385675381775942</v>
      </c>
      <c r="O14" s="10"/>
      <c r="P14" s="2">
        <f>--1029241.89</f>
        <v>1029241.89</v>
      </c>
      <c r="Q14" s="2"/>
      <c r="R14" s="19"/>
      <c r="S14" s="2"/>
      <c r="T14" s="2">
        <f>--2014029.79</f>
        <v>2014029.79</v>
      </c>
      <c r="U14" s="2"/>
      <c r="V14" s="19"/>
      <c r="W14" s="2"/>
      <c r="X14" s="2">
        <f t="shared" si="2"/>
        <v>-984787.9</v>
      </c>
      <c r="Y14" s="2"/>
      <c r="Z14" s="19">
        <f t="shared" si="3"/>
        <v>-0.4889639194462958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--8783.8</f>
        <v>8783.7999999999993</v>
      </c>
      <c r="E15" s="2"/>
      <c r="F15" s="19"/>
      <c r="G15" s="2"/>
      <c r="H15" s="2">
        <f>--7309.6</f>
        <v>7309.6</v>
      </c>
      <c r="I15" s="2"/>
      <c r="J15" s="19"/>
      <c r="K15" s="2"/>
      <c r="L15" s="2">
        <f t="shared" si="0"/>
        <v>1474.1999999999989</v>
      </c>
      <c r="M15" s="2"/>
      <c r="N15" s="19">
        <f t="shared" si="1"/>
        <v>0.20167998248878172</v>
      </c>
      <c r="O15" s="10"/>
      <c r="P15" s="2">
        <f>--360316.77</f>
        <v>360316.77</v>
      </c>
      <c r="Q15" s="2"/>
      <c r="R15" s="19"/>
      <c r="S15" s="2"/>
      <c r="T15" s="2">
        <f>--687263.85</f>
        <v>687263.85</v>
      </c>
      <c r="U15" s="2"/>
      <c r="V15" s="19"/>
      <c r="W15" s="2"/>
      <c r="X15" s="2">
        <f t="shared" si="2"/>
        <v>-326947.07999999996</v>
      </c>
      <c r="Y15" s="2"/>
      <c r="Z15" s="19">
        <f t="shared" si="3"/>
        <v>-0.47572279554642655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--494.96</f>
        <v>494.96</v>
      </c>
      <c r="E16" s="2"/>
      <c r="F16" s="19"/>
      <c r="G16" s="2"/>
      <c r="H16" s="2">
        <f>--69.99</f>
        <v>69.989999999999995</v>
      </c>
      <c r="I16" s="2"/>
      <c r="J16" s="19"/>
      <c r="K16" s="2"/>
      <c r="L16" s="2">
        <f t="shared" si="0"/>
        <v>424.96999999999997</v>
      </c>
      <c r="M16" s="2"/>
      <c r="N16" s="19">
        <f t="shared" si="1"/>
        <v>6.071867409629947</v>
      </c>
      <c r="O16" s="10"/>
      <c r="P16" s="2">
        <f>--18492.84</f>
        <v>18492.84</v>
      </c>
      <c r="Q16" s="2"/>
      <c r="R16" s="19"/>
      <c r="S16" s="2"/>
      <c r="T16" s="2">
        <f>--33764.88</f>
        <v>33764.879999999997</v>
      </c>
      <c r="U16" s="2"/>
      <c r="V16" s="19"/>
      <c r="W16" s="2"/>
      <c r="X16" s="2">
        <f t="shared" si="2"/>
        <v>-15272.039999999997</v>
      </c>
      <c r="Y16" s="2"/>
      <c r="Z16" s="19">
        <f t="shared" si="3"/>
        <v>-0.45230547243171004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--61.96</f>
        <v>61.96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61.96</v>
      </c>
      <c r="M19" s="2"/>
      <c r="N19" s="19">
        <f t="shared" si="1"/>
        <v>0</v>
      </c>
      <c r="O19" s="10"/>
      <c r="P19" s="2">
        <f>--1325.79</f>
        <v>1325.79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-1387.5700000000002</v>
      </c>
      <c r="Y19" s="2"/>
      <c r="Z19" s="19">
        <f t="shared" si="3"/>
        <v>-0.5113844089984374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--31.17</f>
        <v>31.17</v>
      </c>
      <c r="E20" s="2"/>
      <c r="F20" s="19"/>
      <c r="G20" s="2"/>
      <c r="H20" s="2">
        <f>--0.8</f>
        <v>0.8</v>
      </c>
      <c r="I20" s="2"/>
      <c r="J20" s="19"/>
      <c r="K20" s="2"/>
      <c r="L20" s="2">
        <f t="shared" si="0"/>
        <v>30.37</v>
      </c>
      <c r="M20" s="2"/>
      <c r="N20" s="19">
        <f t="shared" si="1"/>
        <v>37.962499999999999</v>
      </c>
      <c r="O20" s="10"/>
      <c r="P20" s="2">
        <f>--515.72</f>
        <v>515.72</v>
      </c>
      <c r="Q20" s="2"/>
      <c r="R20" s="19"/>
      <c r="S20" s="2"/>
      <c r="T20" s="2">
        <f>--1219.98</f>
        <v>1219.98</v>
      </c>
      <c r="U20" s="2"/>
      <c r="V20" s="19"/>
      <c r="W20" s="2"/>
      <c r="X20" s="2">
        <f t="shared" si="2"/>
        <v>-704.26</v>
      </c>
      <c r="Y20" s="2"/>
      <c r="Z20" s="19">
        <f t="shared" si="3"/>
        <v>-0.57727175855341895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--35.38</f>
        <v>35.380000000000003</v>
      </c>
      <c r="E21" s="2"/>
      <c r="F21" s="19"/>
      <c r="G21" s="2"/>
      <c r="H21" s="2">
        <f>--24.99</f>
        <v>24.99</v>
      </c>
      <c r="I21" s="2"/>
      <c r="J21" s="19"/>
      <c r="K21" s="2"/>
      <c r="L21" s="2">
        <f t="shared" si="0"/>
        <v>10.390000000000004</v>
      </c>
      <c r="M21" s="2"/>
      <c r="N21" s="19">
        <f t="shared" si="1"/>
        <v>0.41576630652260921</v>
      </c>
      <c r="O21" s="10"/>
      <c r="P21" s="2">
        <f>--508.48</f>
        <v>508.48</v>
      </c>
      <c r="Q21" s="2"/>
      <c r="R21" s="19"/>
      <c r="S21" s="2"/>
      <c r="T21" s="2">
        <f>--4179.3</f>
        <v>4179.3</v>
      </c>
      <c r="U21" s="2"/>
      <c r="V21" s="19"/>
      <c r="W21" s="2"/>
      <c r="X21" s="2">
        <f t="shared" si="2"/>
        <v>-3670.82</v>
      </c>
      <c r="Y21" s="2"/>
      <c r="Z21" s="19">
        <f t="shared" si="3"/>
        <v>-0.87833369224511282</v>
      </c>
    </row>
    <row r="22" spans="1:26" s="23" customFormat="1" hidden="1" outlineLevel="1" x14ac:dyDescent="0.25">
      <c r="A22" s="44"/>
      <c r="B22" s="10" t="str">
        <f>CONCATENATE("          ", "4101", " - ", "NON-TAXABLE SALES-NEW TEXT")</f>
        <v xml:space="preserve">          4101 - NON-TAXABLE SALES-NEW TEXT</v>
      </c>
      <c r="C22" s="10"/>
      <c r="D22" s="2">
        <f>--6450.33</f>
        <v>6450.33</v>
      </c>
      <c r="E22" s="2"/>
      <c r="F22" s="19"/>
      <c r="G22" s="2"/>
      <c r="H22" s="2">
        <f>--7118.9</f>
        <v>7118.9</v>
      </c>
      <c r="I22" s="2"/>
      <c r="J22" s="19"/>
      <c r="K22" s="2"/>
      <c r="L22" s="2">
        <f t="shared" si="0"/>
        <v>-668.56999999999971</v>
      </c>
      <c r="M22" s="2"/>
      <c r="N22" s="19">
        <f t="shared" si="1"/>
        <v>-9.3914790206352072E-2</v>
      </c>
      <c r="O22" s="10"/>
      <c r="P22" s="2">
        <f>--119247.07</f>
        <v>119247.07</v>
      </c>
      <c r="Q22" s="2"/>
      <c r="R22" s="19"/>
      <c r="S22" s="2"/>
      <c r="T22" s="2">
        <f>--151282.34</f>
        <v>151282.34</v>
      </c>
      <c r="U22" s="2"/>
      <c r="V22" s="19"/>
      <c r="W22" s="2"/>
      <c r="X22" s="2">
        <f t="shared" si="2"/>
        <v>-32035.26999999999</v>
      </c>
      <c r="Y22" s="2"/>
      <c r="Z22" s="19">
        <f t="shared" si="3"/>
        <v>-0.2117581602717144</v>
      </c>
    </row>
    <row r="23" spans="1:26" s="23" customFormat="1" hidden="1" outlineLevel="1" x14ac:dyDescent="0.25">
      <c r="A23" s="44"/>
      <c r="B23" s="10" t="str">
        <f>CONCATENATE("          ", "4102", " - ", "NON-TAXABLE SALES-USED TEXT")</f>
        <v xml:space="preserve">          4102 - NON-TAXABLE SALES-USED TEXT</v>
      </c>
      <c r="C23" s="10"/>
      <c r="D23" s="2">
        <f>--2343.31</f>
        <v>2343.31</v>
      </c>
      <c r="E23" s="2"/>
      <c r="F23" s="19"/>
      <c r="G23" s="2"/>
      <c r="H23" s="2">
        <f>--565.56</f>
        <v>565.55999999999995</v>
      </c>
      <c r="I23" s="2"/>
      <c r="J23" s="19"/>
      <c r="K23" s="2"/>
      <c r="L23" s="2">
        <f t="shared" si="0"/>
        <v>1777.75</v>
      </c>
      <c r="M23" s="2"/>
      <c r="N23" s="19">
        <f t="shared" si="1"/>
        <v>3.1433446495508881</v>
      </c>
      <c r="O23" s="10"/>
      <c r="P23" s="2">
        <f>--51046.73</f>
        <v>51046.73</v>
      </c>
      <c r="Q23" s="2"/>
      <c r="R23" s="19"/>
      <c r="S23" s="2"/>
      <c r="T23" s="2">
        <f>--70225.46</f>
        <v>70225.460000000006</v>
      </c>
      <c r="U23" s="2"/>
      <c r="V23" s="19"/>
      <c r="W23" s="2"/>
      <c r="X23" s="2">
        <f t="shared" si="2"/>
        <v>-19178.730000000003</v>
      </c>
      <c r="Y23" s="2"/>
      <c r="Z23" s="19">
        <f t="shared" si="3"/>
        <v>-0.2731022338621919</v>
      </c>
    </row>
    <row r="24" spans="1:26" s="23" customFormat="1" hidden="1" outlineLevel="1" x14ac:dyDescent="0.25">
      <c r="A24" s="44"/>
      <c r="B24" s="10" t="str">
        <f>CONCATENATE("          ", "4103", " - ", "NON-TAXABLE SALES-RENTAL TEXT")</f>
        <v xml:space="preserve">          4103 - NON-TAXABLE SALES-RENTAL TEXT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3" customFormat="1" hidden="1" outlineLevel="1" x14ac:dyDescent="0.25">
      <c r="A25" s="44"/>
      <c r="B25" s="10" t="str">
        <f>CONCATENATE("          ", "4104", " - ", "NON-TAXABLE SALES-DIGITAL TEXT")</f>
        <v xml:space="preserve">          4104 - NON-TAXABLE SALES-DIGITAL TEXT</v>
      </c>
      <c r="C25" s="10"/>
      <c r="D25" s="2">
        <f>--10484.56</f>
        <v>10484.56</v>
      </c>
      <c r="E25" s="2"/>
      <c r="F25" s="19"/>
      <c r="G25" s="2"/>
      <c r="H25" s="2">
        <f>--4949.29</f>
        <v>4949.29</v>
      </c>
      <c r="I25" s="2"/>
      <c r="J25" s="19"/>
      <c r="K25" s="2"/>
      <c r="L25" s="2">
        <f t="shared" si="0"/>
        <v>5535.2699999999995</v>
      </c>
      <c r="M25" s="2"/>
      <c r="N25" s="19">
        <f t="shared" si="1"/>
        <v>1.1183967801442227</v>
      </c>
      <c r="O25" s="10"/>
      <c r="P25" s="2">
        <f>--490887.73</f>
        <v>490887.73</v>
      </c>
      <c r="Q25" s="2"/>
      <c r="R25" s="19"/>
      <c r="S25" s="2"/>
      <c r="T25" s="2">
        <f>--531803.38</f>
        <v>531803.38</v>
      </c>
      <c r="U25" s="2"/>
      <c r="V25" s="19"/>
      <c r="W25" s="2"/>
      <c r="X25" s="2">
        <f t="shared" si="2"/>
        <v>-40915.650000000023</v>
      </c>
      <c r="Y25" s="2"/>
      <c r="Z25" s="19">
        <f t="shared" si="3"/>
        <v>-7.6937551619171776E-2</v>
      </c>
    </row>
    <row r="26" spans="1:26" s="23" customFormat="1" hidden="1" outlineLevel="1" x14ac:dyDescent="0.25">
      <c r="A26" s="44"/>
      <c r="B26" s="10" t="str">
        <f>CONCATENATE("          ", "4111", " - ", "NON-TAXABLE SALES-NO VALUE TEX")</f>
        <v xml:space="preserve">          4111 - NON-TAXABLE SALES-NO VALUE TEX</v>
      </c>
      <c r="C26" s="10"/>
      <c r="D26" s="2">
        <f t="shared" ref="D26:D29" si="6">0</f>
        <v>0</v>
      </c>
      <c r="E26" s="2"/>
      <c r="F26" s="19"/>
      <c r="G26" s="2"/>
      <c r="H26" s="2">
        <f>--340.46</f>
        <v>340.46</v>
      </c>
      <c r="I26" s="2"/>
      <c r="J26" s="19"/>
      <c r="K26" s="2"/>
      <c r="L26" s="2">
        <f t="shared" si="0"/>
        <v>-340.46</v>
      </c>
      <c r="M26" s="2"/>
      <c r="N26" s="19">
        <f t="shared" si="1"/>
        <v>-1</v>
      </c>
      <c r="O26" s="10"/>
      <c r="P26" s="2">
        <f>0</f>
        <v>0</v>
      </c>
      <c r="Q26" s="2"/>
      <c r="R26" s="19"/>
      <c r="S26" s="2"/>
      <c r="T26" s="2">
        <f>--15663.46</f>
        <v>15663.46</v>
      </c>
      <c r="U26" s="2"/>
      <c r="V26" s="19"/>
      <c r="W26" s="2"/>
      <c r="X26" s="2">
        <f t="shared" si="2"/>
        <v>-15663.46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"4113", " - ", "NON-TAXABLE SALES-TRADE BOOKS")</f>
        <v xml:space="preserve">          4113 - NON-TAXABLE SALES-TRADE BOOKS</v>
      </c>
      <c r="C27" s="10"/>
      <c r="D27" s="2">
        <f t="shared" si="6"/>
        <v>0</v>
      </c>
      <c r="E27" s="2"/>
      <c r="F27" s="19"/>
      <c r="G27" s="2"/>
      <c r="H27" s="2">
        <f>--24.24</f>
        <v>24.24</v>
      </c>
      <c r="I27" s="2"/>
      <c r="J27" s="19"/>
      <c r="K27" s="2"/>
      <c r="L27" s="2">
        <f t="shared" si="0"/>
        <v>-24.24</v>
      </c>
      <c r="M27" s="2"/>
      <c r="N27" s="19">
        <f t="shared" si="1"/>
        <v>-1</v>
      </c>
      <c r="O27" s="10"/>
      <c r="P27" s="2">
        <f>--12127.25</f>
        <v>12127.25</v>
      </c>
      <c r="Q27" s="2"/>
      <c r="R27" s="19"/>
      <c r="S27" s="2"/>
      <c r="T27" s="2">
        <f>--8266.16</f>
        <v>8266.16</v>
      </c>
      <c r="U27" s="2"/>
      <c r="V27" s="19"/>
      <c r="W27" s="2"/>
      <c r="X27" s="2">
        <f t="shared" si="2"/>
        <v>3861.09</v>
      </c>
      <c r="Y27" s="2"/>
      <c r="Z27" s="19">
        <f t="shared" si="3"/>
        <v>0.46709596717218155</v>
      </c>
    </row>
    <row r="28" spans="1:26" s="23" customFormat="1" hidden="1" outlineLevel="1" x14ac:dyDescent="0.25">
      <c r="A28" s="44"/>
      <c r="B28" s="10" t="str">
        <f>CONCATENATE("          ", "4114", " - ", "NON-TAXABLE SALES-REMAINDERS")</f>
        <v xml:space="preserve">          4114 - NON-TAXABLE SALES-REMAINDERS</v>
      </c>
      <c r="C28" s="10"/>
      <c r="D28" s="2">
        <f t="shared" si="6"/>
        <v>0</v>
      </c>
      <c r="E28" s="2"/>
      <c r="F28" s="19"/>
      <c r="G28" s="2"/>
      <c r="H28" s="2">
        <f>--3.19</f>
        <v>3.19</v>
      </c>
      <c r="I28" s="2"/>
      <c r="J28" s="19"/>
      <c r="K28" s="2"/>
      <c r="L28" s="2">
        <f t="shared" si="0"/>
        <v>-3.19</v>
      </c>
      <c r="M28" s="2"/>
      <c r="N28" s="19">
        <f t="shared" si="1"/>
        <v>-1</v>
      </c>
      <c r="O28" s="10"/>
      <c r="P28" s="2">
        <f>0</f>
        <v>0</v>
      </c>
      <c r="Q28" s="2"/>
      <c r="R28" s="19"/>
      <c r="S28" s="2"/>
      <c r="T28" s="2">
        <f>--3.19</f>
        <v>3.19</v>
      </c>
      <c r="U28" s="2"/>
      <c r="V28" s="19"/>
      <c r="W28" s="2"/>
      <c r="X28" s="2">
        <f t="shared" si="2"/>
        <v>-3.19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"4118", " - ", "NON-TAXABLE SALES-STUDY GUIDES")</f>
        <v xml:space="preserve">          4118 - NON-TAXABLE SALES-STUDY GUIDES</v>
      </c>
      <c r="C29" s="10"/>
      <c r="D29" s="2">
        <f t="shared" si="6"/>
        <v>0</v>
      </c>
      <c r="E29" s="2"/>
      <c r="F29" s="19"/>
      <c r="G29" s="2"/>
      <c r="H29" s="2">
        <f>--40</f>
        <v>40</v>
      </c>
      <c r="I29" s="2"/>
      <c r="J29" s="19"/>
      <c r="K29" s="2"/>
      <c r="L29" s="2">
        <f t="shared" si="0"/>
        <v>-40</v>
      </c>
      <c r="M29" s="2"/>
      <c r="N29" s="19">
        <f t="shared" si="1"/>
        <v>-1</v>
      </c>
      <c r="O29" s="10"/>
      <c r="P29" s="2">
        <f>--771.73</f>
        <v>771.73</v>
      </c>
      <c r="Q29" s="2"/>
      <c r="R29" s="19"/>
      <c r="S29" s="2"/>
      <c r="T29" s="2">
        <f>--115.94</f>
        <v>115.94</v>
      </c>
      <c r="U29" s="2"/>
      <c r="V29" s="19"/>
      <c r="W29" s="2"/>
      <c r="X29" s="2">
        <f t="shared" si="2"/>
        <v>655.79</v>
      </c>
      <c r="Y29" s="2"/>
      <c r="Z29" s="19">
        <f t="shared" si="3"/>
        <v>5.6562877350353631</v>
      </c>
    </row>
    <row r="30" spans="1:26" s="23" customFormat="1" hidden="1" outlineLevel="1" x14ac:dyDescent="0.25">
      <c r="A30" s="44"/>
      <c r="B30" s="10" t="str">
        <f>CONCATENATE("          ", "4201", " - ", "SALES RETURN TAXABLE-NEW TEXT")</f>
        <v xml:space="preserve">          4201 - SALES RETURN TAXABLE-NEW TEXT</v>
      </c>
      <c r="C30" s="10"/>
      <c r="D30" s="2">
        <f>-658.4</f>
        <v>-658.4</v>
      </c>
      <c r="E30" s="2"/>
      <c r="F30" s="19"/>
      <c r="G30" s="2"/>
      <c r="H30" s="2">
        <f>-228.6</f>
        <v>-228.6</v>
      </c>
      <c r="I30" s="2"/>
      <c r="J30" s="19"/>
      <c r="K30" s="2"/>
      <c r="L30" s="2">
        <f t="shared" si="0"/>
        <v>-429.79999999999995</v>
      </c>
      <c r="M30" s="2"/>
      <c r="N30" s="19">
        <f t="shared" si="1"/>
        <v>1.8801399825021872</v>
      </c>
      <c r="O30" s="10"/>
      <c r="P30" s="2">
        <f>-52296.42</f>
        <v>-52296.42</v>
      </c>
      <c r="Q30" s="2"/>
      <c r="R30" s="19"/>
      <c r="S30" s="2"/>
      <c r="T30" s="2">
        <f>-121451.61</f>
        <v>-121451.61</v>
      </c>
      <c r="U30" s="2"/>
      <c r="V30" s="19"/>
      <c r="W30" s="2"/>
      <c r="X30" s="2">
        <f t="shared" si="2"/>
        <v>69155.19</v>
      </c>
      <c r="Y30" s="2"/>
      <c r="Z30" s="19">
        <f t="shared" si="3"/>
        <v>-0.56940529647980787</v>
      </c>
    </row>
    <row r="31" spans="1:26" s="23" customFormat="1" hidden="1" outlineLevel="1" x14ac:dyDescent="0.25">
      <c r="A31" s="44"/>
      <c r="B31" s="10" t="str">
        <f>CONCATENATE("          ", "4202", " - ", "SALES RETURN TAXABLE-USED TEXT")</f>
        <v xml:space="preserve">          4202 - SALES RETURN TAXABLE-USED TEXT</v>
      </c>
      <c r="C31" s="10"/>
      <c r="D31" s="2">
        <f>-359.4</f>
        <v>-359.4</v>
      </c>
      <c r="E31" s="2"/>
      <c r="F31" s="19"/>
      <c r="G31" s="2"/>
      <c r="H31" s="2">
        <f>-60.4</f>
        <v>-60.4</v>
      </c>
      <c r="I31" s="2"/>
      <c r="J31" s="19"/>
      <c r="K31" s="2"/>
      <c r="L31" s="2">
        <f t="shared" si="0"/>
        <v>-299</v>
      </c>
      <c r="M31" s="2"/>
      <c r="N31" s="19">
        <f t="shared" si="1"/>
        <v>4.9503311258278151</v>
      </c>
      <c r="O31" s="10"/>
      <c r="P31" s="2">
        <f>-20455.66</f>
        <v>-20455.66</v>
      </c>
      <c r="Q31" s="2"/>
      <c r="R31" s="19"/>
      <c r="S31" s="2"/>
      <c r="T31" s="2">
        <f>-45613.11</f>
        <v>-45613.11</v>
      </c>
      <c r="U31" s="2"/>
      <c r="V31" s="19"/>
      <c r="W31" s="2"/>
      <c r="X31" s="2">
        <f t="shared" si="2"/>
        <v>25157.45</v>
      </c>
      <c r="Y31" s="2"/>
      <c r="Z31" s="19">
        <f t="shared" si="3"/>
        <v>-0.55153989719183805</v>
      </c>
    </row>
    <row r="32" spans="1:26" s="23" customFormat="1" hidden="1" outlineLevel="1" x14ac:dyDescent="0.25">
      <c r="A32" s="44"/>
      <c r="B32" s="10" t="str">
        <f>CONCATENATE("          ", "4203", " - ", "SALES RETURN TAXABLE-RENTAL TE")</f>
        <v xml:space="preserve">          4203 - SALES RETURN TAXABLE-RENTAL TE</v>
      </c>
      <c r="C32" s="10"/>
      <c r="D32" s="2">
        <f t="shared" ref="D32:D33" si="7">0</f>
        <v>0</v>
      </c>
      <c r="E32" s="2"/>
      <c r="F32" s="19"/>
      <c r="G32" s="2"/>
      <c r="H32" s="2">
        <f t="shared" ref="H32:H36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"4204", " - ", "SALES RETURN TAXABLE-DIGITAL T")</f>
        <v xml:space="preserve">          4204 - SALES RETURN TAXABLE-DIGITAL T</v>
      </c>
      <c r="C33" s="10"/>
      <c r="D33" s="2">
        <f t="shared" si="7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-1763.1</f>
        <v>-1763.1</v>
      </c>
      <c r="Q33" s="2"/>
      <c r="R33" s="19"/>
      <c r="S33" s="2"/>
      <c r="T33" s="2">
        <f>-17255.33</f>
        <v>-17255.330000000002</v>
      </c>
      <c r="U33" s="2"/>
      <c r="V33" s="19"/>
      <c r="W33" s="2"/>
      <c r="X33" s="2">
        <f t="shared" si="2"/>
        <v>15492.230000000001</v>
      </c>
      <c r="Y33" s="2"/>
      <c r="Z33" s="19">
        <f t="shared" si="3"/>
        <v>-0.89782287559843832</v>
      </c>
    </row>
    <row r="34" spans="1:26" s="23" customFormat="1" hidden="1" outlineLevel="1" x14ac:dyDescent="0.25">
      <c r="A34" s="44"/>
      <c r="B34" s="10" t="str">
        <f>CONCATENATE("          ", "4213", " - ", "NON-TAXABLE SALES-TRADE BOOKS")</f>
        <v xml:space="preserve">          4213 - NON-TAXABLE SALES-TRADE BOOKS</v>
      </c>
      <c r="C34" s="10"/>
      <c r="D34" s="2">
        <f>-8.99</f>
        <v>-8.99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-8.99</v>
      </c>
      <c r="M34" s="2"/>
      <c r="N34" s="19">
        <f t="shared" si="1"/>
        <v>0</v>
      </c>
      <c r="O34" s="10"/>
      <c r="P34" s="2">
        <f>-78.92</f>
        <v>-78.92</v>
      </c>
      <c r="Q34" s="2"/>
      <c r="R34" s="19"/>
      <c r="S34" s="2"/>
      <c r="T34" s="2">
        <f>-2768.67</f>
        <v>-2768.67</v>
      </c>
      <c r="U34" s="2"/>
      <c r="V34" s="19"/>
      <c r="W34" s="2"/>
      <c r="X34" s="2">
        <f t="shared" si="2"/>
        <v>2689.75</v>
      </c>
      <c r="Y34" s="2"/>
      <c r="Z34" s="19">
        <f t="shared" si="3"/>
        <v>-0.97149533891724182</v>
      </c>
    </row>
    <row r="35" spans="1:26" s="23" customFormat="1" hidden="1" outlineLevel="1" x14ac:dyDescent="0.25">
      <c r="A35" s="44"/>
      <c r="B35" s="10" t="str">
        <f>CONCATENATE("          ", "4214", " - ", "SALES RETURN TAXABLE-REMAINDER")</f>
        <v xml:space="preserve">          4214 - SALES RETURN TAXABLE-REMAINDER</v>
      </c>
      <c r="C35" s="10"/>
      <c r="D35" s="2">
        <f t="shared" ref="D35:D36" si="9">0</f>
        <v>0</v>
      </c>
      <c r="E35" s="2"/>
      <c r="F35" s="19"/>
      <c r="G35" s="2"/>
      <c r="H35" s="2">
        <f t="shared" si="8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0</f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"4218", " - ", "SALES RETURN TAXABLE-STUDY GUI")</f>
        <v xml:space="preserve">          4218 - SALES RETURN TAXABLE-STUDY GUI</v>
      </c>
      <c r="C36" s="10"/>
      <c r="D36" s="2">
        <f t="shared" si="9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-5.21</f>
        <v>-5.21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34.04</v>
      </c>
      <c r="Y36" s="2"/>
      <c r="Z36" s="19">
        <f t="shared" si="3"/>
        <v>-0.86726114649681529</v>
      </c>
    </row>
    <row r="37" spans="1:26" s="23" customFormat="1" hidden="1" outlineLevel="1" x14ac:dyDescent="0.25">
      <c r="A37" s="44"/>
      <c r="B37" s="10" t="str">
        <f>CONCATENATE("          ", "4301", " - ", "SALES RETURN NON TAXABLE-NEW T")</f>
        <v xml:space="preserve">          4301 - SALES RETURN NON TAXABLE-NEW T</v>
      </c>
      <c r="C37" s="10"/>
      <c r="D37" s="2">
        <f>-1333.16</f>
        <v>-1333.16</v>
      </c>
      <c r="E37" s="2"/>
      <c r="F37" s="19"/>
      <c r="G37" s="2"/>
      <c r="H37" s="2">
        <f>-5710.44</f>
        <v>-5710.44</v>
      </c>
      <c r="I37" s="2"/>
      <c r="J37" s="19"/>
      <c r="K37" s="2"/>
      <c r="L37" s="2">
        <f t="shared" si="0"/>
        <v>4377.28</v>
      </c>
      <c r="M37" s="2"/>
      <c r="N37" s="19">
        <f t="shared" si="1"/>
        <v>-0.76653988134014195</v>
      </c>
      <c r="O37" s="10"/>
      <c r="P37" s="2">
        <f>-4796.36</f>
        <v>-4796.3599999999997</v>
      </c>
      <c r="Q37" s="2"/>
      <c r="R37" s="19"/>
      <c r="S37" s="2"/>
      <c r="T37" s="2">
        <f>-21289.87</f>
        <v>-21289.87</v>
      </c>
      <c r="U37" s="2"/>
      <c r="V37" s="19"/>
      <c r="W37" s="2"/>
      <c r="X37" s="2">
        <f t="shared" si="2"/>
        <v>16493.509999999998</v>
      </c>
      <c r="Y37" s="2"/>
      <c r="Z37" s="19">
        <f t="shared" si="3"/>
        <v>-0.77471163515794128</v>
      </c>
    </row>
    <row r="38" spans="1:26" s="23" customFormat="1" hidden="1" outlineLevel="1" x14ac:dyDescent="0.25">
      <c r="A38" s="44"/>
      <c r="B38" s="10" t="str">
        <f>CONCATENATE("          ", "4302", " - ", "SALES RETURN NON TAXABLE-TEXT")</f>
        <v xml:space="preserve">          4302 - SALES RETURN NON TAXABLE-TEXT</v>
      </c>
      <c r="C38" s="10"/>
      <c r="D38" s="2">
        <f>-134.22</f>
        <v>-134.22</v>
      </c>
      <c r="E38" s="2"/>
      <c r="F38" s="19"/>
      <c r="G38" s="2"/>
      <c r="H38" s="2">
        <f>-67.5</f>
        <v>-67.5</v>
      </c>
      <c r="I38" s="2"/>
      <c r="J38" s="19"/>
      <c r="K38" s="2"/>
      <c r="L38" s="2">
        <f t="shared" si="0"/>
        <v>-66.72</v>
      </c>
      <c r="M38" s="2"/>
      <c r="N38" s="19">
        <f t="shared" si="1"/>
        <v>0.98844444444444446</v>
      </c>
      <c r="O38" s="10"/>
      <c r="P38" s="2">
        <f>-2577.54</f>
        <v>-2577.54</v>
      </c>
      <c r="Q38" s="2"/>
      <c r="R38" s="19"/>
      <c r="S38" s="2"/>
      <c r="T38" s="2">
        <f>-1379.87</f>
        <v>-1379.87</v>
      </c>
      <c r="U38" s="2"/>
      <c r="V38" s="19"/>
      <c r="W38" s="2"/>
      <c r="X38" s="2">
        <f t="shared" si="2"/>
        <v>-1197.67</v>
      </c>
      <c r="Y38" s="2"/>
      <c r="Z38" s="19">
        <f t="shared" si="3"/>
        <v>0.86795857580786606</v>
      </c>
    </row>
    <row r="39" spans="1:26" s="23" customFormat="1" hidden="1" outlineLevel="1" x14ac:dyDescent="0.25">
      <c r="A39" s="44"/>
      <c r="B39" s="10" t="str">
        <f>CONCATENATE("          ", "4303", " - ", "SALES RETURN NON-TAXABLE-RENTA")</f>
        <v xml:space="preserve">          4303 - SALES RETURN NON-TAXABLE-RENTA</v>
      </c>
      <c r="C39" s="10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"4304", " - ", "SALES RETURN NON TAXABLE-DIGIT")</f>
        <v xml:space="preserve">          4304 - SALES RETURN NON TAXABLE-DIGIT</v>
      </c>
      <c r="C40" s="10"/>
      <c r="D40" s="2">
        <f>-3338.22</f>
        <v>-3338.22</v>
      </c>
      <c r="E40" s="2"/>
      <c r="F40" s="19"/>
      <c r="G40" s="2"/>
      <c r="H40" s="2">
        <f>-438.2</f>
        <v>-438.2</v>
      </c>
      <c r="I40" s="2"/>
      <c r="J40" s="19"/>
      <c r="K40" s="2"/>
      <c r="L40" s="2">
        <f t="shared" si="0"/>
        <v>-2900.02</v>
      </c>
      <c r="M40" s="2"/>
      <c r="N40" s="19">
        <f t="shared" si="1"/>
        <v>6.618028297581013</v>
      </c>
      <c r="O40" s="10"/>
      <c r="P40" s="2">
        <f>-30881.98</f>
        <v>-30881.98</v>
      </c>
      <c r="Q40" s="2"/>
      <c r="R40" s="19"/>
      <c r="S40" s="2"/>
      <c r="T40" s="2">
        <f>-19474.33</f>
        <v>-19474.330000000002</v>
      </c>
      <c r="U40" s="2"/>
      <c r="V40" s="19"/>
      <c r="W40" s="2"/>
      <c r="X40" s="2">
        <f t="shared" si="2"/>
        <v>-11407.649999999998</v>
      </c>
      <c r="Y40" s="2"/>
      <c r="Z40" s="19">
        <f t="shared" si="3"/>
        <v>0.58577881755110428</v>
      </c>
    </row>
    <row r="41" spans="1:26" s="23" customFormat="1" hidden="1" outlineLevel="1" x14ac:dyDescent="0.25">
      <c r="A41" s="44"/>
      <c r="B41" s="10" t="str">
        <f>CONCATENATE("          ", "4311", " - ", "SALES RETURN NON TAXABLE-NO VA")</f>
        <v xml:space="preserve">          4311 - SALES RETURN NON TAXABLE-NO VA</v>
      </c>
      <c r="C41" s="10"/>
      <c r="D41" s="2">
        <f t="shared" ref="D41:D42" si="10">0</f>
        <v>0</v>
      </c>
      <c r="E41" s="2"/>
      <c r="F41" s="19"/>
      <c r="G41" s="2"/>
      <c r="H41" s="2">
        <f t="shared" ref="H41:H42" si="11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ref="P41:P42" si="12">0</f>
        <v>0</v>
      </c>
      <c r="Q41" s="2"/>
      <c r="R41" s="19"/>
      <c r="S41" s="2"/>
      <c r="T41" s="2">
        <f>-941.28</f>
        <v>-941.28</v>
      </c>
      <c r="U41" s="2"/>
      <c r="V41" s="19"/>
      <c r="W41" s="2"/>
      <c r="X41" s="2">
        <f t="shared" si="2"/>
        <v>941.28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"4313", " - ", "SALES RETURN NON TAXABLE-TRADE")</f>
        <v xml:space="preserve">          4313 - SALES RETURN NON TAXABLE-TRADE</v>
      </c>
      <c r="C42" s="10"/>
      <c r="D42" s="2">
        <f t="shared" si="10"/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12"/>
        <v>0</v>
      </c>
      <c r="Q42" s="2"/>
      <c r="R42" s="19"/>
      <c r="S42" s="2"/>
      <c r="T42" s="2">
        <f>-2481.44</f>
        <v>-2481.44</v>
      </c>
      <c r="U42" s="2"/>
      <c r="V42" s="19"/>
      <c r="W42" s="2"/>
      <c r="X42" s="2">
        <f t="shared" si="2"/>
        <v>2481.44</v>
      </c>
      <c r="Y42" s="2"/>
      <c r="Z42" s="19">
        <f t="shared" si="3"/>
        <v>-1</v>
      </c>
    </row>
    <row r="43" spans="1:26" x14ac:dyDescent="0.25">
      <c r="A43" s="9"/>
      <c r="B43" s="11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4" customFormat="1" collapsed="1" x14ac:dyDescent="0.25">
      <c r="A44" s="11"/>
      <c r="B44" s="29" t="s">
        <v>256</v>
      </c>
      <c r="C44" s="11"/>
      <c r="D44" s="4">
        <f>SUM(OSRRefD16x_0)</f>
        <v>45586</v>
      </c>
      <c r="E44" s="4"/>
      <c r="F44" s="13">
        <f t="shared" ref="F44:F61" si="13">IF(D$12=0,0,D44/D$12)</f>
        <v>0.88364911845406979</v>
      </c>
      <c r="G44" s="4"/>
      <c r="H44" s="4">
        <f>SUM(OSRRefH16x_0)</f>
        <v>43311.700000000004</v>
      </c>
      <c r="I44" s="4"/>
      <c r="J44" s="13">
        <f t="shared" ref="J44:J61" si="14">IF(H$12=0,0,H44/H$12)</f>
        <v>1.1280836483778087</v>
      </c>
      <c r="K44" s="4"/>
      <c r="L44" s="4">
        <f t="shared" ref="L44:L61" si="15">+D44-H44</f>
        <v>2274.2999999999956</v>
      </c>
      <c r="M44" s="4"/>
      <c r="N44" s="13">
        <f t="shared" ref="N44:N61" si="16">IF(H44=0,0,L44/H44)</f>
        <v>5.2510060791887539E-2</v>
      </c>
      <c r="O44" s="11"/>
      <c r="P44" s="4">
        <f>SUM(OSRRefP16x_0)</f>
        <v>1406908</v>
      </c>
      <c r="Q44" s="4"/>
      <c r="R44" s="13">
        <f t="shared" ref="R44:R61" si="17">IF(P$12=0,0,P44/P$12)</f>
        <v>0.7155667344300628</v>
      </c>
      <c r="S44" s="4"/>
      <c r="T44" s="4">
        <f>SUM(OSRRefT16x_0)</f>
        <v>2360877.1200000006</v>
      </c>
      <c r="U44" s="4"/>
      <c r="V44" s="13">
        <f t="shared" ref="V44:V61" si="18">IF(T$12=0,0,T44/T$12)</f>
        <v>0.70867264390462592</v>
      </c>
      <c r="W44" s="4"/>
      <c r="X44" s="4">
        <f t="shared" ref="X44:X61" si="19">+P44-T44</f>
        <v>-953969.12000000058</v>
      </c>
      <c r="Y44" s="4"/>
      <c r="Z44" s="13">
        <f t="shared" ref="Z44:Z61" si="20">IF(T44=0,0,X44/T44)</f>
        <v>-0.40407402482684079</v>
      </c>
    </row>
    <row r="45" spans="1:26" s="23" customFormat="1" hidden="1" outlineLevel="1" x14ac:dyDescent="0.25">
      <c r="A45" s="44"/>
      <c r="B45" s="10" t="str">
        <f>CONCATENATE("          ", "5000", " - ", "PURCHASES @ COST")</f>
        <v xml:space="preserve">          5000 - PURCHASES @ COST</v>
      </c>
      <c r="C45" s="10"/>
      <c r="D45" s="2"/>
      <c r="E45" s="2"/>
      <c r="F45" s="19">
        <f t="shared" si="13"/>
        <v>0</v>
      </c>
      <c r="G45" s="2"/>
      <c r="H45" s="2">
        <v>0</v>
      </c>
      <c r="I45" s="2"/>
      <c r="J45" s="19">
        <f t="shared" si="14"/>
        <v>0</v>
      </c>
      <c r="K45" s="2"/>
      <c r="L45" s="2">
        <f t="shared" si="15"/>
        <v>0</v>
      </c>
      <c r="M45" s="2"/>
      <c r="N45" s="19">
        <f t="shared" si="16"/>
        <v>0</v>
      </c>
      <c r="O45" s="10"/>
      <c r="P45" s="2">
        <v>0</v>
      </c>
      <c r="Q45" s="2"/>
      <c r="R45" s="19">
        <f t="shared" si="17"/>
        <v>0</v>
      </c>
      <c r="S45" s="2"/>
      <c r="T45" s="2">
        <v>0</v>
      </c>
      <c r="U45" s="2"/>
      <c r="V45" s="19">
        <f t="shared" si="18"/>
        <v>0</v>
      </c>
      <c r="W45" s="2"/>
      <c r="X45" s="2">
        <f t="shared" si="19"/>
        <v>0</v>
      </c>
      <c r="Y45" s="2"/>
      <c r="Z45" s="19">
        <f t="shared" si="20"/>
        <v>0</v>
      </c>
    </row>
    <row r="46" spans="1:26" s="23" customFormat="1" hidden="1" outlineLevel="1" x14ac:dyDescent="0.25">
      <c r="A46" s="44"/>
      <c r="B46" s="10" t="str">
        <f>CONCATENATE("          ", "5001", " - ", "PURCHASES @ COST-NEW TEXT")</f>
        <v xml:space="preserve">          5001 - PURCHASES @ COST-NEW TEXT</v>
      </c>
      <c r="C46" s="10"/>
      <c r="D46" s="2">
        <v>60234.07</v>
      </c>
      <c r="E46" s="2"/>
      <c r="F46" s="19">
        <f t="shared" si="13"/>
        <v>1.1675905509674185</v>
      </c>
      <c r="G46" s="2"/>
      <c r="H46" s="2">
        <v>69416.47</v>
      </c>
      <c r="I46" s="2"/>
      <c r="J46" s="19">
        <f t="shared" si="14"/>
        <v>1.8080007188613862</v>
      </c>
      <c r="K46" s="2"/>
      <c r="L46" s="2">
        <f t="shared" si="15"/>
        <v>-9182.4000000000015</v>
      </c>
      <c r="M46" s="2"/>
      <c r="N46" s="19">
        <f t="shared" si="16"/>
        <v>-0.13227984655514752</v>
      </c>
      <c r="O46" s="10"/>
      <c r="P46" s="2">
        <v>766221.51</v>
      </c>
      <c r="Q46" s="2"/>
      <c r="R46" s="19">
        <f t="shared" si="17"/>
        <v>0.38970751730800574</v>
      </c>
      <c r="S46" s="2"/>
      <c r="T46" s="2">
        <v>1153896.26</v>
      </c>
      <c r="U46" s="2"/>
      <c r="V46" s="19">
        <f t="shared" si="18"/>
        <v>0.3463690280355885</v>
      </c>
      <c r="W46" s="2"/>
      <c r="X46" s="2">
        <f t="shared" si="19"/>
        <v>-387674.75</v>
      </c>
      <c r="Y46" s="2"/>
      <c r="Z46" s="19">
        <f t="shared" si="20"/>
        <v>-0.33597019371568115</v>
      </c>
    </row>
    <row r="47" spans="1:26" s="23" customFormat="1" hidden="1" outlineLevel="1" x14ac:dyDescent="0.25">
      <c r="A47" s="44"/>
      <c r="B47" s="10" t="str">
        <f>CONCATENATE("          ", "5002", " - ", "PURCHASES @ COST-USED TEXT")</f>
        <v xml:space="preserve">          5002 - PURCHASES @ COST-USED TEXT</v>
      </c>
      <c r="C47" s="10"/>
      <c r="D47" s="2">
        <v>2379.66</v>
      </c>
      <c r="E47" s="2"/>
      <c r="F47" s="19">
        <f t="shared" si="13"/>
        <v>4.6127856386180222E-2</v>
      </c>
      <c r="G47" s="2"/>
      <c r="H47" s="2">
        <v>8828.2900000000009</v>
      </c>
      <c r="I47" s="2"/>
      <c r="J47" s="19">
        <f t="shared" si="14"/>
        <v>0.22993901398784453</v>
      </c>
      <c r="K47" s="2"/>
      <c r="L47" s="2">
        <f t="shared" si="15"/>
        <v>-6448.630000000001</v>
      </c>
      <c r="M47" s="2"/>
      <c r="N47" s="19">
        <f t="shared" si="16"/>
        <v>-0.73045063086962481</v>
      </c>
      <c r="O47" s="10"/>
      <c r="P47" s="2">
        <v>34702.49</v>
      </c>
      <c r="Q47" s="2"/>
      <c r="R47" s="19">
        <f t="shared" si="17"/>
        <v>1.7650015101123819E-2</v>
      </c>
      <c r="S47" s="2"/>
      <c r="T47" s="2">
        <v>-76795.039999999994</v>
      </c>
      <c r="U47" s="2"/>
      <c r="V47" s="19">
        <f t="shared" si="18"/>
        <v>-2.3051832547541264E-2</v>
      </c>
      <c r="W47" s="2"/>
      <c r="X47" s="2">
        <f t="shared" si="19"/>
        <v>111497.53</v>
      </c>
      <c r="Y47" s="2"/>
      <c r="Z47" s="19">
        <f t="shared" si="20"/>
        <v>-1.4518845227504278</v>
      </c>
    </row>
    <row r="48" spans="1:26" s="23" customFormat="1" hidden="1" outlineLevel="1" x14ac:dyDescent="0.25">
      <c r="A48" s="44"/>
      <c r="B48" s="10" t="str">
        <f>CONCATENATE("          ", "5003", " - ", "PURCHASES @ COST-RENTAL TEXT")</f>
        <v xml:space="preserve">          5003 - PURCHASES @ COST-RENTAL TEXT</v>
      </c>
      <c r="C48" s="10"/>
      <c r="D48" s="2">
        <v>7179.56</v>
      </c>
      <c r="E48" s="2"/>
      <c r="F48" s="19">
        <f t="shared" si="13"/>
        <v>0.13917018086447819</v>
      </c>
      <c r="G48" s="2"/>
      <c r="H48" s="2"/>
      <c r="I48" s="2"/>
      <c r="J48" s="19">
        <f t="shared" si="14"/>
        <v>0</v>
      </c>
      <c r="K48" s="2"/>
      <c r="L48" s="2">
        <f t="shared" si="15"/>
        <v>7179.56</v>
      </c>
      <c r="M48" s="2"/>
      <c r="N48" s="19">
        <f t="shared" si="16"/>
        <v>0</v>
      </c>
      <c r="O48" s="10"/>
      <c r="P48" s="2">
        <v>7212.08</v>
      </c>
      <c r="Q48" s="2"/>
      <c r="R48" s="19">
        <f t="shared" si="17"/>
        <v>3.668132197733162E-3</v>
      </c>
      <c r="S48" s="2"/>
      <c r="T48" s="2">
        <v>-78.400000000000006</v>
      </c>
      <c r="U48" s="2"/>
      <c r="V48" s="19">
        <f t="shared" si="18"/>
        <v>-2.3533598937213075E-5</v>
      </c>
      <c r="W48" s="2"/>
      <c r="X48" s="2">
        <f t="shared" si="19"/>
        <v>7290.48</v>
      </c>
      <c r="Y48" s="2"/>
      <c r="Z48" s="19">
        <f t="shared" si="20"/>
        <v>-92.990816326530606</v>
      </c>
    </row>
    <row r="49" spans="1:26" s="23" customFormat="1" hidden="1" outlineLevel="1" x14ac:dyDescent="0.25">
      <c r="A49" s="44"/>
      <c r="B49" s="10" t="str">
        <f>CONCATENATE("          ", "5004", " - ", "PURCHASES @ COST-DIGITAL TEXT")</f>
        <v xml:space="preserve">          5004 - PURCHASES @ COST-DIGITAL TEXT</v>
      </c>
      <c r="C49" s="10"/>
      <c r="D49" s="2">
        <v>-7843.95</v>
      </c>
      <c r="E49" s="2"/>
      <c r="F49" s="19">
        <f t="shared" si="13"/>
        <v>-0.15204886374539991</v>
      </c>
      <c r="G49" s="2"/>
      <c r="H49" s="2">
        <v>-46518.26</v>
      </c>
      <c r="I49" s="2"/>
      <c r="J49" s="19">
        <f t="shared" si="14"/>
        <v>-1.2116007558462836</v>
      </c>
      <c r="K49" s="2"/>
      <c r="L49" s="2">
        <f t="shared" si="15"/>
        <v>38674.310000000005</v>
      </c>
      <c r="M49" s="2"/>
      <c r="N49" s="19">
        <f t="shared" si="16"/>
        <v>-0.83137911865147152</v>
      </c>
      <c r="O49" s="10"/>
      <c r="P49" s="2">
        <v>199606.43</v>
      </c>
      <c r="Q49" s="2"/>
      <c r="R49" s="19">
        <f t="shared" si="17"/>
        <v>0.10152172088462282</v>
      </c>
      <c r="S49" s="2"/>
      <c r="T49" s="2">
        <v>446269.65</v>
      </c>
      <c r="U49" s="2"/>
      <c r="V49" s="19">
        <f t="shared" si="18"/>
        <v>0.13395830307334758</v>
      </c>
      <c r="W49" s="2"/>
      <c r="X49" s="2">
        <f t="shared" si="19"/>
        <v>-246663.22000000003</v>
      </c>
      <c r="Y49" s="2"/>
      <c r="Z49" s="19">
        <f t="shared" si="20"/>
        <v>-0.55272237312127326</v>
      </c>
    </row>
    <row r="50" spans="1:26" s="23" customFormat="1" hidden="1" outlineLevel="1" x14ac:dyDescent="0.25">
      <c r="A50" s="44"/>
      <c r="B50" s="10" t="str">
        <f>CONCATENATE("          ", "5011", " - ", "PURCHASES @ COST-NO VALUE TEXT")</f>
        <v xml:space="preserve">          5011 - PURCHASES @ COST-NO VALUE TEXT</v>
      </c>
      <c r="C50" s="10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0"/>
      <c r="P50" s="2">
        <v>67.17</v>
      </c>
      <c r="Q50" s="2"/>
      <c r="R50" s="19">
        <f t="shared" si="17"/>
        <v>3.4163298205474221E-5</v>
      </c>
      <c r="S50" s="2"/>
      <c r="T50" s="2">
        <v>6363</v>
      </c>
      <c r="U50" s="2"/>
      <c r="V50" s="19">
        <f t="shared" si="18"/>
        <v>1.9100036994577395E-3</v>
      </c>
      <c r="W50" s="2"/>
      <c r="X50" s="2">
        <f t="shared" si="19"/>
        <v>-6295.83</v>
      </c>
      <c r="Y50" s="2"/>
      <c r="Z50" s="19">
        <f t="shared" si="20"/>
        <v>-0.98944365865157946</v>
      </c>
    </row>
    <row r="51" spans="1:26" s="23" customFormat="1" hidden="1" outlineLevel="1" x14ac:dyDescent="0.25">
      <c r="A51" s="44"/>
      <c r="B51" s="10" t="str">
        <f>CONCATENATE("          ", "5013", " - ", "PURCHASES @ COST-TRADE BOOKS")</f>
        <v xml:space="preserve">          5013 - PURCHASES @ COST-TRADE BOOKS</v>
      </c>
      <c r="C51" s="10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0"/>
      <c r="P51" s="2">
        <v>9670.02</v>
      </c>
      <c r="Q51" s="2"/>
      <c r="R51" s="19">
        <f t="shared" si="17"/>
        <v>4.9182637622882212E-3</v>
      </c>
      <c r="S51" s="2"/>
      <c r="T51" s="2">
        <v>3197.85</v>
      </c>
      <c r="U51" s="2"/>
      <c r="V51" s="19">
        <f t="shared" si="18"/>
        <v>9.5990968573171967E-4</v>
      </c>
      <c r="W51" s="2"/>
      <c r="X51" s="2">
        <f t="shared" si="19"/>
        <v>6472.17</v>
      </c>
      <c r="Y51" s="2"/>
      <c r="Z51" s="19">
        <f t="shared" si="20"/>
        <v>2.0239129415075756</v>
      </c>
    </row>
    <row r="52" spans="1:26" s="23" customFormat="1" hidden="1" outlineLevel="1" x14ac:dyDescent="0.25">
      <c r="A52" s="44"/>
      <c r="B52" s="10" t="str">
        <f>CONCATENATE("          ", "5014", " - ", "PURCHASES @ COST-REMAINDERS")</f>
        <v xml:space="preserve">          5014 - PURCHASES @ COST-REMAINDERS</v>
      </c>
      <c r="C52" s="10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0"/>
      <c r="P52" s="2">
        <v>111.57</v>
      </c>
      <c r="Q52" s="2"/>
      <c r="R52" s="19">
        <f t="shared" si="17"/>
        <v>5.6745558743259762E-5</v>
      </c>
      <c r="S52" s="2"/>
      <c r="T52" s="2">
        <v>600.61</v>
      </c>
      <c r="U52" s="2"/>
      <c r="V52" s="19">
        <f t="shared" si="18"/>
        <v>1.8028717930713704E-4</v>
      </c>
      <c r="W52" s="2"/>
      <c r="X52" s="2">
        <f t="shared" si="19"/>
        <v>-489.04</v>
      </c>
      <c r="Y52" s="2"/>
      <c r="Z52" s="19">
        <f t="shared" si="20"/>
        <v>-0.81423885716188549</v>
      </c>
    </row>
    <row r="53" spans="1:26" s="23" customFormat="1" hidden="1" outlineLevel="1" x14ac:dyDescent="0.25">
      <c r="A53" s="44"/>
      <c r="B53" s="10" t="str">
        <f>CONCATENATE("          ", "5018", " - ", "PURCHASES @ COST-STUDY GUIDES")</f>
        <v xml:space="preserve">          5018 - PURCHASES @ COST-STUDY GUIDES</v>
      </c>
      <c r="C53" s="10"/>
      <c r="D53" s="2"/>
      <c r="E53" s="2"/>
      <c r="F53" s="19">
        <f t="shared" si="13"/>
        <v>0</v>
      </c>
      <c r="G53" s="2"/>
      <c r="H53" s="2"/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>
        <v>967.21</v>
      </c>
      <c r="Q53" s="2"/>
      <c r="R53" s="19">
        <f t="shared" si="17"/>
        <v>4.91932166998909E-4</v>
      </c>
      <c r="S53" s="2"/>
      <c r="T53" s="2">
        <v>-205.14</v>
      </c>
      <c r="U53" s="2"/>
      <c r="V53" s="19">
        <f t="shared" si="18"/>
        <v>-6.1577582729335323E-5</v>
      </c>
      <c r="W53" s="2"/>
      <c r="X53" s="2">
        <f t="shared" si="19"/>
        <v>1172.3499999999999</v>
      </c>
      <c r="Y53" s="2"/>
      <c r="Z53" s="19">
        <f t="shared" si="20"/>
        <v>-5.7148776445354388</v>
      </c>
    </row>
    <row r="54" spans="1:26" s="23" customFormat="1" hidden="1" outlineLevel="1" x14ac:dyDescent="0.25">
      <c r="A54" s="44"/>
      <c r="B54" s="10" t="str">
        <f>CONCATENATE("          ", "5200", " - ", "PURCHASES OFFSET")</f>
        <v xml:space="preserve">          5200 - PURCHASES OFFSET</v>
      </c>
      <c r="C54" s="10"/>
      <c r="D54" s="2">
        <v>-63605.72</v>
      </c>
      <c r="E54" s="2"/>
      <c r="F54" s="19">
        <f t="shared" si="13"/>
        <v>-1.2329473611774755</v>
      </c>
      <c r="G54" s="2"/>
      <c r="H54" s="2">
        <v>-32085</v>
      </c>
      <c r="I54" s="2"/>
      <c r="J54" s="19">
        <f t="shared" si="14"/>
        <v>-0.83567636131119283</v>
      </c>
      <c r="K54" s="2"/>
      <c r="L54" s="2">
        <f t="shared" si="15"/>
        <v>-31520.720000000001</v>
      </c>
      <c r="M54" s="2"/>
      <c r="N54" s="19">
        <f t="shared" si="16"/>
        <v>0.98241296556023072</v>
      </c>
      <c r="O54" s="10"/>
      <c r="P54" s="2">
        <v>-1088501.69</v>
      </c>
      <c r="Q54" s="2"/>
      <c r="R54" s="19">
        <f t="shared" si="17"/>
        <v>-0.55362226935585312</v>
      </c>
      <c r="S54" s="2"/>
      <c r="T54" s="2">
        <v>-1618852</v>
      </c>
      <c r="U54" s="2"/>
      <c r="V54" s="19">
        <f t="shared" si="18"/>
        <v>-0.48593639932022009</v>
      </c>
      <c r="W54" s="2"/>
      <c r="X54" s="2">
        <f t="shared" si="19"/>
        <v>530350.31000000006</v>
      </c>
      <c r="Y54" s="2"/>
      <c r="Z54" s="19">
        <f t="shared" si="20"/>
        <v>-0.32760889198024284</v>
      </c>
    </row>
    <row r="55" spans="1:26" s="23" customFormat="1" hidden="1" outlineLevel="1" x14ac:dyDescent="0.25">
      <c r="A55" s="44"/>
      <c r="B55" s="10" t="str">
        <f>CONCATENATE("          ", "5300", " - ", "COG$ OFFSET")</f>
        <v xml:space="preserve">          5300 - COG$ OFFSET</v>
      </c>
      <c r="C55" s="10"/>
      <c r="D55" s="2">
        <v>45586</v>
      </c>
      <c r="E55" s="2"/>
      <c r="F55" s="19">
        <f t="shared" si="13"/>
        <v>0.88364911845406979</v>
      </c>
      <c r="G55" s="2"/>
      <c r="H55" s="2">
        <v>43312</v>
      </c>
      <c r="I55" s="2"/>
      <c r="J55" s="19">
        <f t="shared" si="14"/>
        <v>1.128091462088527</v>
      </c>
      <c r="K55" s="2"/>
      <c r="L55" s="2">
        <f t="shared" si="15"/>
        <v>2274</v>
      </c>
      <c r="M55" s="2"/>
      <c r="N55" s="19">
        <f t="shared" si="16"/>
        <v>5.250277059475434E-2</v>
      </c>
      <c r="O55" s="10"/>
      <c r="P55" s="2">
        <v>1406908</v>
      </c>
      <c r="Q55" s="2"/>
      <c r="R55" s="19">
        <f t="shared" si="17"/>
        <v>0.7155667344300628</v>
      </c>
      <c r="S55" s="2"/>
      <c r="T55" s="2">
        <v>2360840.4700000002</v>
      </c>
      <c r="U55" s="2"/>
      <c r="V55" s="19">
        <f t="shared" si="18"/>
        <v>0.70866164254746955</v>
      </c>
      <c r="W55" s="2"/>
      <c r="X55" s="2">
        <f t="shared" si="19"/>
        <v>-953932.4700000002</v>
      </c>
      <c r="Y55" s="2"/>
      <c r="Z55" s="19">
        <f t="shared" si="20"/>
        <v>-0.40406477359310944</v>
      </c>
    </row>
    <row r="56" spans="1:26" s="23" customFormat="1" hidden="1" outlineLevel="1" x14ac:dyDescent="0.25">
      <c r="A56" s="44"/>
      <c r="B56" s="10" t="str">
        <f>CONCATENATE("          ", "5500", " - ", "FREIGHT-IN")</f>
        <v xml:space="preserve">          5500 - FREIGHT-IN</v>
      </c>
      <c r="C56" s="10"/>
      <c r="D56" s="2">
        <v>0</v>
      </c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0"/>
      <c r="P56" s="2">
        <v>0</v>
      </c>
      <c r="Q56" s="2"/>
      <c r="R56" s="19">
        <f t="shared" si="17"/>
        <v>0</v>
      </c>
      <c r="S56" s="2"/>
      <c r="T56" s="2">
        <v>41.25</v>
      </c>
      <c r="U56" s="2"/>
      <c r="V56" s="19">
        <f t="shared" si="18"/>
        <v>1.2382155053061725E-5</v>
      </c>
      <c r="W56" s="2"/>
      <c r="X56" s="2">
        <f t="shared" si="19"/>
        <v>-41.25</v>
      </c>
      <c r="Y56" s="2"/>
      <c r="Z56" s="19">
        <f t="shared" si="20"/>
        <v>-1</v>
      </c>
    </row>
    <row r="57" spans="1:26" s="23" customFormat="1" hidden="1" outlineLevel="1" x14ac:dyDescent="0.25">
      <c r="A57" s="44"/>
      <c r="B57" s="10" t="str">
        <f>CONCATENATE("          ", "5501", " - ", "FREIGHT-IN-NEW TEXT")</f>
        <v xml:space="preserve">          5501 - FREIGHT-IN-NEW TEXT</v>
      </c>
      <c r="C57" s="10"/>
      <c r="D57" s="2">
        <v>1522.41</v>
      </c>
      <c r="E57" s="2"/>
      <c r="F57" s="19">
        <f t="shared" si="13"/>
        <v>2.9510732558804469E-2</v>
      </c>
      <c r="G57" s="2"/>
      <c r="H57" s="2">
        <v>-21.22</v>
      </c>
      <c r="I57" s="2"/>
      <c r="J57" s="19">
        <f t="shared" si="14"/>
        <v>-5.526898048004834E-4</v>
      </c>
      <c r="K57" s="2"/>
      <c r="L57" s="2">
        <f t="shared" si="15"/>
        <v>1543.63</v>
      </c>
      <c r="M57" s="2"/>
      <c r="N57" s="19">
        <f t="shared" si="16"/>
        <v>-72.744109330819995</v>
      </c>
      <c r="O57" s="10"/>
      <c r="P57" s="2">
        <v>51836.14</v>
      </c>
      <c r="Q57" s="2"/>
      <c r="R57" s="19">
        <f t="shared" si="17"/>
        <v>2.6364351773719076E-2</v>
      </c>
      <c r="S57" s="2"/>
      <c r="T57" s="2">
        <v>69747.73</v>
      </c>
      <c r="U57" s="2"/>
      <c r="V57" s="19">
        <f t="shared" si="18"/>
        <v>2.0936417150523266E-2</v>
      </c>
      <c r="W57" s="2"/>
      <c r="X57" s="2">
        <f t="shared" si="19"/>
        <v>-17911.589999999997</v>
      </c>
      <c r="Y57" s="2"/>
      <c r="Z57" s="19">
        <f t="shared" si="20"/>
        <v>-0.25680534692670282</v>
      </c>
    </row>
    <row r="58" spans="1:26" s="23" customFormat="1" hidden="1" outlineLevel="1" x14ac:dyDescent="0.25">
      <c r="A58" s="44"/>
      <c r="B58" s="10" t="str">
        <f>CONCATENATE("          ", "5502", " - ", "FREIGHT-IN-USED TEXT")</f>
        <v xml:space="preserve">          5502 - FREIGHT-IN-USED TEXT</v>
      </c>
      <c r="C58" s="10"/>
      <c r="D58" s="2">
        <v>133.97</v>
      </c>
      <c r="E58" s="2"/>
      <c r="F58" s="19">
        <f t="shared" si="13"/>
        <v>2.596904145994203E-3</v>
      </c>
      <c r="G58" s="2"/>
      <c r="H58" s="2">
        <v>379.42</v>
      </c>
      <c r="I58" s="2"/>
      <c r="J58" s="19">
        <f t="shared" si="14"/>
        <v>9.8822604023279664E-3</v>
      </c>
      <c r="K58" s="2"/>
      <c r="L58" s="2">
        <f t="shared" si="15"/>
        <v>-245.45000000000002</v>
      </c>
      <c r="M58" s="2"/>
      <c r="N58" s="19">
        <f t="shared" si="16"/>
        <v>-0.64690843919666863</v>
      </c>
      <c r="O58" s="10"/>
      <c r="P58" s="2">
        <v>17992.87</v>
      </c>
      <c r="Q58" s="2"/>
      <c r="R58" s="19">
        <f t="shared" si="17"/>
        <v>9.1513441027591316E-3</v>
      </c>
      <c r="S58" s="2"/>
      <c r="T58" s="2">
        <v>15680.76</v>
      </c>
      <c r="U58" s="2"/>
      <c r="V58" s="19">
        <f t="shared" si="18"/>
        <v>4.7069479192690467E-3</v>
      </c>
      <c r="W58" s="2"/>
      <c r="X58" s="2">
        <f t="shared" si="19"/>
        <v>2312.1099999999988</v>
      </c>
      <c r="Y58" s="2"/>
      <c r="Z58" s="19">
        <f t="shared" si="20"/>
        <v>0.14744884814256443</v>
      </c>
    </row>
    <row r="59" spans="1:26" s="23" customFormat="1" hidden="1" outlineLevel="1" x14ac:dyDescent="0.25">
      <c r="A59" s="44"/>
      <c r="B59" s="10" t="str">
        <f>CONCATENATE("          ", "5504", " - ", "FREIGHT-IN-DIGITAL TEXT")</f>
        <v xml:space="preserve">          5504 - FREIGHT-IN-DIGITAL TEXT</v>
      </c>
      <c r="C59" s="10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0"/>
      <c r="P59" s="2">
        <v>28.92</v>
      </c>
      <c r="Q59" s="2"/>
      <c r="R59" s="19">
        <f t="shared" si="17"/>
        <v>1.4708985917854912E-5</v>
      </c>
      <c r="S59" s="2"/>
      <c r="T59" s="2">
        <v>118.75</v>
      </c>
      <c r="U59" s="2"/>
      <c r="V59" s="19">
        <f t="shared" si="18"/>
        <v>3.5645597880026176E-5</v>
      </c>
      <c r="W59" s="2"/>
      <c r="X59" s="2">
        <f t="shared" si="19"/>
        <v>-89.83</v>
      </c>
      <c r="Y59" s="2"/>
      <c r="Z59" s="19">
        <f t="shared" si="20"/>
        <v>-0.75646315789473684</v>
      </c>
    </row>
    <row r="60" spans="1:26" s="23" customFormat="1" hidden="1" outlineLevel="1" x14ac:dyDescent="0.25">
      <c r="A60" s="44"/>
      <c r="B60" s="10" t="str">
        <f>CONCATENATE("          ", "5513", " - ", "FREIGHT-IN-TRADE BOOKS")</f>
        <v xml:space="preserve">          5513 - FREIGHT-IN-TRADE BOOKS</v>
      </c>
      <c r="C60" s="10"/>
      <c r="D60" s="2"/>
      <c r="E60" s="2"/>
      <c r="F60" s="19">
        <f t="shared" si="13"/>
        <v>0</v>
      </c>
      <c r="G60" s="2"/>
      <c r="H60" s="2"/>
      <c r="I60" s="2"/>
      <c r="J60" s="19">
        <f t="shared" si="14"/>
        <v>0</v>
      </c>
      <c r="K60" s="2"/>
      <c r="L60" s="2">
        <f t="shared" si="15"/>
        <v>0</v>
      </c>
      <c r="M60" s="2"/>
      <c r="N60" s="19">
        <f t="shared" si="16"/>
        <v>0</v>
      </c>
      <c r="O60" s="10"/>
      <c r="P60" s="2">
        <v>85.28</v>
      </c>
      <c r="Q60" s="2"/>
      <c r="R60" s="19">
        <f t="shared" si="17"/>
        <v>4.337421573563855E-5</v>
      </c>
      <c r="S60" s="2"/>
      <c r="T60" s="2">
        <v>30.24</v>
      </c>
      <c r="U60" s="2"/>
      <c r="V60" s="19">
        <f t="shared" si="18"/>
        <v>9.0772453043536135E-6</v>
      </c>
      <c r="W60" s="2"/>
      <c r="X60" s="2">
        <f t="shared" si="19"/>
        <v>55.040000000000006</v>
      </c>
      <c r="Y60" s="2"/>
      <c r="Z60" s="19">
        <f t="shared" si="20"/>
        <v>1.8201058201058204</v>
      </c>
    </row>
    <row r="61" spans="1:26" s="23" customFormat="1" hidden="1" outlineLevel="1" x14ac:dyDescent="0.25">
      <c r="A61" s="44"/>
      <c r="B61" s="10" t="str">
        <f>CONCATENATE("          ", "5518", " - ", "FREIGHT-IN-STUDY GUIDES")</f>
        <v xml:space="preserve">          5518 - FREIGHT-IN-STUDY GUIDES</v>
      </c>
      <c r="C61" s="10"/>
      <c r="D61" s="2"/>
      <c r="E61" s="2"/>
      <c r="F61" s="19">
        <f t="shared" si="13"/>
        <v>0</v>
      </c>
      <c r="G61" s="2"/>
      <c r="H61" s="2"/>
      <c r="I61" s="2"/>
      <c r="J61" s="19">
        <f t="shared" si="14"/>
        <v>0</v>
      </c>
      <c r="K61" s="2"/>
      <c r="L61" s="2">
        <f t="shared" si="15"/>
        <v>0</v>
      </c>
      <c r="M61" s="2"/>
      <c r="N61" s="19">
        <f t="shared" si="16"/>
        <v>0</v>
      </c>
      <c r="O61" s="10"/>
      <c r="P61" s="2"/>
      <c r="Q61" s="2"/>
      <c r="R61" s="19">
        <f t="shared" si="17"/>
        <v>0</v>
      </c>
      <c r="S61" s="2"/>
      <c r="T61" s="2">
        <v>21.13</v>
      </c>
      <c r="U61" s="2"/>
      <c r="V61" s="19">
        <f t="shared" si="18"/>
        <v>6.3426651217259211E-6</v>
      </c>
      <c r="W61" s="2"/>
      <c r="X61" s="2">
        <f t="shared" si="19"/>
        <v>-21.13</v>
      </c>
      <c r="Y61" s="2"/>
      <c r="Z61" s="19">
        <f t="shared" si="20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8" t="s">
        <v>107</v>
      </c>
      <c r="C63" s="28"/>
      <c r="D63" s="20">
        <f>D12-D44</f>
        <v>6002.349999999984</v>
      </c>
      <c r="E63" s="14"/>
      <c r="F63" s="21">
        <f>IF(D$12=0,0,D63/D$12)</f>
        <v>0.11635088154593015</v>
      </c>
      <c r="G63" s="14"/>
      <c r="H63" s="20">
        <f>H12-H44</f>
        <v>-4917.6500000000087</v>
      </c>
      <c r="I63" s="14"/>
      <c r="J63" s="21">
        <f>IF(H$12=0,0,H63/H$12)</f>
        <v>-0.12808364837780878</v>
      </c>
      <c r="K63" s="15"/>
      <c r="L63" s="20">
        <f>+D63-H63</f>
        <v>10919.999999999993</v>
      </c>
      <c r="M63" s="15"/>
      <c r="N63" s="21">
        <f>IF(H63=0,0,L63/H63)</f>
        <v>-2.2205728345856199</v>
      </c>
      <c r="O63" s="29"/>
      <c r="P63" s="20">
        <f>P12-P44</f>
        <v>559237.06000000006</v>
      </c>
      <c r="Q63" s="14"/>
      <c r="R63" s="21">
        <f>IF(P$12=0,0,P63/P$12)</f>
        <v>0.28443326556993714</v>
      </c>
      <c r="S63" s="14"/>
      <c r="T63" s="20">
        <f>T12-T44</f>
        <v>970530.03999999864</v>
      </c>
      <c r="U63" s="14"/>
      <c r="V63" s="21">
        <f>IF(T$12=0,0,T63/T$12)</f>
        <v>0.29132735609537408</v>
      </c>
      <c r="W63" s="15"/>
      <c r="X63" s="20">
        <f>+P63-T63</f>
        <v>-411292.97999999858</v>
      </c>
      <c r="Y63" s="15"/>
      <c r="Z63" s="21">
        <f>IF(T63=0,0,X63/T63)</f>
        <v>-0.42378181308020013</v>
      </c>
    </row>
    <row r="64" spans="1:26" x14ac:dyDescent="0.25">
      <c r="A64" s="9"/>
      <c r="B64" s="11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4" customFormat="1" x14ac:dyDescent="0.25">
      <c r="A65" s="11"/>
      <c r="B65" s="29" t="s">
        <v>294</v>
      </c>
      <c r="C65" s="11"/>
      <c r="D65" s="22">
        <f>SUM(OSRRefD22x_0)</f>
        <v>45563.200000000012</v>
      </c>
      <c r="E65" s="22"/>
      <c r="F65" s="32">
        <f t="shared" ref="F65:F75" si="21">IF(D$12=0,0,D65/D$12)</f>
        <v>0.88320715820529294</v>
      </c>
      <c r="G65" s="22"/>
      <c r="H65" s="22">
        <f>SUM(OSRRefH22x_0)</f>
        <v>38231.100000000013</v>
      </c>
      <c r="I65" s="22"/>
      <c r="J65" s="32">
        <f t="shared" ref="J65:J75" si="22">IF(H$12=0,0,H65/H$12)</f>
        <v>0.99575585279489964</v>
      </c>
      <c r="K65" s="4"/>
      <c r="L65" s="22">
        <f t="shared" ref="L65:L75" si="23">+D65-H65</f>
        <v>7332.0999999999985</v>
      </c>
      <c r="M65" s="4"/>
      <c r="N65" s="32">
        <f t="shared" ref="N65:N75" si="24">IF(H65=0,0,L65/H65)</f>
        <v>0.19178365257604402</v>
      </c>
      <c r="O65" s="11"/>
      <c r="P65" s="22">
        <f>SUM(OSRRefP22x_0)</f>
        <v>507407.53999999986</v>
      </c>
      <c r="Q65" s="22"/>
      <c r="R65" s="32">
        <f t="shared" ref="R65:R75" si="25">IF(P$12=0,0,P65/P$12)</f>
        <v>0.25807228079091982</v>
      </c>
      <c r="S65" s="22"/>
      <c r="T65" s="22">
        <f>SUM(OSRRefT22x_0)</f>
        <v>509228.60000000003</v>
      </c>
      <c r="U65" s="22"/>
      <c r="V65" s="32">
        <f t="shared" ref="V65:V75" si="26">IF(T$12=0,0,T65/T$12)</f>
        <v>0.15285690867038904</v>
      </c>
      <c r="W65" s="4"/>
      <c r="X65" s="22">
        <f t="shared" ref="X65:X75" si="27">+P65-T65</f>
        <v>-1821.0600000001723</v>
      </c>
      <c r="Y65" s="4"/>
      <c r="Z65" s="32">
        <f t="shared" ref="Z65:Z75" si="28">IF(T65=0,0,X65/T65)</f>
        <v>-3.5761149314869041E-3</v>
      </c>
    </row>
    <row r="66" spans="1:26" s="26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11708.38</v>
      </c>
      <c r="E66" s="1"/>
      <c r="F66" s="5">
        <f t="shared" si="21"/>
        <v>0.22695783059547364</v>
      </c>
      <c r="G66" s="1"/>
      <c r="H66" s="1">
        <f>SUM(OSRRefH22_0x_0)</f>
        <v>10281.040000000001</v>
      </c>
      <c r="I66" s="1"/>
      <c r="J66" s="5">
        <f t="shared" si="22"/>
        <v>0.26777690814071459</v>
      </c>
      <c r="K66" s="1"/>
      <c r="L66" s="1">
        <f t="shared" si="23"/>
        <v>1427.3399999999983</v>
      </c>
      <c r="M66" s="1"/>
      <c r="N66" s="5">
        <f t="shared" si="24"/>
        <v>0.13883225821512202</v>
      </c>
      <c r="O66" s="12"/>
      <c r="P66" s="1">
        <f>SUM(OSRRefP22_0x_0)</f>
        <v>131878.37</v>
      </c>
      <c r="Q66" s="1"/>
      <c r="R66" s="5">
        <f t="shared" si="25"/>
        <v>6.7074588077443278E-2</v>
      </c>
      <c r="S66" s="1"/>
      <c r="T66" s="1">
        <f>SUM(OSRRefT22_0x_0)</f>
        <v>116667.29000000001</v>
      </c>
      <c r="U66" s="1"/>
      <c r="V66" s="5">
        <f t="shared" si="26"/>
        <v>3.5020423621830735E-2</v>
      </c>
      <c r="W66" s="1"/>
      <c r="X66" s="1">
        <f t="shared" si="27"/>
        <v>15211.079999999987</v>
      </c>
      <c r="Y66" s="1"/>
      <c r="Z66" s="5">
        <f t="shared" si="28"/>
        <v>0.13037998911262949</v>
      </c>
    </row>
    <row r="67" spans="1:26" s="23" customFormat="1" hidden="1" outlineLevel="2" x14ac:dyDescent="0.25">
      <c r="A67" s="27"/>
      <c r="B67" s="10" t="str">
        <f>CONCATENATE("          ", "6111", " - ", "F.I.C.A.")</f>
        <v xml:space="preserve">          6111 - F.I.C.A.</v>
      </c>
      <c r="C67" s="10"/>
      <c r="D67" s="6">
        <v>2097.79</v>
      </c>
      <c r="E67" s="2"/>
      <c r="F67" s="7">
        <f t="shared" si="21"/>
        <v>4.0664025889566163E-2</v>
      </c>
      <c r="G67" s="2"/>
      <c r="H67" s="6">
        <v>1559.66</v>
      </c>
      <c r="I67" s="2"/>
      <c r="J67" s="7">
        <f t="shared" si="22"/>
        <v>4.0622440195811599E-2</v>
      </c>
      <c r="K67" s="2"/>
      <c r="L67" s="6">
        <f t="shared" si="23"/>
        <v>538.12999999999988</v>
      </c>
      <c r="M67" s="2"/>
      <c r="N67" s="7">
        <f t="shared" si="24"/>
        <v>0.34503032712257792</v>
      </c>
      <c r="O67" s="10"/>
      <c r="P67" s="6">
        <v>24006.85</v>
      </c>
      <c r="Q67" s="2"/>
      <c r="R67" s="7">
        <f t="shared" si="25"/>
        <v>1.2210111292602183E-2</v>
      </c>
      <c r="S67" s="2"/>
      <c r="T67" s="6">
        <v>19849.41</v>
      </c>
      <c r="U67" s="2"/>
      <c r="V67" s="7">
        <f t="shared" si="26"/>
        <v>5.9582659959222769E-3</v>
      </c>
      <c r="W67" s="2"/>
      <c r="X67" s="6">
        <f t="shared" si="27"/>
        <v>4157.4399999999987</v>
      </c>
      <c r="Y67" s="2"/>
      <c r="Z67" s="7">
        <f t="shared" si="28"/>
        <v>0.20944904659634714</v>
      </c>
    </row>
    <row r="68" spans="1:26" s="23" customFormat="1" hidden="1" outlineLevel="2" x14ac:dyDescent="0.25">
      <c r="A68" s="27"/>
      <c r="B68" s="10" t="str">
        <f>CONCATENATE("          ", "6112", " - ", "COMPENSATION INSURANCE")</f>
        <v xml:space="preserve">          6112 - COMPENSATION INSURANCE</v>
      </c>
      <c r="C68" s="10"/>
      <c r="D68" s="6">
        <v>186.45</v>
      </c>
      <c r="E68" s="2"/>
      <c r="F68" s="7">
        <f t="shared" si="21"/>
        <v>3.6141880870390322E-3</v>
      </c>
      <c r="G68" s="2"/>
      <c r="H68" s="6">
        <v>226.23</v>
      </c>
      <c r="I68" s="2"/>
      <c r="J68" s="7">
        <f t="shared" si="22"/>
        <v>5.8923192525925242E-3</v>
      </c>
      <c r="K68" s="2"/>
      <c r="L68" s="6">
        <f t="shared" si="23"/>
        <v>-39.78</v>
      </c>
      <c r="M68" s="2"/>
      <c r="N68" s="7">
        <f t="shared" si="24"/>
        <v>-0.17583874817663442</v>
      </c>
      <c r="O68" s="10"/>
      <c r="P68" s="6">
        <v>1371.89</v>
      </c>
      <c r="Q68" s="2"/>
      <c r="R68" s="7">
        <f t="shared" si="25"/>
        <v>6.9775624795456346E-4</v>
      </c>
      <c r="S68" s="2"/>
      <c r="T68" s="6">
        <v>1091.83</v>
      </c>
      <c r="U68" s="2"/>
      <c r="V68" s="7">
        <f t="shared" si="26"/>
        <v>3.277383842808335E-4</v>
      </c>
      <c r="W68" s="2"/>
      <c r="X68" s="6">
        <f t="shared" si="27"/>
        <v>280.06000000000017</v>
      </c>
      <c r="Y68" s="2"/>
      <c r="Z68" s="7">
        <f t="shared" si="28"/>
        <v>0.25650513358306715</v>
      </c>
    </row>
    <row r="69" spans="1:26" s="23" customFormat="1" hidden="1" outlineLevel="2" x14ac:dyDescent="0.25">
      <c r="A69" s="27"/>
      <c r="B69" s="10" t="str">
        <f>CONCATENATE("          ", "6113", " - ", "GROUP INSURANCE")</f>
        <v xml:space="preserve">          6113 - GROUP INSURANCE</v>
      </c>
      <c r="C69" s="10"/>
      <c r="D69" s="6">
        <v>4943.91</v>
      </c>
      <c r="E69" s="2"/>
      <c r="F69" s="7">
        <f t="shared" si="21"/>
        <v>9.5833846207525566E-2</v>
      </c>
      <c r="G69" s="2"/>
      <c r="H69" s="6">
        <v>4248.21</v>
      </c>
      <c r="I69" s="2"/>
      <c r="J69" s="7">
        <f t="shared" si="22"/>
        <v>0.11064761336717539</v>
      </c>
      <c r="K69" s="2"/>
      <c r="L69" s="6">
        <f t="shared" si="23"/>
        <v>695.69999999999982</v>
      </c>
      <c r="M69" s="2"/>
      <c r="N69" s="7">
        <f t="shared" si="24"/>
        <v>0.16376309080765777</v>
      </c>
      <c r="O69" s="10"/>
      <c r="P69" s="6">
        <v>50107.77</v>
      </c>
      <c r="Q69" s="2"/>
      <c r="R69" s="7">
        <f t="shared" si="25"/>
        <v>2.5485286421338616E-2</v>
      </c>
      <c r="S69" s="2"/>
      <c r="T69" s="6">
        <v>46252.47</v>
      </c>
      <c r="U69" s="2"/>
      <c r="V69" s="7">
        <f t="shared" si="26"/>
        <v>1.3883763760656627E-2</v>
      </c>
      <c r="W69" s="2"/>
      <c r="X69" s="6">
        <f t="shared" si="27"/>
        <v>3855.2999999999956</v>
      </c>
      <c r="Y69" s="2"/>
      <c r="Z69" s="7">
        <f t="shared" si="28"/>
        <v>8.3353386316449604E-2</v>
      </c>
    </row>
    <row r="70" spans="1:26" s="23" customFormat="1" hidden="1" outlineLevel="2" x14ac:dyDescent="0.25">
      <c r="A70" s="27"/>
      <c r="B70" s="10" t="str">
        <f>CONCATENATE("          ", "6114", " - ", "STATE UNEMPLOYMENT INSURANCE")</f>
        <v xml:space="preserve">          6114 - STATE UNEMPLOYMENT INSURANCE</v>
      </c>
      <c r="C70" s="10"/>
      <c r="D70" s="6">
        <v>113</v>
      </c>
      <c r="E70" s="2"/>
      <c r="F70" s="7">
        <f t="shared" si="21"/>
        <v>2.1904170224478982E-3</v>
      </c>
      <c r="G70" s="2"/>
      <c r="H70" s="6">
        <v>91.38</v>
      </c>
      <c r="I70" s="2"/>
      <c r="J70" s="7">
        <f t="shared" si="22"/>
        <v>2.3800562847628736E-3</v>
      </c>
      <c r="K70" s="2"/>
      <c r="L70" s="6">
        <f t="shared" si="23"/>
        <v>21.620000000000005</v>
      </c>
      <c r="M70" s="2"/>
      <c r="N70" s="7">
        <f t="shared" si="24"/>
        <v>0.2365944407966733</v>
      </c>
      <c r="O70" s="10"/>
      <c r="P70" s="6">
        <v>875.51</v>
      </c>
      <c r="Q70" s="2"/>
      <c r="R70" s="7">
        <f t="shared" si="25"/>
        <v>4.4529267845577986E-4</v>
      </c>
      <c r="S70" s="2"/>
      <c r="T70" s="6">
        <v>745.41</v>
      </c>
      <c r="U70" s="2"/>
      <c r="V70" s="7">
        <f t="shared" si="26"/>
        <v>2.2375229571158157E-4</v>
      </c>
      <c r="W70" s="2"/>
      <c r="X70" s="6">
        <f t="shared" si="27"/>
        <v>130.10000000000002</v>
      </c>
      <c r="Y70" s="2"/>
      <c r="Z70" s="7">
        <f t="shared" si="28"/>
        <v>0.17453481976362006</v>
      </c>
    </row>
    <row r="71" spans="1:26" s="23" customFormat="1" hidden="1" outlineLevel="2" x14ac:dyDescent="0.25">
      <c r="A71" s="27"/>
      <c r="B71" s="10" t="str">
        <f>CONCATENATE("          ", "6115", " - ", "P.E.R.S.")</f>
        <v xml:space="preserve">          6115 - P.E.R.S.</v>
      </c>
      <c r="C71" s="10"/>
      <c r="D71" s="6">
        <v>1783.22</v>
      </c>
      <c r="E71" s="2"/>
      <c r="F71" s="7">
        <f t="shared" si="21"/>
        <v>3.4566331351942842E-2</v>
      </c>
      <c r="G71" s="2"/>
      <c r="H71" s="6">
        <v>1363.4</v>
      </c>
      <c r="I71" s="2"/>
      <c r="J71" s="7">
        <f t="shared" si="22"/>
        <v>3.5510710643966978E-2</v>
      </c>
      <c r="K71" s="2"/>
      <c r="L71" s="6">
        <f t="shared" si="23"/>
        <v>419.81999999999994</v>
      </c>
      <c r="M71" s="2"/>
      <c r="N71" s="7">
        <f t="shared" si="24"/>
        <v>0.30792137303799316</v>
      </c>
      <c r="O71" s="10"/>
      <c r="P71" s="6">
        <v>20247.57</v>
      </c>
      <c r="Q71" s="2"/>
      <c r="R71" s="7">
        <f t="shared" si="25"/>
        <v>1.0298105878311949E-2</v>
      </c>
      <c r="S71" s="2"/>
      <c r="T71" s="6">
        <v>15839.69</v>
      </c>
      <c r="U71" s="2"/>
      <c r="V71" s="7">
        <f t="shared" si="26"/>
        <v>4.7546544866043945E-3</v>
      </c>
      <c r="W71" s="2"/>
      <c r="X71" s="6">
        <f t="shared" si="27"/>
        <v>4407.8799999999992</v>
      </c>
      <c r="Y71" s="2"/>
      <c r="Z71" s="7">
        <f t="shared" si="28"/>
        <v>0.27828069867528965</v>
      </c>
    </row>
    <row r="72" spans="1:26" s="23" customFormat="1" hidden="1" outlineLevel="2" x14ac:dyDescent="0.25">
      <c r="A72" s="27"/>
      <c r="B72" s="10" t="str">
        <f>CONCATENATE("          ", "6117", " - ", "RETIREMENT STAFF HOURLY")</f>
        <v xml:space="preserve">          6117 - RETIREMENT STAFF HOURLY</v>
      </c>
      <c r="C72" s="10"/>
      <c r="D72" s="6">
        <v>245.58</v>
      </c>
      <c r="E72" s="2"/>
      <c r="F72" s="7">
        <f t="shared" si="21"/>
        <v>4.7603771006438488E-3</v>
      </c>
      <c r="G72" s="2"/>
      <c r="H72" s="6">
        <v>219.6</v>
      </c>
      <c r="I72" s="2"/>
      <c r="J72" s="7">
        <f t="shared" si="22"/>
        <v>5.7196362457203661E-3</v>
      </c>
      <c r="K72" s="2"/>
      <c r="L72" s="6">
        <f t="shared" si="23"/>
        <v>25.980000000000018</v>
      </c>
      <c r="M72" s="2"/>
      <c r="N72" s="7">
        <f t="shared" si="24"/>
        <v>0.11830601092896184</v>
      </c>
      <c r="O72" s="10"/>
      <c r="P72" s="6">
        <v>3001.4</v>
      </c>
      <c r="Q72" s="2"/>
      <c r="R72" s="7">
        <f t="shared" si="25"/>
        <v>1.5265404679754401E-3</v>
      </c>
      <c r="S72" s="2"/>
      <c r="T72" s="6">
        <v>1789.27</v>
      </c>
      <c r="U72" s="2"/>
      <c r="V72" s="7">
        <f t="shared" si="26"/>
        <v>5.3709135931616369E-4</v>
      </c>
      <c r="W72" s="2"/>
      <c r="X72" s="6">
        <f t="shared" si="27"/>
        <v>1212.1300000000001</v>
      </c>
      <c r="Y72" s="2"/>
      <c r="Z72" s="7">
        <f t="shared" si="28"/>
        <v>0.67744387375857196</v>
      </c>
    </row>
    <row r="73" spans="1:26" s="23" customFormat="1" hidden="1" outlineLevel="2" x14ac:dyDescent="0.25">
      <c r="A73" s="27"/>
      <c r="B73" s="10" t="str">
        <f>CONCATENATE("          ", "6118", " - ", "VACATION")</f>
        <v xml:space="preserve">          6118 - VACATION</v>
      </c>
      <c r="C73" s="10"/>
      <c r="D73" s="6">
        <v>1644.18</v>
      </c>
      <c r="E73" s="2"/>
      <c r="F73" s="7">
        <f t="shared" si="21"/>
        <v>3.1871149203260049E-2</v>
      </c>
      <c r="G73" s="2"/>
      <c r="H73" s="6">
        <v>1355.16</v>
      </c>
      <c r="I73" s="2"/>
      <c r="J73" s="7">
        <f t="shared" si="22"/>
        <v>3.5296094056240492E-2</v>
      </c>
      <c r="K73" s="2"/>
      <c r="L73" s="6">
        <f t="shared" si="23"/>
        <v>289.02</v>
      </c>
      <c r="M73" s="2"/>
      <c r="N73" s="7">
        <f t="shared" si="24"/>
        <v>0.21327370937749046</v>
      </c>
      <c r="O73" s="10"/>
      <c r="P73" s="6">
        <v>16145.13</v>
      </c>
      <c r="Q73" s="2"/>
      <c r="R73" s="7">
        <f t="shared" si="25"/>
        <v>8.2115660377571516E-3</v>
      </c>
      <c r="S73" s="2"/>
      <c r="T73" s="6">
        <v>11998.22</v>
      </c>
      <c r="U73" s="2"/>
      <c r="V73" s="7">
        <f t="shared" si="26"/>
        <v>3.601547161230212E-3</v>
      </c>
      <c r="W73" s="2"/>
      <c r="X73" s="6">
        <f t="shared" si="27"/>
        <v>4146.91</v>
      </c>
      <c r="Y73" s="2"/>
      <c r="Z73" s="7">
        <f t="shared" si="28"/>
        <v>0.34562710135336744</v>
      </c>
    </row>
    <row r="74" spans="1:26" s="23" customFormat="1" hidden="1" outlineLevel="2" x14ac:dyDescent="0.25">
      <c r="A74" s="27"/>
      <c r="B74" s="10" t="str">
        <f>CONCATENATE("          ", "6119", " - ", "SICK LEAVE")</f>
        <v xml:space="preserve">          6119 - SICK LEAVE</v>
      </c>
      <c r="C74" s="10"/>
      <c r="D74" s="6">
        <v>284.64</v>
      </c>
      <c r="E74" s="2"/>
      <c r="F74" s="7">
        <f t="shared" si="21"/>
        <v>5.5175247899961928E-3</v>
      </c>
      <c r="G74" s="2"/>
      <c r="H74" s="6">
        <v>944.6</v>
      </c>
      <c r="I74" s="2"/>
      <c r="J74" s="7">
        <f t="shared" si="22"/>
        <v>2.4602770481363653E-2</v>
      </c>
      <c r="K74" s="2"/>
      <c r="L74" s="6">
        <f t="shared" si="23"/>
        <v>-659.96</v>
      </c>
      <c r="M74" s="2"/>
      <c r="N74" s="7">
        <f t="shared" si="24"/>
        <v>-0.69866610205377944</v>
      </c>
      <c r="O74" s="10"/>
      <c r="P74" s="6">
        <v>11461.54</v>
      </c>
      <c r="Q74" s="2"/>
      <c r="R74" s="7">
        <f t="shared" si="25"/>
        <v>5.8294478027984369E-3</v>
      </c>
      <c r="S74" s="2"/>
      <c r="T74" s="6">
        <v>12958.89</v>
      </c>
      <c r="U74" s="2"/>
      <c r="V74" s="7">
        <f t="shared" si="26"/>
        <v>3.8899147950441468E-3</v>
      </c>
      <c r="W74" s="2"/>
      <c r="X74" s="6">
        <f t="shared" si="27"/>
        <v>-1497.3499999999985</v>
      </c>
      <c r="Y74" s="2"/>
      <c r="Z74" s="7">
        <f t="shared" si="28"/>
        <v>-0.1155461617468779</v>
      </c>
    </row>
    <row r="75" spans="1:26" s="23" customFormat="1" hidden="1" outlineLevel="2" x14ac:dyDescent="0.25">
      <c r="A75" s="27"/>
      <c r="B75" s="10" t="str">
        <f>CONCATENATE("          ", "6156", " - ", "EMPLOYEE MEALS")</f>
        <v xml:space="preserve">          6156 - EMPLOYEE MEALS</v>
      </c>
      <c r="C75" s="10"/>
      <c r="D75" s="6">
        <v>409.61</v>
      </c>
      <c r="E75" s="2"/>
      <c r="F75" s="7">
        <f t="shared" si="21"/>
        <v>7.939970943052068E-3</v>
      </c>
      <c r="G75" s="2"/>
      <c r="H75" s="6">
        <v>272.8</v>
      </c>
      <c r="I75" s="2"/>
      <c r="J75" s="7">
        <f t="shared" si="22"/>
        <v>7.1052676130806741E-3</v>
      </c>
      <c r="K75" s="2"/>
      <c r="L75" s="6">
        <f t="shared" si="23"/>
        <v>136.81</v>
      </c>
      <c r="M75" s="2"/>
      <c r="N75" s="7">
        <f t="shared" si="24"/>
        <v>0.50150293255131961</v>
      </c>
      <c r="O75" s="10"/>
      <c r="P75" s="6">
        <v>4660.71</v>
      </c>
      <c r="Q75" s="2"/>
      <c r="R75" s="7">
        <f t="shared" si="25"/>
        <v>2.370481250249155E-3</v>
      </c>
      <c r="S75" s="2"/>
      <c r="T75" s="6">
        <v>6142.1</v>
      </c>
      <c r="U75" s="2"/>
      <c r="V75" s="7">
        <f t="shared" si="26"/>
        <v>1.8436953830644951E-3</v>
      </c>
      <c r="W75" s="2"/>
      <c r="X75" s="6">
        <f t="shared" si="27"/>
        <v>-1481.3900000000003</v>
      </c>
      <c r="Y75" s="2"/>
      <c r="Z75" s="7">
        <f t="shared" si="28"/>
        <v>-0.24118623923413821</v>
      </c>
    </row>
    <row r="76" spans="1:26" s="26" customFormat="1" outlineLevel="1" collapsed="1" x14ac:dyDescent="0.25">
      <c r="A76" s="25"/>
      <c r="B76" s="12" t="str">
        <f>CONCATENATE("     ","*Payroll                                          ")</f>
        <v xml:space="preserve">     *Payroll                                          </v>
      </c>
      <c r="C76" s="12"/>
      <c r="D76" s="1">
        <f>SUM(OSRRefD22_1x_0)</f>
        <v>28613.609999999997</v>
      </c>
      <c r="E76" s="1"/>
      <c r="F76" s="5">
        <f t="shared" ref="F76:F83" si="29">IF(D$12=0,0,D76/D$12)</f>
        <v>0.55465255236889732</v>
      </c>
      <c r="G76" s="1"/>
      <c r="H76" s="1">
        <f>SUM(OSRRefH22_1x_0)</f>
        <v>23297.91</v>
      </c>
      <c r="I76" s="1"/>
      <c r="J76" s="5">
        <f t="shared" ref="J76:J83" si="30">IF(H$12=0,0,H76/H$12)</f>
        <v>0.60681043026198078</v>
      </c>
      <c r="K76" s="1"/>
      <c r="L76" s="1">
        <f t="shared" ref="L76:L83" si="31">+D76-H76</f>
        <v>5315.6999999999971</v>
      </c>
      <c r="M76" s="1"/>
      <c r="N76" s="5">
        <f t="shared" ref="N76:N83" si="32">IF(H76=0,0,L76/H76)</f>
        <v>0.22816209694345962</v>
      </c>
      <c r="O76" s="12"/>
      <c r="P76" s="1">
        <f>SUM(OSRRefP22_1x_0)</f>
        <v>310823.01999999996</v>
      </c>
      <c r="Q76" s="1"/>
      <c r="R76" s="5">
        <f t="shared" ref="R76:R83" si="33">IF(P$12=0,0,P76/P$12)</f>
        <v>0.1580875319545344</v>
      </c>
      <c r="S76" s="1"/>
      <c r="T76" s="1">
        <f>SUM(OSRRefT22_1x_0)</f>
        <v>307286.41000000003</v>
      </c>
      <c r="U76" s="1"/>
      <c r="V76" s="5">
        <f t="shared" ref="V76:V83" si="34">IF(T$12=0,0,T76/T$12)</f>
        <v>9.223922361984721E-2</v>
      </c>
      <c r="W76" s="1"/>
      <c r="X76" s="1">
        <f t="shared" ref="X76:X83" si="35">+P76-T76</f>
        <v>3536.6099999999278</v>
      </c>
      <c r="Y76" s="1"/>
      <c r="Z76" s="5">
        <f t="shared" ref="Z76:Z83" si="36">IF(T76=0,0,X76/T76)</f>
        <v>1.1509165016441591E-2</v>
      </c>
    </row>
    <row r="77" spans="1:26" s="23" customFormat="1" hidden="1" outlineLevel="2" x14ac:dyDescent="0.25">
      <c r="A77" s="27"/>
      <c r="B77" s="10" t="str">
        <f>CONCATENATE("          ", "6001", " - ", "ADMINISTRATIVE SALARIES")</f>
        <v xml:space="preserve">          6001 - ADMINISTRATIVE SALARIES</v>
      </c>
      <c r="C77" s="10"/>
      <c r="D77" s="6"/>
      <c r="E77" s="2"/>
      <c r="F77" s="7">
        <f t="shared" si="29"/>
        <v>0</v>
      </c>
      <c r="G77" s="2"/>
      <c r="H77" s="6"/>
      <c r="I77" s="2"/>
      <c r="J77" s="7">
        <f t="shared" si="30"/>
        <v>0</v>
      </c>
      <c r="K77" s="2"/>
      <c r="L77" s="6">
        <f t="shared" si="31"/>
        <v>0</v>
      </c>
      <c r="M77" s="2"/>
      <c r="N77" s="7">
        <f t="shared" si="32"/>
        <v>0</v>
      </c>
      <c r="O77" s="10"/>
      <c r="P77" s="6">
        <v>-311.32</v>
      </c>
      <c r="Q77" s="2"/>
      <c r="R77" s="7">
        <f t="shared" si="33"/>
        <v>-1.5834030068971613E-4</v>
      </c>
      <c r="S77" s="2"/>
      <c r="T77" s="6">
        <v>0</v>
      </c>
      <c r="U77" s="2"/>
      <c r="V77" s="7">
        <f t="shared" si="34"/>
        <v>0</v>
      </c>
      <c r="W77" s="2"/>
      <c r="X77" s="6">
        <f t="shared" si="35"/>
        <v>-311.32</v>
      </c>
      <c r="Y77" s="2"/>
      <c r="Z77" s="7">
        <f t="shared" si="36"/>
        <v>0</v>
      </c>
    </row>
    <row r="78" spans="1:26" s="23" customFormat="1" hidden="1" outlineLevel="2" x14ac:dyDescent="0.25">
      <c r="A78" s="27"/>
      <c r="B78" s="10" t="str">
        <f>CONCATENATE("          ", "6002", " - ", "STAFF SALARIES")</f>
        <v xml:space="preserve">          6002 - STAFF SALARIES</v>
      </c>
      <c r="C78" s="10"/>
      <c r="D78" s="6">
        <v>18291.48</v>
      </c>
      <c r="E78" s="2"/>
      <c r="F78" s="7">
        <f t="shared" si="29"/>
        <v>0.3545660987412857</v>
      </c>
      <c r="G78" s="2"/>
      <c r="H78" s="6">
        <v>14586.65</v>
      </c>
      <c r="I78" s="2"/>
      <c r="J78" s="7">
        <f t="shared" si="30"/>
        <v>0.37991954482530499</v>
      </c>
      <c r="K78" s="2"/>
      <c r="L78" s="6">
        <f t="shared" si="31"/>
        <v>3704.83</v>
      </c>
      <c r="M78" s="2"/>
      <c r="N78" s="7">
        <f t="shared" si="32"/>
        <v>0.25398772164959055</v>
      </c>
      <c r="O78" s="10"/>
      <c r="P78" s="6">
        <v>192215.53</v>
      </c>
      <c r="Q78" s="2"/>
      <c r="R78" s="7">
        <f t="shared" si="33"/>
        <v>9.7762639141183202E-2</v>
      </c>
      <c r="S78" s="2"/>
      <c r="T78" s="6">
        <v>172008.78</v>
      </c>
      <c r="U78" s="2"/>
      <c r="V78" s="7">
        <f t="shared" si="34"/>
        <v>5.1632469926011698E-2</v>
      </c>
      <c r="W78" s="2"/>
      <c r="X78" s="6">
        <f t="shared" si="35"/>
        <v>20206.75</v>
      </c>
      <c r="Y78" s="2"/>
      <c r="Z78" s="7">
        <f t="shared" si="36"/>
        <v>0.11747510795669849</v>
      </c>
    </row>
    <row r="79" spans="1:26" s="23" customFormat="1" hidden="1" outlineLevel="2" x14ac:dyDescent="0.25">
      <c r="A79" s="27"/>
      <c r="B79" s="10" t="str">
        <f>CONCATENATE("          ", "6004", " - ", "STAFF HOURLY")</f>
        <v xml:space="preserve">          6004 - STAFF HOURLY</v>
      </c>
      <c r="C79" s="10"/>
      <c r="D79" s="6">
        <v>6146.69</v>
      </c>
      <c r="E79" s="2"/>
      <c r="F79" s="7">
        <f t="shared" si="29"/>
        <v>0.11914880006823249</v>
      </c>
      <c r="G79" s="2"/>
      <c r="H79" s="6">
        <v>5396.64</v>
      </c>
      <c r="I79" s="2"/>
      <c r="J79" s="7">
        <f t="shared" si="30"/>
        <v>0.1405592793675062</v>
      </c>
      <c r="K79" s="2"/>
      <c r="L79" s="6">
        <f t="shared" si="31"/>
        <v>750.04999999999927</v>
      </c>
      <c r="M79" s="2"/>
      <c r="N79" s="7">
        <f t="shared" si="32"/>
        <v>0.13898462747190829</v>
      </c>
      <c r="O79" s="10"/>
      <c r="P79" s="6">
        <v>74445.429999999993</v>
      </c>
      <c r="Q79" s="2"/>
      <c r="R79" s="7">
        <f t="shared" si="33"/>
        <v>3.7863650813231446E-2</v>
      </c>
      <c r="S79" s="2"/>
      <c r="T79" s="6">
        <v>45627.8</v>
      </c>
      <c r="U79" s="2"/>
      <c r="V79" s="7">
        <f t="shared" si="34"/>
        <v>1.3696254408002177E-2</v>
      </c>
      <c r="W79" s="2"/>
      <c r="X79" s="6">
        <f t="shared" si="35"/>
        <v>28817.62999999999</v>
      </c>
      <c r="Y79" s="2"/>
      <c r="Z79" s="7">
        <f t="shared" si="36"/>
        <v>0.631580527660768</v>
      </c>
    </row>
    <row r="80" spans="1:26" s="23" customFormat="1" hidden="1" outlineLevel="2" x14ac:dyDescent="0.25">
      <c r="A80" s="27"/>
      <c r="B80" s="10" t="str">
        <f>CONCATENATE("          ", "6005", " - ", "TEMPORARY WAGES-HOURLY")</f>
        <v xml:space="preserve">          6005 - TEMPORARY WAGES-HOURLY</v>
      </c>
      <c r="C80" s="10"/>
      <c r="D80" s="6">
        <v>1870</v>
      </c>
      <c r="E80" s="2"/>
      <c r="F80" s="7">
        <f t="shared" si="29"/>
        <v>3.6248494088297077E-2</v>
      </c>
      <c r="G80" s="2"/>
      <c r="H80" s="6">
        <v>218.74</v>
      </c>
      <c r="I80" s="2"/>
      <c r="J80" s="7">
        <f t="shared" si="30"/>
        <v>5.697236941661534E-3</v>
      </c>
      <c r="K80" s="2"/>
      <c r="L80" s="6">
        <f t="shared" si="31"/>
        <v>1651.26</v>
      </c>
      <c r="M80" s="2"/>
      <c r="N80" s="7">
        <f t="shared" si="32"/>
        <v>7.5489622382737496</v>
      </c>
      <c r="O80" s="10"/>
      <c r="P80" s="6">
        <v>17555.16</v>
      </c>
      <c r="Q80" s="2"/>
      <c r="R80" s="7">
        <f t="shared" si="33"/>
        <v>8.9287206509574626E-3</v>
      </c>
      <c r="S80" s="2"/>
      <c r="T80" s="6">
        <v>24432.25</v>
      </c>
      <c r="U80" s="2"/>
      <c r="V80" s="7">
        <f t="shared" si="34"/>
        <v>7.3339129162464803E-3</v>
      </c>
      <c r="W80" s="2"/>
      <c r="X80" s="6">
        <f t="shared" si="35"/>
        <v>-6877.09</v>
      </c>
      <c r="Y80" s="2"/>
      <c r="Z80" s="7">
        <f t="shared" si="36"/>
        <v>-0.28147591810005218</v>
      </c>
    </row>
    <row r="81" spans="1:26" s="23" customFormat="1" hidden="1" outlineLevel="2" x14ac:dyDescent="0.25">
      <c r="A81" s="27"/>
      <c r="B81" s="10" t="str">
        <f>CONCATENATE("          ", "6006", " - ", "TEMPORARY PART TIME")</f>
        <v xml:space="preserve">          6006 - TEMPORARY PART TIME</v>
      </c>
      <c r="C81" s="10"/>
      <c r="D81" s="6">
        <v>411.75</v>
      </c>
      <c r="E81" s="2"/>
      <c r="F81" s="7">
        <f t="shared" si="29"/>
        <v>7.9814531769285147E-3</v>
      </c>
      <c r="G81" s="2"/>
      <c r="H81" s="6">
        <v>1155.1199999999999</v>
      </c>
      <c r="I81" s="2"/>
      <c r="J81" s="7">
        <f t="shared" si="30"/>
        <v>3.0085911749346578E-2</v>
      </c>
      <c r="K81" s="2"/>
      <c r="L81" s="6">
        <f t="shared" si="31"/>
        <v>-743.36999999999989</v>
      </c>
      <c r="M81" s="2"/>
      <c r="N81" s="7">
        <f t="shared" si="32"/>
        <v>-0.64354352794514857</v>
      </c>
      <c r="O81" s="10"/>
      <c r="P81" s="6">
        <v>914.04</v>
      </c>
      <c r="Q81" s="2"/>
      <c r="R81" s="7">
        <f t="shared" si="33"/>
        <v>4.648894013954392E-4</v>
      </c>
      <c r="S81" s="2"/>
      <c r="T81" s="6">
        <v>5282.37</v>
      </c>
      <c r="U81" s="2"/>
      <c r="V81" s="7">
        <f t="shared" si="34"/>
        <v>1.5856272578822221E-3</v>
      </c>
      <c r="W81" s="2"/>
      <c r="X81" s="6">
        <f t="shared" si="35"/>
        <v>-4368.33</v>
      </c>
      <c r="Y81" s="2"/>
      <c r="Z81" s="7">
        <f t="shared" si="36"/>
        <v>-0.82696403318964784</v>
      </c>
    </row>
    <row r="82" spans="1:26" s="23" customFormat="1" hidden="1" outlineLevel="2" x14ac:dyDescent="0.25">
      <c r="A82" s="27"/>
      <c r="B82" s="10" t="str">
        <f>CONCATENATE("          ", "6007", " - ", "STUDENT HOURLY")</f>
        <v xml:space="preserve">          6007 - STUDENT HOURLY</v>
      </c>
      <c r="C82" s="10"/>
      <c r="D82" s="6">
        <v>1893.69</v>
      </c>
      <c r="E82" s="2"/>
      <c r="F82" s="7">
        <f t="shared" si="29"/>
        <v>3.6707706294153632E-2</v>
      </c>
      <c r="G82" s="2"/>
      <c r="H82" s="6">
        <v>1940.76</v>
      </c>
      <c r="I82" s="2"/>
      <c r="J82" s="7">
        <f t="shared" si="30"/>
        <v>5.0548457378161465E-2</v>
      </c>
      <c r="K82" s="2"/>
      <c r="L82" s="6">
        <f t="shared" si="31"/>
        <v>-47.069999999999936</v>
      </c>
      <c r="M82" s="2"/>
      <c r="N82" s="7">
        <f t="shared" si="32"/>
        <v>-2.4253385271749178E-2</v>
      </c>
      <c r="O82" s="10"/>
      <c r="P82" s="6">
        <v>25036.92</v>
      </c>
      <c r="Q82" s="2"/>
      <c r="R82" s="7">
        <f t="shared" si="33"/>
        <v>1.2734014650984093E-2</v>
      </c>
      <c r="S82" s="2"/>
      <c r="T82" s="6">
        <v>59935.21</v>
      </c>
      <c r="U82" s="2"/>
      <c r="V82" s="7">
        <f t="shared" si="34"/>
        <v>1.7990959111704622E-2</v>
      </c>
      <c r="W82" s="2"/>
      <c r="X82" s="6">
        <f t="shared" si="35"/>
        <v>-34898.29</v>
      </c>
      <c r="Y82" s="2"/>
      <c r="Z82" s="7">
        <f t="shared" si="36"/>
        <v>-0.58226691789350538</v>
      </c>
    </row>
    <row r="83" spans="1:26" s="23" customFormat="1" hidden="1" outlineLevel="2" x14ac:dyDescent="0.25">
      <c r="A83" s="27"/>
      <c r="B83" s="10" t="str">
        <f>CONCATENATE("          ", "6008", " - ", "STUDENT HOURLY-FICA EXEMPT")</f>
        <v xml:space="preserve">          6008 - STUDENT HOURLY-FICA EXEMPT</v>
      </c>
      <c r="C83" s="10"/>
      <c r="D83" s="6"/>
      <c r="E83" s="2"/>
      <c r="F83" s="7">
        <f t="shared" si="29"/>
        <v>0</v>
      </c>
      <c r="G83" s="2"/>
      <c r="H83" s="6"/>
      <c r="I83" s="2"/>
      <c r="J83" s="7">
        <f t="shared" si="30"/>
        <v>0</v>
      </c>
      <c r="K83" s="2"/>
      <c r="L83" s="6">
        <f t="shared" si="31"/>
        <v>0</v>
      </c>
      <c r="M83" s="2"/>
      <c r="N83" s="7">
        <f t="shared" si="32"/>
        <v>0</v>
      </c>
      <c r="O83" s="10"/>
      <c r="P83" s="6">
        <v>967.26</v>
      </c>
      <c r="Q83" s="2"/>
      <c r="R83" s="7">
        <f t="shared" si="33"/>
        <v>4.9195759747248761E-4</v>
      </c>
      <c r="S83" s="2"/>
      <c r="T83" s="6"/>
      <c r="U83" s="2"/>
      <c r="V83" s="7">
        <f t="shared" si="34"/>
        <v>0</v>
      </c>
      <c r="W83" s="2"/>
      <c r="X83" s="6">
        <f t="shared" si="35"/>
        <v>967.26</v>
      </c>
      <c r="Y83" s="2"/>
      <c r="Z83" s="7">
        <f t="shared" si="36"/>
        <v>0</v>
      </c>
    </row>
    <row r="84" spans="1:26" s="26" customFormat="1" outlineLevel="1" collapsed="1" x14ac:dyDescent="0.25">
      <c r="A84" s="25"/>
      <c r="B84" s="12" t="str">
        <f>CONCATENATE("     ","Advertising/Promo                                 ")</f>
        <v xml:space="preserve">     Advertising/Promo                                 </v>
      </c>
      <c r="C84" s="12"/>
      <c r="D84" s="1">
        <f>SUM(OSRRefD22_2x_0)</f>
        <v>348.4</v>
      </c>
      <c r="E84" s="1"/>
      <c r="F84" s="5">
        <f t="shared" ref="F84:F88" si="37">IF(D$12=0,0,D84/D$12)</f>
        <v>6.7534627488570597E-3</v>
      </c>
      <c r="G84" s="1"/>
      <c r="H84" s="1">
        <f>SUM(OSRRefH22_2x_0)</f>
        <v>0</v>
      </c>
      <c r="I84" s="1"/>
      <c r="J84" s="5">
        <f t="shared" ref="J84:J88" si="38">IF(H$12=0,0,H84/H$12)</f>
        <v>0</v>
      </c>
      <c r="K84" s="1"/>
      <c r="L84" s="1">
        <f t="shared" ref="L84:L88" si="39">+D84-H84</f>
        <v>348.4</v>
      </c>
      <c r="M84" s="1"/>
      <c r="N84" s="5">
        <f t="shared" ref="N84:N88" si="40">IF(H84=0,0,L84/H84)</f>
        <v>0</v>
      </c>
      <c r="O84" s="12"/>
      <c r="P84" s="1">
        <f>SUM(OSRRefP22_2x_0)</f>
        <v>2380.9899999999998</v>
      </c>
      <c r="Q84" s="1"/>
      <c r="R84" s="5">
        <f t="shared" ref="R84:R88" si="41">IF(P$12=0,0,P84/P$12)</f>
        <v>1.2109940657176127E-3</v>
      </c>
      <c r="S84" s="1"/>
      <c r="T84" s="1">
        <f>SUM(OSRRefT22_2x_0)</f>
        <v>3981.59</v>
      </c>
      <c r="U84" s="1"/>
      <c r="V84" s="5">
        <f t="shared" ref="V84:V88" si="42">IF(T$12=0,0,T84/T$12)</f>
        <v>1.1951676300053342E-3</v>
      </c>
      <c r="W84" s="1"/>
      <c r="X84" s="1">
        <f t="shared" ref="X84:X88" si="43">+P84-T84</f>
        <v>-1600.6000000000004</v>
      </c>
      <c r="Y84" s="1"/>
      <c r="Z84" s="5">
        <f t="shared" ref="Z84:Z88" si="44">IF(T84=0,0,X84/T84)</f>
        <v>-0.40200020594787517</v>
      </c>
    </row>
    <row r="85" spans="1:26" s="23" customFormat="1" hidden="1" outlineLevel="2" x14ac:dyDescent="0.25">
      <c r="A85" s="27"/>
      <c r="B85" s="10" t="str">
        <f>CONCATENATE("          ", "6362", " - ", "ADVERTISING EXPENSE")</f>
        <v xml:space="preserve">          6362 - ADVERTISING EXPENSE</v>
      </c>
      <c r="C85" s="10"/>
      <c r="D85" s="6">
        <v>348.4</v>
      </c>
      <c r="E85" s="2"/>
      <c r="F85" s="7">
        <f t="shared" si="37"/>
        <v>6.7534627488570597E-3</v>
      </c>
      <c r="G85" s="2"/>
      <c r="H85" s="6"/>
      <c r="I85" s="2"/>
      <c r="J85" s="7">
        <f t="shared" si="38"/>
        <v>0</v>
      </c>
      <c r="K85" s="2"/>
      <c r="L85" s="6">
        <f t="shared" si="39"/>
        <v>348.4</v>
      </c>
      <c r="M85" s="2"/>
      <c r="N85" s="7">
        <f t="shared" si="40"/>
        <v>0</v>
      </c>
      <c r="O85" s="10"/>
      <c r="P85" s="6">
        <v>2380.9899999999998</v>
      </c>
      <c r="Q85" s="2"/>
      <c r="R85" s="7">
        <f t="shared" si="41"/>
        <v>1.2109940657176127E-3</v>
      </c>
      <c r="S85" s="2"/>
      <c r="T85" s="6">
        <v>3981.59</v>
      </c>
      <c r="U85" s="2"/>
      <c r="V85" s="7">
        <f t="shared" si="42"/>
        <v>1.1951676300053342E-3</v>
      </c>
      <c r="W85" s="2"/>
      <c r="X85" s="6">
        <f t="shared" si="43"/>
        <v>-1600.6000000000004</v>
      </c>
      <c r="Y85" s="2"/>
      <c r="Z85" s="7">
        <f t="shared" si="44"/>
        <v>-0.40200020594787517</v>
      </c>
    </row>
    <row r="86" spans="1:26" s="26" customFormat="1" outlineLevel="1" collapsed="1" x14ac:dyDescent="0.25">
      <c r="A86" s="25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SUM(OSRRefD22_3x_0)</f>
        <v>0</v>
      </c>
      <c r="E86" s="1"/>
      <c r="F86" s="5">
        <f t="shared" si="37"/>
        <v>0</v>
      </c>
      <c r="G86" s="1"/>
      <c r="H86" s="1">
        <f>SUM(OSRRefH22_3x_0)</f>
        <v>286.66000000000003</v>
      </c>
      <c r="I86" s="1"/>
      <c r="J86" s="5">
        <f t="shared" si="38"/>
        <v>7.4662610482613854E-3</v>
      </c>
      <c r="K86" s="1"/>
      <c r="L86" s="1">
        <f t="shared" si="39"/>
        <v>-286.66000000000003</v>
      </c>
      <c r="M86" s="1"/>
      <c r="N86" s="5">
        <f t="shared" si="40"/>
        <v>-1</v>
      </c>
      <c r="O86" s="12"/>
      <c r="P86" s="1">
        <f>SUM(OSRRefP22_3x_0)</f>
        <v>0</v>
      </c>
      <c r="Q86" s="1"/>
      <c r="R86" s="5">
        <f t="shared" si="41"/>
        <v>0</v>
      </c>
      <c r="S86" s="1"/>
      <c r="T86" s="1">
        <f>SUM(OSRRefT22_3x_0)</f>
        <v>307.76</v>
      </c>
      <c r="U86" s="1"/>
      <c r="V86" s="5">
        <f t="shared" si="42"/>
        <v>9.2381382766794574E-5</v>
      </c>
      <c r="W86" s="1"/>
      <c r="X86" s="1">
        <f t="shared" si="43"/>
        <v>-307.76</v>
      </c>
      <c r="Y86" s="1"/>
      <c r="Z86" s="5">
        <f t="shared" si="44"/>
        <v>-1</v>
      </c>
    </row>
    <row r="87" spans="1:26" s="23" customFormat="1" hidden="1" outlineLevel="2" x14ac:dyDescent="0.25">
      <c r="A87" s="27"/>
      <c r="B87" s="10" t="str">
        <f>CONCATENATE("          ", "6382", " - ", "DISCOUNTS/MARK DOWNS")</f>
        <v xml:space="preserve">          6382 - DISCOUNTS/MARK DOWNS</v>
      </c>
      <c r="C87" s="10"/>
      <c r="D87" s="6">
        <v>0</v>
      </c>
      <c r="E87" s="2"/>
      <c r="F87" s="7">
        <f t="shared" si="37"/>
        <v>0</v>
      </c>
      <c r="G87" s="2"/>
      <c r="H87" s="6">
        <v>286.66000000000003</v>
      </c>
      <c r="I87" s="2"/>
      <c r="J87" s="7">
        <f t="shared" si="38"/>
        <v>7.4662610482613854E-3</v>
      </c>
      <c r="K87" s="2"/>
      <c r="L87" s="6">
        <f t="shared" si="39"/>
        <v>-286.66000000000003</v>
      </c>
      <c r="M87" s="2"/>
      <c r="N87" s="7">
        <f t="shared" si="40"/>
        <v>-1</v>
      </c>
      <c r="O87" s="10"/>
      <c r="P87" s="6">
        <v>0</v>
      </c>
      <c r="Q87" s="2"/>
      <c r="R87" s="7">
        <f t="shared" si="41"/>
        <v>0</v>
      </c>
      <c r="S87" s="2"/>
      <c r="T87" s="6">
        <v>760.03</v>
      </c>
      <c r="U87" s="2"/>
      <c r="V87" s="7">
        <f t="shared" si="42"/>
        <v>2.2814083163584249E-4</v>
      </c>
      <c r="W87" s="2"/>
      <c r="X87" s="6">
        <f t="shared" si="43"/>
        <v>-760.03</v>
      </c>
      <c r="Y87" s="2"/>
      <c r="Z87" s="7">
        <f t="shared" si="44"/>
        <v>-1</v>
      </c>
    </row>
    <row r="88" spans="1:26" s="23" customFormat="1" hidden="1" outlineLevel="2" x14ac:dyDescent="0.25">
      <c r="A88" s="27"/>
      <c r="B88" s="10" t="str">
        <f>CONCATENATE("          ", "9175", " - ", "EARNED DISCOUNTS")</f>
        <v xml:space="preserve">          9175 - EARNED DISCOUNTS</v>
      </c>
      <c r="C88" s="10"/>
      <c r="D88" s="6"/>
      <c r="E88" s="2"/>
      <c r="F88" s="7">
        <f t="shared" si="37"/>
        <v>0</v>
      </c>
      <c r="G88" s="2"/>
      <c r="H88" s="6"/>
      <c r="I88" s="2"/>
      <c r="J88" s="7">
        <f t="shared" si="38"/>
        <v>0</v>
      </c>
      <c r="K88" s="2"/>
      <c r="L88" s="6">
        <f t="shared" si="39"/>
        <v>0</v>
      </c>
      <c r="M88" s="2"/>
      <c r="N88" s="7">
        <f t="shared" si="40"/>
        <v>0</v>
      </c>
      <c r="O88" s="10"/>
      <c r="P88" s="6">
        <v>0</v>
      </c>
      <c r="Q88" s="2"/>
      <c r="R88" s="7">
        <f t="shared" si="41"/>
        <v>0</v>
      </c>
      <c r="S88" s="2"/>
      <c r="T88" s="6">
        <v>-452.27</v>
      </c>
      <c r="U88" s="2"/>
      <c r="V88" s="7">
        <f t="shared" si="42"/>
        <v>-1.3575944886904791E-4</v>
      </c>
      <c r="W88" s="2"/>
      <c r="X88" s="6">
        <f t="shared" si="43"/>
        <v>452.27</v>
      </c>
      <c r="Y88" s="2"/>
      <c r="Z88" s="7">
        <f t="shared" si="44"/>
        <v>-1</v>
      </c>
    </row>
    <row r="89" spans="1:26" s="26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SUM(OSRRefD22_4x_0)</f>
        <v>0</v>
      </c>
      <c r="E89" s="1"/>
      <c r="F89" s="5">
        <f t="shared" ref="F89:F95" si="45">IF(D$12=0,0,D89/D$12)</f>
        <v>0</v>
      </c>
      <c r="G89" s="1"/>
      <c r="H89" s="1">
        <f>SUM(OSRRefH22_4x_0)</f>
        <v>0</v>
      </c>
      <c r="I89" s="1"/>
      <c r="J89" s="5">
        <f t="shared" ref="J89:J95" si="46">IF(H$12=0,0,H89/H$12)</f>
        <v>0</v>
      </c>
      <c r="K89" s="1"/>
      <c r="L89" s="1">
        <f t="shared" ref="L89:L95" si="47">+D89-H89</f>
        <v>0</v>
      </c>
      <c r="M89" s="1"/>
      <c r="N89" s="5">
        <f t="shared" ref="N89:N95" si="48">IF(H89=0,0,L89/H89)</f>
        <v>0</v>
      </c>
      <c r="O89" s="12"/>
      <c r="P89" s="1">
        <f>SUM(OSRRefP22_4x_0)</f>
        <v>107.7</v>
      </c>
      <c r="Q89" s="1"/>
      <c r="R89" s="5">
        <f t="shared" ref="R89:R95" si="49">IF(P$12=0,0,P89/P$12)</f>
        <v>5.4777240088277107E-5</v>
      </c>
      <c r="S89" s="1"/>
      <c r="T89" s="1">
        <f>SUM(OSRRefT22_4x_0)</f>
        <v>120.18</v>
      </c>
      <c r="U89" s="1"/>
      <c r="V89" s="5">
        <f t="shared" ref="V89:V95" si="50">IF(T$12=0,0,T89/T$12)</f>
        <v>3.6074845921865651E-5</v>
      </c>
      <c r="W89" s="1"/>
      <c r="X89" s="1">
        <f t="shared" ref="X89:X95" si="51">+P89-T89</f>
        <v>-12.480000000000004</v>
      </c>
      <c r="Y89" s="1"/>
      <c r="Z89" s="5">
        <f t="shared" ref="Z89:Z95" si="52">IF(T89=0,0,X89/T89)</f>
        <v>-0.10384423364952573</v>
      </c>
    </row>
    <row r="90" spans="1:26" s="23" customFormat="1" hidden="1" outlineLevel="2" x14ac:dyDescent="0.25">
      <c r="A90" s="27"/>
      <c r="B90" s="10" t="str">
        <f>CONCATENATE("          ", "6277", " - ", "EMPLOYEE APPRECIATION")</f>
        <v xml:space="preserve">          6277 - EMPLOYEE APPRECIATION</v>
      </c>
      <c r="C90" s="10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0"/>
      <c r="P90" s="6">
        <v>107.7</v>
      </c>
      <c r="Q90" s="2"/>
      <c r="R90" s="7">
        <f t="shared" si="49"/>
        <v>5.4777240088277107E-5</v>
      </c>
      <c r="S90" s="2"/>
      <c r="T90" s="6">
        <v>120.18</v>
      </c>
      <c r="U90" s="2"/>
      <c r="V90" s="7">
        <f t="shared" si="50"/>
        <v>3.6074845921865651E-5</v>
      </c>
      <c r="W90" s="2"/>
      <c r="X90" s="6">
        <f t="shared" si="51"/>
        <v>-12.480000000000004</v>
      </c>
      <c r="Y90" s="2"/>
      <c r="Z90" s="7">
        <f t="shared" si="52"/>
        <v>-0.10384423364952573</v>
      </c>
    </row>
    <row r="91" spans="1:26" s="26" customFormat="1" outlineLevel="1" collapsed="1" x14ac:dyDescent="0.25">
      <c r="A91" s="25"/>
      <c r="B91" s="12" t="str">
        <f>CONCATENATE("     ","Equipment Rental                                  ")</f>
        <v xml:space="preserve">     Equipment Rental                                  </v>
      </c>
      <c r="C91" s="12"/>
      <c r="D91" s="1">
        <f>SUM(OSRRefD22_5x_0)</f>
        <v>91.26</v>
      </c>
      <c r="E91" s="1"/>
      <c r="F91" s="5">
        <f t="shared" si="45"/>
        <v>1.7690040483946479E-3</v>
      </c>
      <c r="G91" s="1"/>
      <c r="H91" s="1">
        <f>SUM(OSRRefH22_5x_0)</f>
        <v>91.26</v>
      </c>
      <c r="I91" s="1"/>
      <c r="J91" s="5">
        <f t="shared" si="46"/>
        <v>2.3769308004755949E-3</v>
      </c>
      <c r="K91" s="1"/>
      <c r="L91" s="1">
        <f t="shared" si="47"/>
        <v>0</v>
      </c>
      <c r="M91" s="1"/>
      <c r="N91" s="5">
        <f t="shared" si="48"/>
        <v>0</v>
      </c>
      <c r="O91" s="12"/>
      <c r="P91" s="1">
        <f>SUM(OSRRefP22_5x_0)</f>
        <v>1003.86</v>
      </c>
      <c r="Q91" s="1"/>
      <c r="R91" s="5">
        <f t="shared" si="49"/>
        <v>5.1057270413201348E-4</v>
      </c>
      <c r="S91" s="1"/>
      <c r="T91" s="1">
        <f>SUM(OSRRefT22_5x_0)</f>
        <v>1003.86</v>
      </c>
      <c r="U91" s="1"/>
      <c r="V91" s="5">
        <f t="shared" si="50"/>
        <v>3.0133212537131014E-4</v>
      </c>
      <c r="W91" s="1"/>
      <c r="X91" s="1">
        <f t="shared" si="51"/>
        <v>0</v>
      </c>
      <c r="Y91" s="1"/>
      <c r="Z91" s="5">
        <f t="shared" si="52"/>
        <v>0</v>
      </c>
    </row>
    <row r="92" spans="1:26" s="23" customFormat="1" hidden="1" outlineLevel="2" x14ac:dyDescent="0.25">
      <c r="A92" s="27"/>
      <c r="B92" s="10" t="str">
        <f>CONCATENATE("          ", "6351", " - ", "EQUIPMENT RENTAL")</f>
        <v xml:space="preserve">          6351 - EQUIPMENT RENTAL</v>
      </c>
      <c r="C92" s="10"/>
      <c r="D92" s="6">
        <v>91.26</v>
      </c>
      <c r="E92" s="2"/>
      <c r="F92" s="7">
        <f t="shared" si="45"/>
        <v>1.7690040483946479E-3</v>
      </c>
      <c r="G92" s="2"/>
      <c r="H92" s="6">
        <v>91.26</v>
      </c>
      <c r="I92" s="2"/>
      <c r="J92" s="7">
        <f t="shared" si="46"/>
        <v>2.3769308004755949E-3</v>
      </c>
      <c r="K92" s="2"/>
      <c r="L92" s="6">
        <f t="shared" si="47"/>
        <v>0</v>
      </c>
      <c r="M92" s="2"/>
      <c r="N92" s="7">
        <f t="shared" si="48"/>
        <v>0</v>
      </c>
      <c r="O92" s="10"/>
      <c r="P92" s="6">
        <v>1003.86</v>
      </c>
      <c r="Q92" s="2"/>
      <c r="R92" s="7">
        <f t="shared" si="49"/>
        <v>5.1057270413201348E-4</v>
      </c>
      <c r="S92" s="2"/>
      <c r="T92" s="6">
        <v>1003.86</v>
      </c>
      <c r="U92" s="2"/>
      <c r="V92" s="7">
        <f t="shared" si="50"/>
        <v>3.0133212537131014E-4</v>
      </c>
      <c r="W92" s="2"/>
      <c r="X92" s="6">
        <f t="shared" si="51"/>
        <v>0</v>
      </c>
      <c r="Y92" s="2"/>
      <c r="Z92" s="7">
        <f t="shared" si="52"/>
        <v>0</v>
      </c>
    </row>
    <row r="93" spans="1:26" s="26" customFormat="1" outlineLevel="1" collapsed="1" x14ac:dyDescent="0.25">
      <c r="A93" s="25"/>
      <c r="B93" s="12" t="str">
        <f>CONCATENATE("     ","Freight out/Postage                               ")</f>
        <v xml:space="preserve">     Freight out/Postage                               </v>
      </c>
      <c r="C93" s="12"/>
      <c r="D93" s="1">
        <f>SUM(OSRRefD22_6x_0)</f>
        <v>2675.75</v>
      </c>
      <c r="E93" s="1"/>
      <c r="F93" s="5">
        <f t="shared" si="45"/>
        <v>5.1867330511636847E-2</v>
      </c>
      <c r="G93" s="1"/>
      <c r="H93" s="1">
        <f>SUM(OSRRefH22_6x_0)</f>
        <v>1082.96</v>
      </c>
      <c r="I93" s="1"/>
      <c r="J93" s="5">
        <f t="shared" si="46"/>
        <v>2.820645386459621E-2</v>
      </c>
      <c r="K93" s="1"/>
      <c r="L93" s="1">
        <f t="shared" si="47"/>
        <v>1592.79</v>
      </c>
      <c r="M93" s="1"/>
      <c r="N93" s="5">
        <f t="shared" si="48"/>
        <v>1.470774543842801</v>
      </c>
      <c r="O93" s="12"/>
      <c r="P93" s="1">
        <f>SUM(OSRRefP22_6x_0)</f>
        <v>26453.74</v>
      </c>
      <c r="Q93" s="1"/>
      <c r="R93" s="5">
        <f t="shared" si="49"/>
        <v>1.3454622722496376E-2</v>
      </c>
      <c r="S93" s="1"/>
      <c r="T93" s="1">
        <f>SUM(OSRRefT22_6x_0)</f>
        <v>23849.200000000001</v>
      </c>
      <c r="U93" s="1"/>
      <c r="V93" s="5">
        <f t="shared" si="50"/>
        <v>7.1588967828237499E-3</v>
      </c>
      <c r="W93" s="1"/>
      <c r="X93" s="1">
        <f t="shared" si="51"/>
        <v>2604.5400000000009</v>
      </c>
      <c r="Y93" s="1"/>
      <c r="Z93" s="5">
        <f t="shared" si="52"/>
        <v>0.10920869463126649</v>
      </c>
    </row>
    <row r="94" spans="1:26" s="23" customFormat="1" hidden="1" outlineLevel="2" x14ac:dyDescent="0.25">
      <c r="A94" s="27"/>
      <c r="B94" s="10" t="str">
        <f>CONCATENATE("          ", "6305", " - ", "FREIGHT OUT")</f>
        <v xml:space="preserve">          6305 - FREIGHT OUT</v>
      </c>
      <c r="C94" s="10"/>
      <c r="D94" s="6">
        <v>2675.75</v>
      </c>
      <c r="E94" s="2"/>
      <c r="F94" s="7">
        <f t="shared" si="45"/>
        <v>5.1867330511636847E-2</v>
      </c>
      <c r="G94" s="2"/>
      <c r="H94" s="6">
        <v>1082.96</v>
      </c>
      <c r="I94" s="2"/>
      <c r="J94" s="7">
        <f t="shared" si="46"/>
        <v>2.820645386459621E-2</v>
      </c>
      <c r="K94" s="2"/>
      <c r="L94" s="6">
        <f t="shared" si="47"/>
        <v>1592.79</v>
      </c>
      <c r="M94" s="2"/>
      <c r="N94" s="7">
        <f t="shared" si="48"/>
        <v>1.470774543842801</v>
      </c>
      <c r="O94" s="10"/>
      <c r="P94" s="6">
        <v>26453.24</v>
      </c>
      <c r="Q94" s="2"/>
      <c r="R94" s="7">
        <f t="shared" si="49"/>
        <v>1.345436841776059E-2</v>
      </c>
      <c r="S94" s="2"/>
      <c r="T94" s="6">
        <v>23847.25</v>
      </c>
      <c r="U94" s="2"/>
      <c r="V94" s="7">
        <f t="shared" si="50"/>
        <v>7.1583114445848781E-3</v>
      </c>
      <c r="W94" s="2"/>
      <c r="X94" s="6">
        <f t="shared" si="51"/>
        <v>2605.9900000000016</v>
      </c>
      <c r="Y94" s="2"/>
      <c r="Z94" s="7">
        <f t="shared" si="52"/>
        <v>0.10927842833031069</v>
      </c>
    </row>
    <row r="95" spans="1:26" s="23" customFormat="1" hidden="1" outlineLevel="2" x14ac:dyDescent="0.25">
      <c r="A95" s="27"/>
      <c r="B95" s="10" t="str">
        <f>CONCATENATE("          ", "6307", " - ", "POSTAGE")</f>
        <v xml:space="preserve">          6307 - POSTAGE</v>
      </c>
      <c r="C95" s="10"/>
      <c r="D95" s="6"/>
      <c r="E95" s="2"/>
      <c r="F95" s="7">
        <f t="shared" si="45"/>
        <v>0</v>
      </c>
      <c r="G95" s="2"/>
      <c r="H95" s="6"/>
      <c r="I95" s="2"/>
      <c r="J95" s="7">
        <f t="shared" si="46"/>
        <v>0</v>
      </c>
      <c r="K95" s="2"/>
      <c r="L95" s="6">
        <f t="shared" si="47"/>
        <v>0</v>
      </c>
      <c r="M95" s="2"/>
      <c r="N95" s="7">
        <f t="shared" si="48"/>
        <v>0</v>
      </c>
      <c r="O95" s="10"/>
      <c r="P95" s="6">
        <v>0.5</v>
      </c>
      <c r="Q95" s="2"/>
      <c r="R95" s="7">
        <f t="shared" si="49"/>
        <v>2.5430473578587327E-7</v>
      </c>
      <c r="S95" s="2"/>
      <c r="T95" s="6">
        <v>1.95</v>
      </c>
      <c r="U95" s="2"/>
      <c r="V95" s="7">
        <f t="shared" si="50"/>
        <v>5.8533823887200881E-7</v>
      </c>
      <c r="W95" s="2"/>
      <c r="X95" s="6">
        <f t="shared" si="51"/>
        <v>-1.45</v>
      </c>
      <c r="Y95" s="2"/>
      <c r="Z95" s="7">
        <f t="shared" si="52"/>
        <v>-0.74358974358974361</v>
      </c>
    </row>
    <row r="96" spans="1:26" s="26" customFormat="1" outlineLevel="1" collapsed="1" x14ac:dyDescent="0.25">
      <c r="A96" s="25"/>
      <c r="B96" s="12" t="str">
        <f>CONCATENATE("     ","General                                           ")</f>
        <v xml:space="preserve">     General                                           </v>
      </c>
      <c r="C96" s="12"/>
      <c r="D96" s="1">
        <f>SUM(OSRRefD22_7x_0)</f>
        <v>0</v>
      </c>
      <c r="E96" s="1"/>
      <c r="F96" s="5">
        <f t="shared" ref="F96:F100" si="53">IF(D$12=0,0,D96/D$12)</f>
        <v>0</v>
      </c>
      <c r="G96" s="1"/>
      <c r="H96" s="1">
        <f>SUM(OSRRefH22_7x_0)</f>
        <v>0</v>
      </c>
      <c r="I96" s="1"/>
      <c r="J96" s="5">
        <f t="shared" ref="J96:J100" si="54">IF(H$12=0,0,H96/H$12)</f>
        <v>0</v>
      </c>
      <c r="K96" s="1"/>
      <c r="L96" s="1">
        <f t="shared" ref="L96:L100" si="55">+D96-H96</f>
        <v>0</v>
      </c>
      <c r="M96" s="1"/>
      <c r="N96" s="5">
        <f t="shared" ref="N96:N100" si="56">IF(H96=0,0,L96/H96)</f>
        <v>0</v>
      </c>
      <c r="O96" s="12"/>
      <c r="P96" s="1">
        <f>SUM(OSRRefP22_7x_0)</f>
        <v>-1043.02</v>
      </c>
      <c r="Q96" s="1"/>
      <c r="R96" s="5">
        <f t="shared" ref="R96:R100" si="57">IF(P$12=0,0,P96/P$12)</f>
        <v>-5.304898510387631E-4</v>
      </c>
      <c r="S96" s="1"/>
      <c r="T96" s="1">
        <f>SUM(OSRRefT22_7x_0)</f>
        <v>7593.03</v>
      </c>
      <c r="U96" s="1"/>
      <c r="V96" s="5">
        <f t="shared" ref="V96:V100" si="58">IF(T$12=0,0,T96/T$12)</f>
        <v>2.2792260553345278E-3</v>
      </c>
      <c r="W96" s="1"/>
      <c r="X96" s="1">
        <f t="shared" ref="X96:X100" si="59">+P96-T96</f>
        <v>-8636.0499999999993</v>
      </c>
      <c r="Y96" s="1"/>
      <c r="Z96" s="5">
        <f t="shared" ref="Z96:Z100" si="60">IF(T96=0,0,X96/T96)</f>
        <v>-1.1373654522634573</v>
      </c>
    </row>
    <row r="97" spans="1:26" s="23" customFormat="1" hidden="1" outlineLevel="2" x14ac:dyDescent="0.25">
      <c r="A97" s="27"/>
      <c r="B97" s="10" t="str">
        <f>CONCATENATE("          ", "6279", " - ", "GENERAL EXPENSE")</f>
        <v xml:space="preserve">          6279 - GENERAL EXPENSE</v>
      </c>
      <c r="C97" s="10"/>
      <c r="D97" s="6"/>
      <c r="E97" s="2"/>
      <c r="F97" s="7">
        <f t="shared" si="53"/>
        <v>0</v>
      </c>
      <c r="G97" s="2"/>
      <c r="H97" s="6"/>
      <c r="I97" s="2"/>
      <c r="J97" s="7">
        <f t="shared" si="54"/>
        <v>0</v>
      </c>
      <c r="K97" s="2"/>
      <c r="L97" s="6">
        <f t="shared" si="55"/>
        <v>0</v>
      </c>
      <c r="M97" s="2"/>
      <c r="N97" s="7">
        <f t="shared" si="56"/>
        <v>0</v>
      </c>
      <c r="O97" s="10"/>
      <c r="P97" s="6">
        <v>-1043.02</v>
      </c>
      <c r="Q97" s="2"/>
      <c r="R97" s="7">
        <f t="shared" si="57"/>
        <v>-5.304898510387631E-4</v>
      </c>
      <c r="S97" s="2"/>
      <c r="T97" s="6">
        <v>7593.03</v>
      </c>
      <c r="U97" s="2"/>
      <c r="V97" s="7">
        <f t="shared" si="58"/>
        <v>2.2792260553345278E-3</v>
      </c>
      <c r="W97" s="2"/>
      <c r="X97" s="6">
        <f t="shared" si="59"/>
        <v>-8636.0499999999993</v>
      </c>
      <c r="Y97" s="2"/>
      <c r="Z97" s="7">
        <f t="shared" si="60"/>
        <v>-1.1373654522634573</v>
      </c>
    </row>
    <row r="98" spans="1:26" s="26" customFormat="1" outlineLevel="1" collapsed="1" x14ac:dyDescent="0.25">
      <c r="A98" s="25"/>
      <c r="B98" s="12" t="str">
        <f>CONCATENATE("     ","Inventory Adjustment                              ")</f>
        <v xml:space="preserve">     Inventory Adjustment                              </v>
      </c>
      <c r="C98" s="12"/>
      <c r="D98" s="1">
        <f>SUM(OSRRefD22_8x_0)</f>
        <v>1000</v>
      </c>
      <c r="E98" s="1"/>
      <c r="F98" s="5">
        <f t="shared" si="53"/>
        <v>1.9384221437592022E-2</v>
      </c>
      <c r="G98" s="1"/>
      <c r="H98" s="1">
        <f>SUM(OSRRefH22_8x_0)</f>
        <v>1000</v>
      </c>
      <c r="I98" s="1"/>
      <c r="J98" s="5">
        <f t="shared" si="54"/>
        <v>2.604570239399074E-2</v>
      </c>
      <c r="K98" s="1"/>
      <c r="L98" s="1">
        <f t="shared" si="55"/>
        <v>0</v>
      </c>
      <c r="M98" s="1"/>
      <c r="N98" s="5">
        <f t="shared" si="56"/>
        <v>0</v>
      </c>
      <c r="O98" s="12"/>
      <c r="P98" s="1">
        <f>SUM(OSRRefP22_8x_0)</f>
        <v>16000</v>
      </c>
      <c r="Q98" s="1"/>
      <c r="R98" s="5">
        <f t="shared" si="57"/>
        <v>8.1377515451479445E-3</v>
      </c>
      <c r="S98" s="1"/>
      <c r="T98" s="1">
        <f>SUM(OSRRefT22_8x_0)</f>
        <v>16800</v>
      </c>
      <c r="U98" s="1"/>
      <c r="V98" s="5">
        <f t="shared" si="58"/>
        <v>5.0429140579742295E-3</v>
      </c>
      <c r="W98" s="1"/>
      <c r="X98" s="1">
        <f t="shared" si="59"/>
        <v>-800</v>
      </c>
      <c r="Y98" s="1"/>
      <c r="Z98" s="5">
        <f t="shared" si="60"/>
        <v>-4.7619047619047616E-2</v>
      </c>
    </row>
    <row r="99" spans="1:26" s="23" customFormat="1" hidden="1" outlineLevel="2" x14ac:dyDescent="0.25">
      <c r="A99" s="27"/>
      <c r="B99" s="10" t="str">
        <f>CONCATENATE("          ", "6408", " - ", "INVENTORY ADJUSTMENT")</f>
        <v xml:space="preserve">          6408 - INVENTORY ADJUSTMENT</v>
      </c>
      <c r="C99" s="10"/>
      <c r="D99" s="6">
        <v>1000</v>
      </c>
      <c r="E99" s="2"/>
      <c r="F99" s="7">
        <f t="shared" si="53"/>
        <v>1.9384221437592022E-2</v>
      </c>
      <c r="G99" s="2"/>
      <c r="H99" s="6">
        <v>1000</v>
      </c>
      <c r="I99" s="2"/>
      <c r="J99" s="7">
        <f t="shared" si="54"/>
        <v>2.604570239399074E-2</v>
      </c>
      <c r="K99" s="2"/>
      <c r="L99" s="6">
        <f t="shared" si="55"/>
        <v>0</v>
      </c>
      <c r="M99" s="2"/>
      <c r="N99" s="7">
        <f t="shared" si="56"/>
        <v>0</v>
      </c>
      <c r="O99" s="10"/>
      <c r="P99" s="6">
        <v>16000</v>
      </c>
      <c r="Q99" s="2"/>
      <c r="R99" s="7">
        <f t="shared" si="57"/>
        <v>8.1377515451479445E-3</v>
      </c>
      <c r="S99" s="2"/>
      <c r="T99" s="6">
        <v>16800</v>
      </c>
      <c r="U99" s="2"/>
      <c r="V99" s="7">
        <f t="shared" si="58"/>
        <v>5.0429140579742295E-3</v>
      </c>
      <c r="W99" s="2"/>
      <c r="X99" s="6">
        <f t="shared" si="59"/>
        <v>-800</v>
      </c>
      <c r="Y99" s="2"/>
      <c r="Z99" s="7">
        <f t="shared" si="60"/>
        <v>-4.7619047619047616E-2</v>
      </c>
    </row>
    <row r="100" spans="1:26" s="23" customFormat="1" hidden="1" outlineLevel="2" x14ac:dyDescent="0.25">
      <c r="A100" s="27"/>
      <c r="B100" s="10" t="str">
        <f>CONCATENATE("          ", "7701", " - ", "INV. SHRINKAGE-NEW TEXT")</f>
        <v xml:space="preserve">          7701 - INV. SHRINKAGE-NEW TEXT</v>
      </c>
      <c r="C100" s="10"/>
      <c r="D100" s="6"/>
      <c r="E100" s="2"/>
      <c r="F100" s="7">
        <f t="shared" si="53"/>
        <v>0</v>
      </c>
      <c r="G100" s="2"/>
      <c r="H100" s="6"/>
      <c r="I100" s="2"/>
      <c r="J100" s="7">
        <f t="shared" si="54"/>
        <v>0</v>
      </c>
      <c r="K100" s="2"/>
      <c r="L100" s="6">
        <f t="shared" si="55"/>
        <v>0</v>
      </c>
      <c r="M100" s="2"/>
      <c r="N100" s="7">
        <f t="shared" si="56"/>
        <v>0</v>
      </c>
      <c r="O100" s="10"/>
      <c r="P100" s="6"/>
      <c r="Q100" s="2"/>
      <c r="R100" s="7">
        <f t="shared" si="57"/>
        <v>0</v>
      </c>
      <c r="S100" s="2"/>
      <c r="T100" s="6">
        <v>0</v>
      </c>
      <c r="U100" s="2"/>
      <c r="V100" s="7">
        <f t="shared" si="58"/>
        <v>0</v>
      </c>
      <c r="W100" s="2"/>
      <c r="X100" s="6">
        <f t="shared" si="59"/>
        <v>0</v>
      </c>
      <c r="Y100" s="2"/>
      <c r="Z100" s="7">
        <f t="shared" si="60"/>
        <v>0</v>
      </c>
    </row>
    <row r="101" spans="1:26" s="26" customFormat="1" outlineLevel="1" collapsed="1" x14ac:dyDescent="0.25">
      <c r="A101" s="25"/>
      <c r="B101" s="12" t="str">
        <f>CONCATENATE("     ","Repair and Maintenance                            ")</f>
        <v xml:space="preserve">     Repair and Maintenance                            </v>
      </c>
      <c r="C101" s="12"/>
      <c r="D101" s="1">
        <f>SUM(OSRRefD22_9x_0)</f>
        <v>14.74</v>
      </c>
      <c r="E101" s="1"/>
      <c r="F101" s="5">
        <f t="shared" ref="F101:F103" si="61">IF(D$12=0,0,D101/D$12)</f>
        <v>2.8572342399010641E-4</v>
      </c>
      <c r="G101" s="1"/>
      <c r="H101" s="1">
        <f>SUM(OSRRefH22_9x_0)</f>
        <v>45.72</v>
      </c>
      <c r="I101" s="1"/>
      <c r="J101" s="5">
        <f t="shared" ref="J101:J103" si="62">IF(H$12=0,0,H101/H$12)</f>
        <v>1.1908095134532566E-3</v>
      </c>
      <c r="K101" s="1"/>
      <c r="L101" s="1">
        <f t="shared" ref="L101:L103" si="63">+D101-H101</f>
        <v>-30.979999999999997</v>
      </c>
      <c r="M101" s="1"/>
      <c r="N101" s="5">
        <f t="shared" ref="N101:N103" si="64">IF(H101=0,0,L101/H101)</f>
        <v>-0.67760279965004366</v>
      </c>
      <c r="O101" s="12"/>
      <c r="P101" s="1">
        <f>SUM(OSRRefP22_9x_0)</f>
        <v>476.99</v>
      </c>
      <c r="Q101" s="1"/>
      <c r="R101" s="5">
        <f t="shared" ref="R101:R103" si="65">IF(P$12=0,0,P101/P$12)</f>
        <v>2.4260163184500742E-4</v>
      </c>
      <c r="S101" s="1"/>
      <c r="T101" s="1">
        <f>SUM(OSRRefT22_9x_0)</f>
        <v>288.17</v>
      </c>
      <c r="U101" s="1"/>
      <c r="V101" s="5">
        <f t="shared" ref="V101:V103" si="66">IF(T$12=0,0,T101/T$12)</f>
        <v>8.6500984767049632E-5</v>
      </c>
      <c r="W101" s="1"/>
      <c r="X101" s="1">
        <f t="shared" ref="X101:X103" si="67">+P101-T101</f>
        <v>188.82</v>
      </c>
      <c r="Y101" s="1"/>
      <c r="Z101" s="5">
        <f t="shared" ref="Z101:Z103" si="68">IF(T101=0,0,X101/T101)</f>
        <v>0.65523822743519444</v>
      </c>
    </row>
    <row r="102" spans="1:26" s="23" customFormat="1" hidden="1" outlineLevel="2" x14ac:dyDescent="0.25">
      <c r="A102" s="27"/>
      <c r="B102" s="10" t="str">
        <f>CONCATENATE("          ", "6373", " - ", "MAINTENANCE CONTRACTS")</f>
        <v xml:space="preserve">          6373 - MAINTENANCE CONTRACTS</v>
      </c>
      <c r="C102" s="10"/>
      <c r="D102" s="6">
        <v>14.74</v>
      </c>
      <c r="E102" s="2"/>
      <c r="F102" s="7">
        <f t="shared" si="61"/>
        <v>2.8572342399010641E-4</v>
      </c>
      <c r="G102" s="2"/>
      <c r="H102" s="6">
        <v>45.72</v>
      </c>
      <c r="I102" s="2"/>
      <c r="J102" s="7">
        <f t="shared" si="62"/>
        <v>1.1908095134532566E-3</v>
      </c>
      <c r="K102" s="2"/>
      <c r="L102" s="6">
        <f t="shared" si="63"/>
        <v>-30.979999999999997</v>
      </c>
      <c r="M102" s="2"/>
      <c r="N102" s="7">
        <f t="shared" si="64"/>
        <v>-0.67760279965004366</v>
      </c>
      <c r="O102" s="10"/>
      <c r="P102" s="6">
        <v>219.48</v>
      </c>
      <c r="Q102" s="2"/>
      <c r="R102" s="7">
        <f t="shared" si="65"/>
        <v>1.1162960682056694E-4</v>
      </c>
      <c r="S102" s="2"/>
      <c r="T102" s="6">
        <v>288.17</v>
      </c>
      <c r="U102" s="2"/>
      <c r="V102" s="7">
        <f t="shared" si="66"/>
        <v>8.6500984767049632E-5</v>
      </c>
      <c r="W102" s="2"/>
      <c r="X102" s="6">
        <f t="shared" si="67"/>
        <v>-68.690000000000026</v>
      </c>
      <c r="Y102" s="2"/>
      <c r="Z102" s="7">
        <f t="shared" si="68"/>
        <v>-0.23836624214873173</v>
      </c>
    </row>
    <row r="103" spans="1:26" s="23" customFormat="1" hidden="1" outlineLevel="2" x14ac:dyDescent="0.25">
      <c r="A103" s="27"/>
      <c r="B103" s="10" t="str">
        <f>CONCATENATE("          ", "6375", " - ", "OUTSIDE REPAIRS &amp; MAINTENANCE")</f>
        <v xml:space="preserve">          6375 - OUTSIDE REPAIRS &amp; MAINTENANCE</v>
      </c>
      <c r="C103" s="10"/>
      <c r="D103" s="6"/>
      <c r="E103" s="2"/>
      <c r="F103" s="7">
        <f t="shared" si="61"/>
        <v>0</v>
      </c>
      <c r="G103" s="2"/>
      <c r="H103" s="6"/>
      <c r="I103" s="2"/>
      <c r="J103" s="7">
        <f t="shared" si="62"/>
        <v>0</v>
      </c>
      <c r="K103" s="2"/>
      <c r="L103" s="6">
        <f t="shared" si="63"/>
        <v>0</v>
      </c>
      <c r="M103" s="2"/>
      <c r="N103" s="7">
        <f t="shared" si="64"/>
        <v>0</v>
      </c>
      <c r="O103" s="10"/>
      <c r="P103" s="6">
        <v>257.51</v>
      </c>
      <c r="Q103" s="2"/>
      <c r="R103" s="7">
        <f t="shared" si="65"/>
        <v>1.3097202502444045E-4</v>
      </c>
      <c r="S103" s="2"/>
      <c r="T103" s="6"/>
      <c r="U103" s="2"/>
      <c r="V103" s="7">
        <f t="shared" si="66"/>
        <v>0</v>
      </c>
      <c r="W103" s="2"/>
      <c r="X103" s="6">
        <f t="shared" si="67"/>
        <v>257.51</v>
      </c>
      <c r="Y103" s="2"/>
      <c r="Z103" s="7">
        <f t="shared" si="68"/>
        <v>0</v>
      </c>
    </row>
    <row r="104" spans="1:26" s="26" customFormat="1" outlineLevel="1" collapsed="1" x14ac:dyDescent="0.25">
      <c r="A104" s="25"/>
      <c r="B104" s="12" t="str">
        <f>CONCATENATE("     ","Subscriptions &amp; Dues                              ")</f>
        <v xml:space="preserve">     Subscriptions &amp; Dues                              </v>
      </c>
      <c r="C104" s="12"/>
      <c r="D104" s="1">
        <f>SUM(OSRRefD22_10x_0)</f>
        <v>554.32000000000005</v>
      </c>
      <c r="E104" s="1"/>
      <c r="F104" s="5">
        <f t="shared" ref="F104:F106" si="69">IF(D$12=0,0,D104/D$12)</f>
        <v>1.074506162728601E-2</v>
      </c>
      <c r="G104" s="1"/>
      <c r="H104" s="1">
        <f>SUM(OSRRefH22_10x_0)</f>
        <v>260</v>
      </c>
      <c r="I104" s="1"/>
      <c r="J104" s="5">
        <f t="shared" ref="J104:J106" si="70">IF(H$12=0,0,H104/H$12)</f>
        <v>6.7718826224375918E-3</v>
      </c>
      <c r="K104" s="1"/>
      <c r="L104" s="1">
        <f t="shared" ref="L104:L106" si="71">+D104-H104</f>
        <v>294.32000000000005</v>
      </c>
      <c r="M104" s="1"/>
      <c r="N104" s="5">
        <f t="shared" ref="N104:N106" si="72">IF(H104=0,0,L104/H104)</f>
        <v>1.1320000000000001</v>
      </c>
      <c r="O104" s="12"/>
      <c r="P104" s="1">
        <f>SUM(OSRRefP22_10x_0)</f>
        <v>5209.66</v>
      </c>
      <c r="Q104" s="1"/>
      <c r="R104" s="5">
        <f t="shared" ref="R104:R106" si="73">IF(P$12=0,0,P104/P$12)</f>
        <v>2.6496824196684653E-3</v>
      </c>
      <c r="S104" s="1"/>
      <c r="T104" s="1">
        <f>SUM(OSRRefT22_10x_0)</f>
        <v>5310.5599999999995</v>
      </c>
      <c r="U104" s="1"/>
      <c r="V104" s="5">
        <f t="shared" ref="V104:V106" si="74">IF(T$12=0,0,T104/T$12)</f>
        <v>1.5940891476021203E-3</v>
      </c>
      <c r="W104" s="1"/>
      <c r="X104" s="1">
        <f t="shared" ref="X104:X106" si="75">+P104-T104</f>
        <v>-100.89999999999964</v>
      </c>
      <c r="Y104" s="1"/>
      <c r="Z104" s="5">
        <f t="shared" ref="Z104:Z106" si="76">IF(T104=0,0,X104/T104)</f>
        <v>-1.8999879485402604E-2</v>
      </c>
    </row>
    <row r="105" spans="1:26" s="23" customFormat="1" hidden="1" outlineLevel="2" x14ac:dyDescent="0.25">
      <c r="A105" s="27"/>
      <c r="B105" s="10" t="str">
        <f>CONCATENATE("          ", "6258", " - ", "MEMBERSHIP DUES")</f>
        <v xml:space="preserve">          6258 - MEMBERSHIP DUES</v>
      </c>
      <c r="C105" s="10"/>
      <c r="D105" s="6">
        <v>554.32000000000005</v>
      </c>
      <c r="E105" s="2"/>
      <c r="F105" s="7">
        <f t="shared" si="69"/>
        <v>1.074506162728601E-2</v>
      </c>
      <c r="G105" s="2"/>
      <c r="H105" s="6">
        <v>260</v>
      </c>
      <c r="I105" s="2"/>
      <c r="J105" s="7">
        <f t="shared" si="70"/>
        <v>6.7718826224375918E-3</v>
      </c>
      <c r="K105" s="2"/>
      <c r="L105" s="6">
        <f t="shared" si="71"/>
        <v>294.32000000000005</v>
      </c>
      <c r="M105" s="2"/>
      <c r="N105" s="7">
        <f t="shared" si="72"/>
        <v>1.1320000000000001</v>
      </c>
      <c r="O105" s="10"/>
      <c r="P105" s="6">
        <v>3357.58</v>
      </c>
      <c r="Q105" s="2"/>
      <c r="R105" s="7">
        <f t="shared" si="73"/>
        <v>1.7076969895598649E-3</v>
      </c>
      <c r="S105" s="2"/>
      <c r="T105" s="6">
        <v>3458.48</v>
      </c>
      <c r="U105" s="2"/>
      <c r="V105" s="7">
        <f t="shared" si="74"/>
        <v>1.0381438935251615E-3</v>
      </c>
      <c r="W105" s="2"/>
      <c r="X105" s="6">
        <f t="shared" si="75"/>
        <v>-100.90000000000009</v>
      </c>
      <c r="Y105" s="2"/>
      <c r="Z105" s="7">
        <f t="shared" si="76"/>
        <v>-2.9174666327403974E-2</v>
      </c>
    </row>
    <row r="106" spans="1:26" s="23" customFormat="1" hidden="1" outlineLevel="2" x14ac:dyDescent="0.25">
      <c r="A106" s="27"/>
      <c r="B106" s="10" t="str">
        <f>CONCATENATE("          ", "6275", " - ", "SUBSCRIPTIONS")</f>
        <v xml:space="preserve">          6275 - SUBSCRIPTIONS</v>
      </c>
      <c r="C106" s="10"/>
      <c r="D106" s="6"/>
      <c r="E106" s="2"/>
      <c r="F106" s="7">
        <f t="shared" si="69"/>
        <v>0</v>
      </c>
      <c r="G106" s="2"/>
      <c r="H106" s="6"/>
      <c r="I106" s="2"/>
      <c r="J106" s="7">
        <f t="shared" si="70"/>
        <v>0</v>
      </c>
      <c r="K106" s="2"/>
      <c r="L106" s="6">
        <f t="shared" si="71"/>
        <v>0</v>
      </c>
      <c r="M106" s="2"/>
      <c r="N106" s="7">
        <f t="shared" si="72"/>
        <v>0</v>
      </c>
      <c r="O106" s="10"/>
      <c r="P106" s="6">
        <v>1852.08</v>
      </c>
      <c r="Q106" s="2"/>
      <c r="R106" s="7">
        <f t="shared" si="73"/>
        <v>9.4198543010860032E-4</v>
      </c>
      <c r="S106" s="2"/>
      <c r="T106" s="6">
        <v>1852.08</v>
      </c>
      <c r="U106" s="2"/>
      <c r="V106" s="7">
        <f t="shared" si="74"/>
        <v>5.5594525407695898E-4</v>
      </c>
      <c r="W106" s="2"/>
      <c r="X106" s="6">
        <f t="shared" si="75"/>
        <v>0</v>
      </c>
      <c r="Y106" s="2"/>
      <c r="Z106" s="7">
        <f t="shared" si="76"/>
        <v>0</v>
      </c>
    </row>
    <row r="107" spans="1:26" s="26" customFormat="1" outlineLevel="1" collapsed="1" x14ac:dyDescent="0.25">
      <c r="A107" s="25"/>
      <c r="B107" s="12" t="str">
        <f>CONCATENATE("     ","Supplies                                          ")</f>
        <v xml:space="preserve">     Supplies                                          </v>
      </c>
      <c r="C107" s="12"/>
      <c r="D107" s="1">
        <f>SUM(OSRRefD22_11x_0)</f>
        <v>-7.0600000000000023</v>
      </c>
      <c r="E107" s="1"/>
      <c r="F107" s="5">
        <f t="shared" ref="F107:F110" si="77">IF(D$12=0,0,D107/D$12)</f>
        <v>-1.3685260334939971E-4</v>
      </c>
      <c r="G107" s="1"/>
      <c r="H107" s="1">
        <f>SUM(OSRRefH22_11x_0)</f>
        <v>772.5</v>
      </c>
      <c r="I107" s="1"/>
      <c r="J107" s="5">
        <f t="shared" ref="J107:J110" si="78">IF(H$12=0,0,H107/H$12)</f>
        <v>2.0120305099357846E-2</v>
      </c>
      <c r="K107" s="1"/>
      <c r="L107" s="1">
        <f t="shared" ref="L107:L110" si="79">+D107-H107</f>
        <v>-779.56</v>
      </c>
      <c r="M107" s="1"/>
      <c r="N107" s="5">
        <f t="shared" ref="N107:N110" si="80">IF(H107=0,0,L107/H107)</f>
        <v>-1.0091391585760516</v>
      </c>
      <c r="O107" s="12"/>
      <c r="P107" s="1">
        <f>SUM(OSRRefP22_11x_0)</f>
        <v>5366.37</v>
      </c>
      <c r="Q107" s="1"/>
      <c r="R107" s="5">
        <f t="shared" ref="R107:R110" si="81">IF(P$12=0,0,P107/P$12)</f>
        <v>2.7293866099584738E-3</v>
      </c>
      <c r="S107" s="1"/>
      <c r="T107" s="1">
        <f>SUM(OSRRefT22_11x_0)</f>
        <v>13520.43</v>
      </c>
      <c r="U107" s="1"/>
      <c r="V107" s="5">
        <f t="shared" ref="V107:V110" si="82">IF(T$12=0,0,T107/T$12)</f>
        <v>4.0584741974319357E-3</v>
      </c>
      <c r="W107" s="1"/>
      <c r="X107" s="1">
        <f t="shared" ref="X107:X110" si="83">+P107-T107</f>
        <v>-8154.06</v>
      </c>
      <c r="Y107" s="1"/>
      <c r="Z107" s="5">
        <f t="shared" ref="Z107:Z110" si="84">IF(T107=0,0,X107/T107)</f>
        <v>-0.60309176557254462</v>
      </c>
    </row>
    <row r="108" spans="1:26" s="23" customFormat="1" hidden="1" outlineLevel="2" x14ac:dyDescent="0.25">
      <c r="A108" s="27"/>
      <c r="B108" s="10" t="str">
        <f>CONCATENATE("          ", "6241", " - ", "OFFICE EXPENSE")</f>
        <v xml:space="preserve">          6241 - OFFICE EXPENSE</v>
      </c>
      <c r="C108" s="10"/>
      <c r="D108" s="6">
        <v>58.08</v>
      </c>
      <c r="E108" s="2"/>
      <c r="F108" s="7">
        <f t="shared" si="77"/>
        <v>1.1258355810953445E-3</v>
      </c>
      <c r="G108" s="2"/>
      <c r="H108" s="6">
        <v>250.63</v>
      </c>
      <c r="I108" s="2"/>
      <c r="J108" s="7">
        <f t="shared" si="78"/>
        <v>6.5278343910058984E-3</v>
      </c>
      <c r="K108" s="2"/>
      <c r="L108" s="6">
        <f t="shared" si="79"/>
        <v>-192.55</v>
      </c>
      <c r="M108" s="2"/>
      <c r="N108" s="7">
        <f t="shared" si="80"/>
        <v>-0.76826397478354558</v>
      </c>
      <c r="O108" s="10"/>
      <c r="P108" s="6">
        <v>1624.75</v>
      </c>
      <c r="Q108" s="2"/>
      <c r="R108" s="7">
        <f t="shared" si="81"/>
        <v>8.2636323893619525E-4</v>
      </c>
      <c r="S108" s="2"/>
      <c r="T108" s="6">
        <v>4278.49</v>
      </c>
      <c r="U108" s="2"/>
      <c r="V108" s="7">
        <f t="shared" si="82"/>
        <v>1.2842891290417954E-3</v>
      </c>
      <c r="W108" s="2"/>
      <c r="X108" s="6">
        <f t="shared" si="83"/>
        <v>-2653.74</v>
      </c>
      <c r="Y108" s="2"/>
      <c r="Z108" s="7">
        <f t="shared" si="84"/>
        <v>-0.62025153734144522</v>
      </c>
    </row>
    <row r="109" spans="1:26" s="23" customFormat="1" hidden="1" outlineLevel="2" x14ac:dyDescent="0.25">
      <c r="A109" s="27"/>
      <c r="B109" s="10" t="str">
        <f>CONCATENATE("          ", "6245", " - ", "PRINTING")</f>
        <v xml:space="preserve">          6245 - PRINTING</v>
      </c>
      <c r="C109" s="10"/>
      <c r="D109" s="6"/>
      <c r="E109" s="2"/>
      <c r="F109" s="7">
        <f t="shared" si="77"/>
        <v>0</v>
      </c>
      <c r="G109" s="2"/>
      <c r="H109" s="6"/>
      <c r="I109" s="2"/>
      <c r="J109" s="7">
        <f t="shared" si="78"/>
        <v>0</v>
      </c>
      <c r="K109" s="2"/>
      <c r="L109" s="6">
        <f t="shared" si="79"/>
        <v>0</v>
      </c>
      <c r="M109" s="2"/>
      <c r="N109" s="7">
        <f t="shared" si="80"/>
        <v>0</v>
      </c>
      <c r="O109" s="10"/>
      <c r="P109" s="6"/>
      <c r="Q109" s="2"/>
      <c r="R109" s="7">
        <f t="shared" si="81"/>
        <v>0</v>
      </c>
      <c r="S109" s="2"/>
      <c r="T109" s="6">
        <v>5198.58</v>
      </c>
      <c r="U109" s="2"/>
      <c r="V109" s="7">
        <f t="shared" si="82"/>
        <v>1.5604757240180757E-3</v>
      </c>
      <c r="W109" s="2"/>
      <c r="X109" s="6">
        <f t="shared" si="83"/>
        <v>-5198.58</v>
      </c>
      <c r="Y109" s="2"/>
      <c r="Z109" s="7">
        <f t="shared" si="84"/>
        <v>-1</v>
      </c>
    </row>
    <row r="110" spans="1:26" s="23" customFormat="1" hidden="1" outlineLevel="2" x14ac:dyDescent="0.25">
      <c r="A110" s="27"/>
      <c r="B110" s="10" t="str">
        <f>CONCATENATE("          ", "6247", " - ", "STORE SUPPLIES")</f>
        <v xml:space="preserve">          6247 - STORE SUPPLIES</v>
      </c>
      <c r="C110" s="10"/>
      <c r="D110" s="6">
        <v>-65.14</v>
      </c>
      <c r="E110" s="2"/>
      <c r="F110" s="7">
        <f t="shared" si="77"/>
        <v>-1.2626881844447443E-3</v>
      </c>
      <c r="G110" s="2"/>
      <c r="H110" s="6">
        <v>521.87</v>
      </c>
      <c r="I110" s="2"/>
      <c r="J110" s="7">
        <f t="shared" si="78"/>
        <v>1.3592470708351947E-2</v>
      </c>
      <c r="K110" s="2"/>
      <c r="L110" s="6">
        <f t="shared" si="79"/>
        <v>-587.01</v>
      </c>
      <c r="M110" s="2"/>
      <c r="N110" s="7">
        <f t="shared" si="80"/>
        <v>-1.124820357560312</v>
      </c>
      <c r="O110" s="10"/>
      <c r="P110" s="6">
        <v>3741.62</v>
      </c>
      <c r="Q110" s="2"/>
      <c r="R110" s="7">
        <f t="shared" si="81"/>
        <v>1.9030233710222784E-3</v>
      </c>
      <c r="S110" s="2"/>
      <c r="T110" s="6">
        <v>4043.36</v>
      </c>
      <c r="U110" s="2"/>
      <c r="V110" s="7">
        <f t="shared" si="82"/>
        <v>1.2137093443720644E-3</v>
      </c>
      <c r="W110" s="2"/>
      <c r="X110" s="6">
        <f t="shared" si="83"/>
        <v>-301.74000000000024</v>
      </c>
      <c r="Y110" s="2"/>
      <c r="Z110" s="7">
        <f t="shared" si="84"/>
        <v>-7.4626053579201518E-2</v>
      </c>
    </row>
    <row r="111" spans="1:26" s="26" customFormat="1" outlineLevel="1" collapsed="1" x14ac:dyDescent="0.25">
      <c r="A111" s="25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SUM(OSRRefD22_12x_0)</f>
        <v>563.79999999999995</v>
      </c>
      <c r="E111" s="1"/>
      <c r="F111" s="5">
        <f t="shared" ref="F111:F113" si="85">IF(D$12=0,0,D111/D$12)</f>
        <v>1.0928824046514381E-2</v>
      </c>
      <c r="G111" s="1"/>
      <c r="H111" s="1">
        <f>SUM(OSRRefH22_12x_0)</f>
        <v>1113.05</v>
      </c>
      <c r="I111" s="1"/>
      <c r="J111" s="5">
        <f t="shared" ref="J111:J113" si="86">IF(H$12=0,0,H111/H$12)</f>
        <v>2.8990169049631389E-2</v>
      </c>
      <c r="K111" s="1"/>
      <c r="L111" s="1">
        <f t="shared" ref="L111:L113" si="87">+D111-H111</f>
        <v>-549.25</v>
      </c>
      <c r="M111" s="1"/>
      <c r="N111" s="5">
        <f t="shared" ref="N111:N113" si="88">IF(H111=0,0,L111/H111)</f>
        <v>-0.4934639054849288</v>
      </c>
      <c r="O111" s="12"/>
      <c r="P111" s="1">
        <f>SUM(OSRRefP22_12x_0)</f>
        <v>8749.7000000000007</v>
      </c>
      <c r="Q111" s="1"/>
      <c r="R111" s="5">
        <f t="shared" ref="R111:R113" si="89">IF(P$12=0,0,P111/P$12)</f>
        <v>4.4501802934113115E-3</v>
      </c>
      <c r="S111" s="1"/>
      <c r="T111" s="1">
        <f>SUM(OSRRefT22_12x_0)</f>
        <v>8259.0400000000009</v>
      </c>
      <c r="U111" s="1"/>
      <c r="V111" s="5">
        <f t="shared" ref="V111:V113" si="90">IF(T$12=0,0,T111/T$12)</f>
        <v>2.4791445786530647E-3</v>
      </c>
      <c r="W111" s="1"/>
      <c r="X111" s="1">
        <f t="shared" ref="X111:X113" si="91">+P111-T111</f>
        <v>490.65999999999985</v>
      </c>
      <c r="Y111" s="1"/>
      <c r="Z111" s="5">
        <f t="shared" ref="Z111:Z113" si="92">IF(T111=0,0,X111/T111)</f>
        <v>5.9408841705573506E-2</v>
      </c>
    </row>
    <row r="112" spans="1:26" s="23" customFormat="1" hidden="1" outlineLevel="2" x14ac:dyDescent="0.25">
      <c r="A112" s="27"/>
      <c r="B112" s="10" t="str">
        <f>CONCATENATE("          ", "6303", " - ", "DATA PHONE LINES")</f>
        <v xml:space="preserve">          6303 - DATA PHONE LINES</v>
      </c>
      <c r="C112" s="10"/>
      <c r="D112" s="6"/>
      <c r="E112" s="2"/>
      <c r="F112" s="7">
        <f t="shared" si="85"/>
        <v>0</v>
      </c>
      <c r="G112" s="2"/>
      <c r="H112" s="6">
        <v>590</v>
      </c>
      <c r="I112" s="2"/>
      <c r="J112" s="7">
        <f t="shared" si="86"/>
        <v>1.5366964412454536E-2</v>
      </c>
      <c r="K112" s="2"/>
      <c r="L112" s="6">
        <f t="shared" si="87"/>
        <v>-590</v>
      </c>
      <c r="M112" s="2"/>
      <c r="N112" s="7">
        <f t="shared" si="88"/>
        <v>-1</v>
      </c>
      <c r="O112" s="10"/>
      <c r="P112" s="6">
        <v>3540</v>
      </c>
      <c r="Q112" s="2"/>
      <c r="R112" s="7">
        <f t="shared" si="89"/>
        <v>1.800477529363983E-3</v>
      </c>
      <c r="S112" s="2"/>
      <c r="T112" s="6">
        <v>2950</v>
      </c>
      <c r="U112" s="2"/>
      <c r="V112" s="7">
        <f t="shared" si="90"/>
        <v>8.8551169470380822E-4</v>
      </c>
      <c r="W112" s="2"/>
      <c r="X112" s="6">
        <f t="shared" si="91"/>
        <v>590</v>
      </c>
      <c r="Y112" s="2"/>
      <c r="Z112" s="7">
        <f t="shared" si="92"/>
        <v>0.2</v>
      </c>
    </row>
    <row r="113" spans="1:26" s="23" customFormat="1" hidden="1" outlineLevel="2" x14ac:dyDescent="0.25">
      <c r="A113" s="27"/>
      <c r="B113" s="10" t="str">
        <f>CONCATENATE("          ", "6309", " - ", "TELEPHONE")</f>
        <v xml:space="preserve">          6309 - TELEPHONE</v>
      </c>
      <c r="C113" s="10"/>
      <c r="D113" s="6">
        <v>563.79999999999995</v>
      </c>
      <c r="E113" s="2"/>
      <c r="F113" s="7">
        <f t="shared" si="85"/>
        <v>1.0928824046514381E-2</v>
      </c>
      <c r="G113" s="2"/>
      <c r="H113" s="6">
        <v>523.04999999999995</v>
      </c>
      <c r="I113" s="2"/>
      <c r="J113" s="7">
        <f t="shared" si="86"/>
        <v>1.3623204637176855E-2</v>
      </c>
      <c r="K113" s="2"/>
      <c r="L113" s="6">
        <f t="shared" si="87"/>
        <v>40.75</v>
      </c>
      <c r="M113" s="2"/>
      <c r="N113" s="7">
        <f t="shared" si="88"/>
        <v>7.7908421757002203E-2</v>
      </c>
      <c r="O113" s="10"/>
      <c r="P113" s="6">
        <v>5209.7</v>
      </c>
      <c r="Q113" s="2"/>
      <c r="R113" s="7">
        <f t="shared" si="89"/>
        <v>2.6497027640473279E-3</v>
      </c>
      <c r="S113" s="2"/>
      <c r="T113" s="6">
        <v>5309.04</v>
      </c>
      <c r="U113" s="2"/>
      <c r="V113" s="7">
        <f t="shared" si="90"/>
        <v>1.5936328839492562E-3</v>
      </c>
      <c r="W113" s="2"/>
      <c r="X113" s="6">
        <f t="shared" si="91"/>
        <v>-99.340000000000146</v>
      </c>
      <c r="Y113" s="2"/>
      <c r="Z113" s="7">
        <f t="shared" si="92"/>
        <v>-1.871148079502135E-2</v>
      </c>
    </row>
    <row r="114" spans="1:26" s="26" customFormat="1" outlineLevel="1" collapsed="1" x14ac:dyDescent="0.25">
      <c r="A114" s="25"/>
      <c r="B114" s="12" t="str">
        <f>CONCATENATE("     ","Training                                          ")</f>
        <v xml:space="preserve">     Training                                          </v>
      </c>
      <c r="C114" s="12"/>
      <c r="D114" s="1">
        <f>SUM(OSRRefD22_13x_0)</f>
        <v>0</v>
      </c>
      <c r="E114" s="1"/>
      <c r="F114" s="5">
        <f t="shared" ref="F114:F117" si="93">IF(D$12=0,0,D114/D$12)</f>
        <v>0</v>
      </c>
      <c r="G114" s="1"/>
      <c r="H114" s="1">
        <f>SUM(OSRRefH22_13x_0)</f>
        <v>0</v>
      </c>
      <c r="I114" s="1"/>
      <c r="J114" s="5">
        <f t="shared" ref="J114:J117" si="94">IF(H$12=0,0,H114/H$12)</f>
        <v>0</v>
      </c>
      <c r="K114" s="1"/>
      <c r="L114" s="1">
        <f t="shared" ref="L114:L117" si="95">+D114-H114</f>
        <v>0</v>
      </c>
      <c r="M114" s="1"/>
      <c r="N114" s="5">
        <f t="shared" ref="N114:N117" si="96">IF(H114=0,0,L114/H114)</f>
        <v>0</v>
      </c>
      <c r="O114" s="12"/>
      <c r="P114" s="1">
        <f>SUM(OSRRefP22_13x_0)</f>
        <v>0</v>
      </c>
      <c r="Q114" s="1"/>
      <c r="R114" s="5">
        <f t="shared" ref="R114:R117" si="97">IF(P$12=0,0,P114/P$12)</f>
        <v>0</v>
      </c>
      <c r="S114" s="1"/>
      <c r="T114" s="1">
        <f>SUM(OSRRefT22_13x_0)</f>
        <v>4157.1499999999996</v>
      </c>
      <c r="U114" s="1"/>
      <c r="V114" s="5">
        <f t="shared" ref="V114:V117" si="98">IF(T$12=0,0,T114/T$12)</f>
        <v>1.2478660819111647E-3</v>
      </c>
      <c r="W114" s="1"/>
      <c r="X114" s="1">
        <f t="shared" ref="X114:X117" si="99">+P114-T114</f>
        <v>-4157.1499999999996</v>
      </c>
      <c r="Y114" s="1"/>
      <c r="Z114" s="5">
        <f t="shared" ref="Z114:Z117" si="100">IF(T114=0,0,X114/T114)</f>
        <v>-1</v>
      </c>
    </row>
    <row r="115" spans="1:26" s="23" customFormat="1" hidden="1" outlineLevel="2" x14ac:dyDescent="0.25">
      <c r="A115" s="27"/>
      <c r="B115" s="10" t="str">
        <f>CONCATENATE("          ", "6376", " - ", "TRAINING")</f>
        <v xml:space="preserve">          6376 - TRAINING</v>
      </c>
      <c r="C115" s="10"/>
      <c r="D115" s="6"/>
      <c r="E115" s="2"/>
      <c r="F115" s="7">
        <f t="shared" si="93"/>
        <v>0</v>
      </c>
      <c r="G115" s="2"/>
      <c r="H115" s="6"/>
      <c r="I115" s="2"/>
      <c r="J115" s="7">
        <f t="shared" si="94"/>
        <v>0</v>
      </c>
      <c r="K115" s="2"/>
      <c r="L115" s="6">
        <f t="shared" si="95"/>
        <v>0</v>
      </c>
      <c r="M115" s="2"/>
      <c r="N115" s="7">
        <f t="shared" si="96"/>
        <v>0</v>
      </c>
      <c r="O115" s="10"/>
      <c r="P115" s="6"/>
      <c r="Q115" s="2"/>
      <c r="R115" s="7">
        <f t="shared" si="97"/>
        <v>0</v>
      </c>
      <c r="S115" s="2"/>
      <c r="T115" s="6">
        <v>4157.1499999999996</v>
      </c>
      <c r="U115" s="2"/>
      <c r="V115" s="7">
        <f t="shared" si="98"/>
        <v>1.2478660819111647E-3</v>
      </c>
      <c r="W115" s="2"/>
      <c r="X115" s="6">
        <f t="shared" si="99"/>
        <v>-4157.1499999999996</v>
      </c>
      <c r="Y115" s="2"/>
      <c r="Z115" s="7">
        <f t="shared" si="100"/>
        <v>-1</v>
      </c>
    </row>
    <row r="116" spans="1:26" s="26" customFormat="1" outlineLevel="1" collapsed="1" x14ac:dyDescent="0.25">
      <c r="A116" s="25"/>
      <c r="B116" s="12" t="str">
        <f>CONCATENATE("     ","Travel                                            ")</f>
        <v xml:space="preserve">     Travel                                            </v>
      </c>
      <c r="C116" s="12"/>
      <c r="D116" s="1">
        <f>SUM(OSRRefD22_14x_0)</f>
        <v>0</v>
      </c>
      <c r="E116" s="1"/>
      <c r="F116" s="5">
        <f t="shared" si="93"/>
        <v>0</v>
      </c>
      <c r="G116" s="1"/>
      <c r="H116" s="1">
        <f>SUM(OSRRefH22_14x_0)</f>
        <v>0</v>
      </c>
      <c r="I116" s="1"/>
      <c r="J116" s="5">
        <f t="shared" si="94"/>
        <v>0</v>
      </c>
      <c r="K116" s="1"/>
      <c r="L116" s="1">
        <f t="shared" si="95"/>
        <v>0</v>
      </c>
      <c r="M116" s="1"/>
      <c r="N116" s="5">
        <f t="shared" si="96"/>
        <v>0</v>
      </c>
      <c r="O116" s="12"/>
      <c r="P116" s="1">
        <f>SUM(OSRRefP22_14x_0)</f>
        <v>0.16</v>
      </c>
      <c r="Q116" s="1"/>
      <c r="R116" s="5">
        <f t="shared" si="97"/>
        <v>8.1377515451479457E-8</v>
      </c>
      <c r="S116" s="1"/>
      <c r="T116" s="1">
        <f>SUM(OSRRefT22_14x_0)</f>
        <v>83.93</v>
      </c>
      <c r="U116" s="1"/>
      <c r="V116" s="5">
        <f t="shared" si="98"/>
        <v>2.5193558147962924E-5</v>
      </c>
      <c r="W116" s="1"/>
      <c r="X116" s="1">
        <f t="shared" si="99"/>
        <v>-83.77000000000001</v>
      </c>
      <c r="Y116" s="1"/>
      <c r="Z116" s="5">
        <f t="shared" si="100"/>
        <v>-0.99809364946979628</v>
      </c>
    </row>
    <row r="117" spans="1:26" s="23" customFormat="1" hidden="1" outlineLevel="2" x14ac:dyDescent="0.25">
      <c r="A117" s="27"/>
      <c r="B117" s="10" t="str">
        <f>CONCATENATE("          ", "6292", " - ", "TRAVEL/CONFERENCE")</f>
        <v xml:space="preserve">          6292 - TRAVEL/CONFERENCE</v>
      </c>
      <c r="C117" s="10"/>
      <c r="D117" s="6"/>
      <c r="E117" s="2"/>
      <c r="F117" s="7">
        <f t="shared" si="93"/>
        <v>0</v>
      </c>
      <c r="G117" s="2"/>
      <c r="H117" s="6"/>
      <c r="I117" s="2"/>
      <c r="J117" s="7">
        <f t="shared" si="94"/>
        <v>0</v>
      </c>
      <c r="K117" s="2"/>
      <c r="L117" s="6">
        <f t="shared" si="95"/>
        <v>0</v>
      </c>
      <c r="M117" s="2"/>
      <c r="N117" s="7">
        <f t="shared" si="96"/>
        <v>0</v>
      </c>
      <c r="O117" s="10"/>
      <c r="P117" s="6">
        <v>0.16</v>
      </c>
      <c r="Q117" s="2"/>
      <c r="R117" s="7">
        <f t="shared" si="97"/>
        <v>8.1377515451479457E-8</v>
      </c>
      <c r="S117" s="2"/>
      <c r="T117" s="6">
        <v>83.93</v>
      </c>
      <c r="U117" s="2"/>
      <c r="V117" s="7">
        <f t="shared" si="98"/>
        <v>2.5193558147962924E-5</v>
      </c>
      <c r="W117" s="2"/>
      <c r="X117" s="6">
        <f t="shared" si="99"/>
        <v>-83.77000000000001</v>
      </c>
      <c r="Y117" s="2"/>
      <c r="Z117" s="7">
        <f t="shared" si="100"/>
        <v>-0.99809364946979628</v>
      </c>
    </row>
    <row r="118" spans="1:26" s="57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9" t="s">
        <v>292</v>
      </c>
      <c r="C119" s="11"/>
      <c r="D119" s="4">
        <f>SUM(OSRRefD25x_0)</f>
        <v>3009.01</v>
      </c>
      <c r="E119" s="4"/>
      <c r="F119" s="13">
        <f t="shared" ref="F119:F122" si="101">IF(D$12=0,0,D119/D$12)</f>
        <v>5.8327316147928771E-2</v>
      </c>
      <c r="G119" s="4"/>
      <c r="H119" s="4">
        <f>SUM(OSRRefH25x_0)</f>
        <v>5867.1100000000006</v>
      </c>
      <c r="I119" s="4"/>
      <c r="J119" s="13">
        <f t="shared" ref="J119:J122" si="102">IF(H$12=0,0,H119/H$12)</f>
        <v>0.15281300097280701</v>
      </c>
      <c r="K119" s="4"/>
      <c r="L119" s="4">
        <f t="shared" ref="L119:L122" si="103">+D119-H119</f>
        <v>-2858.1000000000004</v>
      </c>
      <c r="M119" s="4"/>
      <c r="N119" s="13">
        <f t="shared" ref="N119:N122" si="104">IF(H119=0,0,L119/H119)</f>
        <v>-0.48713932413061967</v>
      </c>
      <c r="O119" s="11"/>
      <c r="P119" s="4">
        <f>SUM(OSRRefP25x_0)</f>
        <v>334317.08</v>
      </c>
      <c r="Q119" s="4"/>
      <c r="R119" s="13">
        <f t="shared" ref="R119:R122" si="105">IF(P$12=0,0,P119/P$12)</f>
        <v>0.17003683339620934</v>
      </c>
      <c r="S119" s="4"/>
      <c r="T119" s="4">
        <f>SUM(OSRRefT25x_0)</f>
        <v>193909.89</v>
      </c>
      <c r="U119" s="4"/>
      <c r="V119" s="13">
        <f t="shared" ref="V119:V122" si="106">IF(T$12=0,0,T119/T$12)</f>
        <v>5.820660180126408E-2</v>
      </c>
      <c r="W119" s="4"/>
      <c r="X119" s="4">
        <f t="shared" ref="X119:X122" si="107">+P119-T119</f>
        <v>140407.19</v>
      </c>
      <c r="Y119" s="4"/>
      <c r="Z119" s="13">
        <f t="shared" ref="Z119:Z122" si="108">IF(T119=0,0,X119/T119)</f>
        <v>0.72408472822092773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>--1572.94</f>
        <v>1572.94</v>
      </c>
      <c r="E120" s="2"/>
      <c r="F120" s="19">
        <f t="shared" si="101"/>
        <v>3.0490217268045995E-2</v>
      </c>
      <c r="G120" s="2"/>
      <c r="H120" s="2">
        <f>--774.27</f>
        <v>774.27</v>
      </c>
      <c r="I120" s="2"/>
      <c r="J120" s="19">
        <f t="shared" si="102"/>
        <v>2.0166405992595209E-2</v>
      </c>
      <c r="K120" s="2"/>
      <c r="L120" s="2">
        <f t="shared" si="103"/>
        <v>798.67000000000007</v>
      </c>
      <c r="M120" s="2"/>
      <c r="N120" s="19">
        <f t="shared" si="104"/>
        <v>1.0315135547031398</v>
      </c>
      <c r="O120" s="10"/>
      <c r="P120" s="2">
        <f>--33036.05</f>
        <v>33036.050000000003</v>
      </c>
      <c r="Q120" s="2"/>
      <c r="R120" s="19">
        <f t="shared" si="105"/>
        <v>1.68024479333178E-2</v>
      </c>
      <c r="S120" s="2"/>
      <c r="T120" s="2">
        <f>--21290.7</f>
        <v>21290.7</v>
      </c>
      <c r="U120" s="2"/>
      <c r="V120" s="19">
        <f t="shared" si="106"/>
        <v>6.3909029960780911E-3</v>
      </c>
      <c r="W120" s="2"/>
      <c r="X120" s="2">
        <f t="shared" si="107"/>
        <v>11745.350000000002</v>
      </c>
      <c r="Y120" s="2"/>
      <c r="Z120" s="19">
        <f t="shared" si="108"/>
        <v>0.55166575077381208</v>
      </c>
    </row>
    <row r="121" spans="1:26" s="23" customFormat="1" hidden="1" outlineLevel="1" x14ac:dyDescent="0.25">
      <c r="A121" s="44"/>
      <c r="B121" s="10" t="str">
        <f>CONCATENATE("          ", "9151", " - ", "MISC. INCOME")</f>
        <v xml:space="preserve">          9151 - MISC. INCOME</v>
      </c>
      <c r="C121" s="10"/>
      <c r="D121" s="2">
        <f>0</f>
        <v>0</v>
      </c>
      <c r="E121" s="2"/>
      <c r="F121" s="19">
        <f t="shared" si="101"/>
        <v>0</v>
      </c>
      <c r="G121" s="2"/>
      <c r="H121" s="2">
        <f>0</f>
        <v>0</v>
      </c>
      <c r="I121" s="2"/>
      <c r="J121" s="19">
        <f t="shared" si="102"/>
        <v>0</v>
      </c>
      <c r="K121" s="2"/>
      <c r="L121" s="2">
        <f t="shared" si="103"/>
        <v>0</v>
      </c>
      <c r="M121" s="2"/>
      <c r="N121" s="19">
        <f t="shared" si="104"/>
        <v>0</v>
      </c>
      <c r="O121" s="10"/>
      <c r="P121" s="2">
        <f>--295628.46</f>
        <v>295628.46000000002</v>
      </c>
      <c r="Q121" s="2"/>
      <c r="R121" s="19">
        <f t="shared" si="105"/>
        <v>0.15035943482216924</v>
      </c>
      <c r="S121" s="2"/>
      <c r="T121" s="2">
        <f>--162744.3</f>
        <v>162744.29999999999</v>
      </c>
      <c r="U121" s="2"/>
      <c r="V121" s="19">
        <f t="shared" si="106"/>
        <v>4.8851518947927108E-2</v>
      </c>
      <c r="W121" s="2"/>
      <c r="X121" s="2">
        <f t="shared" si="107"/>
        <v>132884.16000000003</v>
      </c>
      <c r="Y121" s="2"/>
      <c r="Z121" s="19">
        <f t="shared" si="108"/>
        <v>0.81652113161566975</v>
      </c>
    </row>
    <row r="122" spans="1:26" s="23" customFormat="1" hidden="1" outlineLevel="1" x14ac:dyDescent="0.25">
      <c r="A122" s="44"/>
      <c r="B122" s="10" t="str">
        <f>CONCATENATE("          ", "9152", " - ", "MISC. INCOME")</f>
        <v xml:space="preserve">          9152 - MISC. INCOME</v>
      </c>
      <c r="C122" s="10"/>
      <c r="D122" s="2">
        <f>--1436.07</f>
        <v>1436.07</v>
      </c>
      <c r="E122" s="2"/>
      <c r="F122" s="19">
        <f t="shared" si="101"/>
        <v>2.7837098879882772E-2</v>
      </c>
      <c r="G122" s="2"/>
      <c r="H122" s="2">
        <f>--5092.84</f>
        <v>5092.84</v>
      </c>
      <c r="I122" s="2"/>
      <c r="J122" s="19">
        <f t="shared" si="102"/>
        <v>0.13264659498021181</v>
      </c>
      <c r="K122" s="2"/>
      <c r="L122" s="2">
        <f t="shared" si="103"/>
        <v>-3656.7700000000004</v>
      </c>
      <c r="M122" s="2"/>
      <c r="N122" s="19">
        <f t="shared" si="104"/>
        <v>-0.71802177174228921</v>
      </c>
      <c r="O122" s="10"/>
      <c r="P122" s="2">
        <f>--5652.57</f>
        <v>5652.57</v>
      </c>
      <c r="Q122" s="2"/>
      <c r="R122" s="19">
        <f t="shared" si="105"/>
        <v>2.8749506407223075E-3</v>
      </c>
      <c r="S122" s="2"/>
      <c r="T122" s="2">
        <f>--9874.89</f>
        <v>9874.89</v>
      </c>
      <c r="U122" s="2"/>
      <c r="V122" s="19">
        <f t="shared" si="106"/>
        <v>2.9641798572588771E-3</v>
      </c>
      <c r="W122" s="2"/>
      <c r="X122" s="2">
        <f t="shared" si="107"/>
        <v>-4222.32</v>
      </c>
      <c r="Y122" s="2"/>
      <c r="Z122" s="19">
        <f t="shared" si="108"/>
        <v>-0.42758147179360984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8" t="s">
        <v>276</v>
      </c>
      <c r="C124" s="28"/>
      <c r="D124" s="20">
        <f>+D63-D65+D119</f>
        <v>-36551.840000000026</v>
      </c>
      <c r="E124" s="14"/>
      <c r="F124" s="21">
        <f>IF(D$12=0,0,D124/D$12)</f>
        <v>-0.70852896051143399</v>
      </c>
      <c r="G124" s="14"/>
      <c r="H124" s="20">
        <f>+H63-H65+H119</f>
        <v>-37281.640000000021</v>
      </c>
      <c r="I124" s="14"/>
      <c r="J124" s="21">
        <f>IF(H$12=0,0,H124/H$12)</f>
        <v>-0.97102650019990144</v>
      </c>
      <c r="K124" s="15"/>
      <c r="L124" s="20">
        <f>+D124-H124</f>
        <v>729.79999999999563</v>
      </c>
      <c r="M124" s="15"/>
      <c r="N124" s="21">
        <f>IF(H124=0,0,L124/H124)</f>
        <v>-1.9575319111498186E-2</v>
      </c>
      <c r="O124" s="29"/>
      <c r="P124" s="20">
        <f>+P63-P65+P119</f>
        <v>386146.60000000021</v>
      </c>
      <c r="Q124" s="14"/>
      <c r="R124" s="21">
        <f>IF(P$12=0,0,P124/P$12)</f>
        <v>0.1963978181752267</v>
      </c>
      <c r="S124" s="14"/>
      <c r="T124" s="20">
        <f>+T63-T65+T119</f>
        <v>655211.32999999868</v>
      </c>
      <c r="U124" s="14"/>
      <c r="V124" s="21">
        <f>IF(T$12=0,0,T124/T$12)</f>
        <v>0.19667704922624912</v>
      </c>
      <c r="W124" s="15"/>
      <c r="X124" s="20">
        <f>+P124-T124</f>
        <v>-269064.72999999847</v>
      </c>
      <c r="Y124" s="15"/>
      <c r="Z124" s="21">
        <f>IF(T124=0,0,X124/T124)</f>
        <v>-0.41065335362866667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19613.53</v>
      </c>
      <c r="E126" s="4"/>
      <c r="F126" s="13">
        <f>IF(D$12=0,0,D126/D$12)</f>
        <v>0.38019300869285422</v>
      </c>
      <c r="G126" s="4"/>
      <c r="H126" s="4">
        <v>20609.080000000002</v>
      </c>
      <c r="I126" s="4"/>
      <c r="J126" s="13">
        <f>IF(H$12=0,0,H126/H$12)</f>
        <v>0.53677796429394664</v>
      </c>
      <c r="K126" s="4"/>
      <c r="L126" s="4">
        <f>+D126-H126</f>
        <v>-995.55000000000291</v>
      </c>
      <c r="M126" s="4"/>
      <c r="N126" s="13">
        <f>IF(H126=0,0,L126/H126)</f>
        <v>-4.8306377577262201E-2</v>
      </c>
      <c r="O126" s="11"/>
      <c r="P126" s="4">
        <v>420146.56</v>
      </c>
      <c r="Q126" s="4"/>
      <c r="R126" s="13">
        <f>IF(P$12=0,0,P126/P$12)</f>
        <v>0.21369051986428711</v>
      </c>
      <c r="S126" s="4"/>
      <c r="T126" s="4">
        <v>394507.15</v>
      </c>
      <c r="U126" s="4"/>
      <c r="V126" s="13">
        <f>IF(T$12=0,0,T126/T$12)</f>
        <v>0.11842057456585406</v>
      </c>
      <c r="W126" s="4"/>
      <c r="X126" s="4">
        <f>+P126-T126</f>
        <v>25639.409999999974</v>
      </c>
      <c r="Y126" s="4"/>
      <c r="Z126" s="13">
        <f>IF(T126=0,0,X126/T126)</f>
        <v>6.4990989390179554E-2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125</v>
      </c>
      <c r="C128" s="28"/>
      <c r="D128" s="35">
        <f>+D124-D126</f>
        <v>-56165.370000000024</v>
      </c>
      <c r="E128" s="14"/>
      <c r="F128" s="36">
        <f>IF(D$12=0,0,D128/D$12)</f>
        <v>-1.0887219692042882</v>
      </c>
      <c r="G128" s="14"/>
      <c r="H128" s="35">
        <f>+H124-H126</f>
        <v>-57890.720000000023</v>
      </c>
      <c r="I128" s="14"/>
      <c r="J128" s="36">
        <f>IF(H$12=0,0,H128/H$12)</f>
        <v>-1.5078044644938482</v>
      </c>
      <c r="K128" s="15"/>
      <c r="L128" s="35">
        <f>D128-H128</f>
        <v>1725.3499999999985</v>
      </c>
      <c r="M128" s="15"/>
      <c r="N128" s="36">
        <f>IF(H128=0,0,L128/H128)</f>
        <v>-2.9803567825724016E-2</v>
      </c>
      <c r="O128" s="29"/>
      <c r="P128" s="35">
        <f>+P124-P126</f>
        <v>-33999.959999999788</v>
      </c>
      <c r="Q128" s="14"/>
      <c r="R128" s="36">
        <f>IF(P$12=0,0,P128/P$12)</f>
        <v>-1.7292701689060413E-2</v>
      </c>
      <c r="S128" s="14"/>
      <c r="T128" s="35">
        <f>+T124-T126</f>
        <v>260704.17999999865</v>
      </c>
      <c r="U128" s="14"/>
      <c r="V128" s="36">
        <f>IF(T$12=0,0,T128/T$12)</f>
        <v>7.8256474660395078E-2</v>
      </c>
      <c r="W128" s="15"/>
      <c r="X128" s="35">
        <f>P128-T128</f>
        <v>-294704.13999999844</v>
      </c>
      <c r="Y128" s="15"/>
      <c r="Z128" s="36">
        <f>IF(T128=0,0,X128/T128)</f>
        <v>-1.1304158606125916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8" t="s">
        <v>293</v>
      </c>
      <c r="C131" s="28"/>
      <c r="D131" s="30">
        <f>SUM(D128:D130)</f>
        <v>-56165.370000000024</v>
      </c>
      <c r="E131" s="14"/>
      <c r="F131" s="31">
        <f>IF(D$12=0,0,D131/D$12)</f>
        <v>-1.0887219692042882</v>
      </c>
      <c r="G131" s="14"/>
      <c r="H131" s="30">
        <f>SUM(H128:H130)</f>
        <v>-57890.720000000023</v>
      </c>
      <c r="I131" s="14"/>
      <c r="J131" s="31">
        <f>IF(H$12=0,0,H131/H$12)</f>
        <v>-1.5078044644938482</v>
      </c>
      <c r="K131" s="15"/>
      <c r="L131" s="30">
        <f>+D131-H131</f>
        <v>1725.3499999999985</v>
      </c>
      <c r="M131" s="15"/>
      <c r="N131" s="31">
        <f>IF(H131=0,0,L131/H131)</f>
        <v>-2.9803567825724016E-2</v>
      </c>
      <c r="O131" s="29"/>
      <c r="P131" s="30">
        <f>SUM(P128:P130)</f>
        <v>-33999.959999999788</v>
      </c>
      <c r="Q131" s="14"/>
      <c r="R131" s="31">
        <f>IF(P$12=0,0,P131/P$12)</f>
        <v>-1.7292701689060413E-2</v>
      </c>
      <c r="S131" s="14"/>
      <c r="T131" s="30">
        <f>SUM(T128:T130)</f>
        <v>260704.17999999865</v>
      </c>
      <c r="U131" s="14"/>
      <c r="V131" s="31">
        <f>IF(T$12=0,0,T131/T$12)</f>
        <v>7.8256474660395078E-2</v>
      </c>
      <c r="W131" s="15"/>
      <c r="X131" s="30">
        <f>+P131-T131</f>
        <v>-294704.13999999844</v>
      </c>
      <c r="Y131" s="15"/>
      <c r="Z131" s="31">
        <f>IF(T131=0,0,X131/T131)</f>
        <v>-1.1304158606125916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9">
        <v>44356.893348032405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52" t="s">
        <v>56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4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34704.179999999993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38" si="0">+D12-H12</f>
        <v>34704.179999999993</v>
      </c>
      <c r="M12" s="4"/>
      <c r="N12" s="13">
        <f t="shared" ref="N12:N38" si="1">IF(H12=0,0,L12/H12)</f>
        <v>0</v>
      </c>
      <c r="O12" s="11"/>
      <c r="P12" s="4">
        <f>SUM(OSRRefP13x_0)</f>
        <v>286009.01</v>
      </c>
      <c r="Q12" s="4"/>
      <c r="R12" s="13"/>
      <c r="S12" s="4"/>
      <c r="T12" s="4">
        <f>SUM(OSRRefT13x_0)</f>
        <v>429840.87</v>
      </c>
      <c r="U12" s="4"/>
      <c r="V12" s="13"/>
      <c r="W12" s="4"/>
      <c r="X12" s="4">
        <f t="shared" ref="X12:X38" si="2">+P12-T12</f>
        <v>-143831.85999999999</v>
      </c>
      <c r="Y12" s="4"/>
      <c r="Z12" s="13">
        <f t="shared" ref="Z12:Z38" si="3">IF(T12=0,0,X12/T12)</f>
        <v>-0.33461652913553797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-365.5</f>
        <v>-365.5</v>
      </c>
      <c r="E13" s="2"/>
      <c r="F13" s="19"/>
      <c r="G13" s="2"/>
      <c r="H13" s="2">
        <f t="shared" ref="H13:H38" si="4">0</f>
        <v>0</v>
      </c>
      <c r="I13" s="2"/>
      <c r="J13" s="19"/>
      <c r="K13" s="2"/>
      <c r="L13" s="2">
        <f t="shared" si="0"/>
        <v>-365.5</v>
      </c>
      <c r="M13" s="2"/>
      <c r="N13" s="19">
        <f t="shared" si="1"/>
        <v>0</v>
      </c>
      <c r="O13" s="10"/>
      <c r="P13" s="2">
        <f>-6357.99</f>
        <v>-6357.99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-6357.99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--36.37</f>
        <v>36.369999999999997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36.369999999999997</v>
      </c>
      <c r="M15" s="2"/>
      <c r="N15" s="19">
        <f t="shared" si="1"/>
        <v>0</v>
      </c>
      <c r="O15" s="10"/>
      <c r="P15" s="2">
        <f>--283.04</f>
        <v>283.04000000000002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53.53000000000003</v>
      </c>
      <c r="Y15" s="2"/>
      <c r="Z15" s="19">
        <f t="shared" si="3"/>
        <v>0.23323602457409276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--19.71</f>
        <v>19.71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19.71</v>
      </c>
      <c r="M16" s="2"/>
      <c r="N16" s="19">
        <f t="shared" si="1"/>
        <v>0</v>
      </c>
      <c r="O16" s="10"/>
      <c r="P16" s="2">
        <f>--433.63</f>
        <v>433.63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272.03999999999996</v>
      </c>
      <c r="Y16" s="2"/>
      <c r="Z16" s="19">
        <f t="shared" si="3"/>
        <v>1.6835200198032054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"4040", " - ", "TAXABLE SALES-LOGO CLOTHING")</f>
        <v xml:space="preserve">          4040 - TAXABLE SALES-LOGO CLOTHING</v>
      </c>
      <c r="C18" s="10"/>
      <c r="D18" s="2">
        <f>--30282.77</f>
        <v>30282.77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30282.77</v>
      </c>
      <c r="M18" s="2"/>
      <c r="N18" s="19">
        <f t="shared" si="1"/>
        <v>0</v>
      </c>
      <c r="O18" s="10"/>
      <c r="P18" s="2">
        <f>--242002.35</f>
        <v>242002.35</v>
      </c>
      <c r="Q18" s="2"/>
      <c r="R18" s="19"/>
      <c r="S18" s="2"/>
      <c r="T18" s="2">
        <f>--361873.67</f>
        <v>361873.67</v>
      </c>
      <c r="U18" s="2"/>
      <c r="V18" s="19"/>
      <c r="W18" s="2"/>
      <c r="X18" s="2">
        <f t="shared" si="2"/>
        <v>-119871.31999999998</v>
      </c>
      <c r="Y18" s="2"/>
      <c r="Z18" s="19">
        <f t="shared" si="3"/>
        <v>-0.33125184266653052</v>
      </c>
    </row>
    <row r="19" spans="1:26" s="23" customFormat="1" hidden="1" outlineLevel="1" x14ac:dyDescent="0.25">
      <c r="A19" s="44"/>
      <c r="B19" s="10" t="str">
        <f>CONCATENATE("          ", "4041", " - ", "TAXABLE SALES-LOGO GIFTS")</f>
        <v xml:space="preserve">          4041 - TAXABLE SALES-LOGO GIFTS</v>
      </c>
      <c r="C19" s="10"/>
      <c r="D19" s="2">
        <f>--4646.06</f>
        <v>4646.0600000000004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4646.0600000000004</v>
      </c>
      <c r="M19" s="2"/>
      <c r="N19" s="19">
        <f t="shared" si="1"/>
        <v>0</v>
      </c>
      <c r="O19" s="10"/>
      <c r="P19" s="2">
        <f>--36159.39</f>
        <v>36159.39</v>
      </c>
      <c r="Q19" s="2"/>
      <c r="R19" s="19"/>
      <c r="S19" s="2"/>
      <c r="T19" s="2">
        <f>--48550.34</f>
        <v>48550.34</v>
      </c>
      <c r="U19" s="2"/>
      <c r="V19" s="19"/>
      <c r="W19" s="2"/>
      <c r="X19" s="2">
        <f t="shared" si="2"/>
        <v>-12390.949999999997</v>
      </c>
      <c r="Y19" s="2"/>
      <c r="Z19" s="19">
        <f t="shared" si="3"/>
        <v>-0.25521860403037339</v>
      </c>
    </row>
    <row r="20" spans="1:26" s="23" customFormat="1" hidden="1" outlineLevel="1" x14ac:dyDescent="0.25">
      <c r="A20" s="44"/>
      <c r="B20" s="10" t="str">
        <f>CONCATENATE("          ", "4042", " - ", "TAXABLE SALES-EVERYDAY GIFTS")</f>
        <v xml:space="preserve">          4042 - TAXABLE SALES-EVERYDAY GIFTS</v>
      </c>
      <c r="C20" s="10"/>
      <c r="D20" s="2">
        <f>--678.43</f>
        <v>678.43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678.43</v>
      </c>
      <c r="M20" s="2"/>
      <c r="N20" s="19">
        <f t="shared" si="1"/>
        <v>0</v>
      </c>
      <c r="O20" s="10"/>
      <c r="P20" s="2">
        <f>--9869.68</f>
        <v>9869.68</v>
      </c>
      <c r="Q20" s="2"/>
      <c r="R20" s="19"/>
      <c r="S20" s="2"/>
      <c r="T20" s="2">
        <f>--30701.57</f>
        <v>30701.57</v>
      </c>
      <c r="U20" s="2"/>
      <c r="V20" s="19"/>
      <c r="W20" s="2"/>
      <c r="X20" s="2">
        <f t="shared" si="2"/>
        <v>-20831.89</v>
      </c>
      <c r="Y20" s="2"/>
      <c r="Z20" s="19">
        <f t="shared" si="3"/>
        <v>-0.67852849219111599</v>
      </c>
    </row>
    <row r="21" spans="1:26" s="23" customFormat="1" hidden="1" outlineLevel="1" x14ac:dyDescent="0.25">
      <c r="A21" s="44"/>
      <c r="B21" s="10" t="str">
        <f>CONCATENATE("          ", "4043", " - ", "TAXABLE SALES-CARDS")</f>
        <v xml:space="preserve">          4043 - TAXABLE SALES-CARDS</v>
      </c>
      <c r="C21" s="10"/>
      <c r="D21" s="2">
        <f>--102.88</f>
        <v>102.88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102.88</v>
      </c>
      <c r="M21" s="2"/>
      <c r="N21" s="19">
        <f t="shared" si="1"/>
        <v>0</v>
      </c>
      <c r="O21" s="10"/>
      <c r="P21" s="2">
        <f>--11050.13</f>
        <v>11050.13</v>
      </c>
      <c r="Q21" s="2"/>
      <c r="R21" s="19"/>
      <c r="S21" s="2"/>
      <c r="T21" s="2">
        <f>--1544.02</f>
        <v>1544.02</v>
      </c>
      <c r="U21" s="2"/>
      <c r="V21" s="19"/>
      <c r="W21" s="2"/>
      <c r="X21" s="2">
        <f t="shared" si="2"/>
        <v>9506.1099999999988</v>
      </c>
      <c r="Y21" s="2"/>
      <c r="Z21" s="19">
        <f t="shared" si="3"/>
        <v>6.1567272444657446</v>
      </c>
    </row>
    <row r="22" spans="1:26" s="23" customFormat="1" hidden="1" outlineLevel="1" x14ac:dyDescent="0.25">
      <c r="A22" s="44"/>
      <c r="B22" s="10" t="str">
        <f>CONCATENATE("          ", "4044", " - ", "TAXABLE SALES-ACCESSORIES")</f>
        <v xml:space="preserve">          4044 - TAXABLE SALES-ACCESSORIES</v>
      </c>
      <c r="C22" s="10"/>
      <c r="D22" s="2">
        <f>--173.77</f>
        <v>173.77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173.77</v>
      </c>
      <c r="M22" s="2"/>
      <c r="N22" s="19">
        <f t="shared" si="1"/>
        <v>0</v>
      </c>
      <c r="O22" s="10"/>
      <c r="P22" s="2">
        <f>--2975.02</f>
        <v>2975.02</v>
      </c>
      <c r="Q22" s="2"/>
      <c r="R22" s="19"/>
      <c r="S22" s="2"/>
      <c r="T22" s="2">
        <f>--4101.55</f>
        <v>4101.55</v>
      </c>
      <c r="U22" s="2"/>
      <c r="V22" s="19"/>
      <c r="W22" s="2"/>
      <c r="X22" s="2">
        <f t="shared" si="2"/>
        <v>-1126.5300000000002</v>
      </c>
      <c r="Y22" s="2"/>
      <c r="Z22" s="19">
        <f t="shared" si="3"/>
        <v>-0.27465957991491025</v>
      </c>
    </row>
    <row r="23" spans="1:26" s="23" customFormat="1" hidden="1" outlineLevel="1" x14ac:dyDescent="0.25">
      <c r="A23" s="44"/>
      <c r="B23" s="10" t="str">
        <f>CONCATENATE("          ", "4045", " - ", "TAXABLE SALES-SPECIAL ORDERS")</f>
        <v xml:space="preserve">          4045 - TAXABLE SALES-SPECIAL ORDERS</v>
      </c>
      <c r="C23" s="10"/>
      <c r="D23" s="2">
        <f t="shared" ref="D23:D25" si="5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3" customFormat="1" hidden="1" outlineLevel="1" x14ac:dyDescent="0.25">
      <c r="A24" s="44"/>
      <c r="B24" s="10" t="str">
        <f>CONCATENATE("          ", "4092", " - ", "TAXABLE SALES-GRAD MERCH")</f>
        <v xml:space="preserve">          4092 - TAXABLE SALES-GRAD MERCH</v>
      </c>
      <c r="C24" s="10"/>
      <c r="D24" s="2">
        <f t="shared" si="5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ref="P24:P25" si="6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"4095", " - ", "TAXABLE SALES-CUSTOMER SERVICE")</f>
        <v xml:space="preserve">          4095 - TAXABLE SALES-CUSTOMER SERVICE</v>
      </c>
      <c r="C25" s="10"/>
      <c r="D25" s="2">
        <f t="shared" si="5"/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6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"4131", " - ", "NON-TAXABLE SALES-FOOD")</f>
        <v xml:space="preserve">          4131 - NON-TAXABLE SALES-FOOD</v>
      </c>
      <c r="C26" s="10"/>
      <c r="D26" s="2">
        <f>--3</f>
        <v>3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3</v>
      </c>
      <c r="M26" s="2"/>
      <c r="N26" s="19">
        <f t="shared" si="1"/>
        <v>0</v>
      </c>
      <c r="O26" s="10"/>
      <c r="P26" s="2">
        <f>--63</f>
        <v>63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63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"4137", " - ", "NON-TAXABLE SALES-WATER")</f>
        <v xml:space="preserve">          4137 - NON-TAXABLE SALES-WATER</v>
      </c>
      <c r="C27" s="10"/>
      <c r="D27" s="2">
        <f>0</f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--9</f>
        <v>9</v>
      </c>
      <c r="Q27" s="2"/>
      <c r="R27" s="19"/>
      <c r="S27" s="2"/>
      <c r="T27" s="2">
        <f>--123</f>
        <v>123</v>
      </c>
      <c r="U27" s="2"/>
      <c r="V27" s="19"/>
      <c r="W27" s="2"/>
      <c r="X27" s="2">
        <f t="shared" si="2"/>
        <v>-114</v>
      </c>
      <c r="Y27" s="2"/>
      <c r="Z27" s="19">
        <f t="shared" si="3"/>
        <v>-0.92682926829268297</v>
      </c>
    </row>
    <row r="28" spans="1:26" s="23" customFormat="1" hidden="1" outlineLevel="1" x14ac:dyDescent="0.25">
      <c r="A28" s="44"/>
      <c r="B28" s="10" t="str">
        <f>CONCATENATE("          ", "4140", " - ", "NON-TAXABLE SALES-LOGO CLOTHIN")</f>
        <v xml:space="preserve">          4140 - NON-TAXABLE SALES-LOGO CLOTHIN</v>
      </c>
      <c r="C28" s="10"/>
      <c r="D28" s="2">
        <f>-106.16</f>
        <v>-106.16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-106.16</v>
      </c>
      <c r="M28" s="2"/>
      <c r="N28" s="19">
        <f t="shared" si="1"/>
        <v>0</v>
      </c>
      <c r="O28" s="10"/>
      <c r="P28" s="2">
        <f>--218.18</f>
        <v>218.18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218.18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"4142", " - ", "NON-TAXABLE SALES-EVERYDAY GIF")</f>
        <v xml:space="preserve">          4142 - NON-TAXABLE SALES-EVERYDAY GIF</v>
      </c>
      <c r="C29" s="10"/>
      <c r="D29" s="2">
        <f t="shared" ref="D29:D30" si="7">0</f>
        <v>0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--591.86</f>
        <v>591.86</v>
      </c>
      <c r="U29" s="2"/>
      <c r="V29" s="19"/>
      <c r="W29" s="2"/>
      <c r="X29" s="2">
        <f t="shared" si="2"/>
        <v>-591.86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"4145", " - ", "NON-TAXABLE SALES-SPECIAL ORDE")</f>
        <v xml:space="preserve">          4145 - NON-TAXABLE SALES-SPECIAL ORDE</v>
      </c>
      <c r="C30" s="10"/>
      <c r="D30" s="2">
        <f t="shared" si="7"/>
        <v>0</v>
      </c>
      <c r="E30" s="2"/>
      <c r="F30" s="19"/>
      <c r="G30" s="2"/>
      <c r="H30" s="2">
        <f t="shared" si="4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"4226", " - ", "SALES RETURN TAXABLE-WRITING I")</f>
        <v xml:space="preserve">          4226 - SALES RETURN TAXABLE-WRITING I</v>
      </c>
      <c r="C31" s="10"/>
      <c r="D31" s="2">
        <f>-0.79</f>
        <v>-0.79</v>
      </c>
      <c r="E31" s="2"/>
      <c r="F31" s="19"/>
      <c r="G31" s="2"/>
      <c r="H31" s="2">
        <f t="shared" si="4"/>
        <v>0</v>
      </c>
      <c r="I31" s="2"/>
      <c r="J31" s="19"/>
      <c r="K31" s="2"/>
      <c r="L31" s="2">
        <f t="shared" si="0"/>
        <v>-0.79</v>
      </c>
      <c r="M31" s="2"/>
      <c r="N31" s="19">
        <f t="shared" si="1"/>
        <v>0</v>
      </c>
      <c r="O31" s="10"/>
      <c r="P31" s="2">
        <f>-28.64</f>
        <v>-28.64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106.16000000000001</v>
      </c>
      <c r="Y31" s="2"/>
      <c r="Z31" s="19">
        <f t="shared" si="3"/>
        <v>-0.7875370919881306</v>
      </c>
    </row>
    <row r="32" spans="1:26" s="23" customFormat="1" hidden="1" outlineLevel="1" x14ac:dyDescent="0.25">
      <c r="A32" s="44"/>
      <c r="B32" s="10" t="str">
        <f>CONCATENATE("          ", "4227", " - ", "SALES RETURN TAXABLE-SCHOOL SU")</f>
        <v xml:space="preserve">          4227 - SALES RETURN TAXABLE-SCHOOL SU</v>
      </c>
      <c r="C32" s="10"/>
      <c r="D32" s="2">
        <f>0</f>
        <v>0</v>
      </c>
      <c r="E32" s="2"/>
      <c r="F32" s="19"/>
      <c r="G32" s="2"/>
      <c r="H32" s="2">
        <f t="shared" si="4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"4240", " - ", "SALES RETURN TAXABLE-LOGO CLOT")</f>
        <v xml:space="preserve">          4240 - SALES RETURN TAXABLE-LOGO CLOT</v>
      </c>
      <c r="C33" s="10"/>
      <c r="D33" s="2">
        <f>-698.15</f>
        <v>-698.15</v>
      </c>
      <c r="E33" s="2"/>
      <c r="F33" s="19"/>
      <c r="G33" s="2"/>
      <c r="H33" s="2">
        <f t="shared" si="4"/>
        <v>0</v>
      </c>
      <c r="I33" s="2"/>
      <c r="J33" s="19"/>
      <c r="K33" s="2"/>
      <c r="L33" s="2">
        <f t="shared" si="0"/>
        <v>-698.15</v>
      </c>
      <c r="M33" s="2"/>
      <c r="N33" s="19">
        <f t="shared" si="1"/>
        <v>0</v>
      </c>
      <c r="O33" s="10"/>
      <c r="P33" s="2">
        <f>-9894.38</f>
        <v>-9894.3799999999992</v>
      </c>
      <c r="Q33" s="2"/>
      <c r="R33" s="19"/>
      <c r="S33" s="2"/>
      <c r="T33" s="2">
        <f>-16122.19</f>
        <v>-16122.19</v>
      </c>
      <c r="U33" s="2"/>
      <c r="V33" s="19"/>
      <c r="W33" s="2"/>
      <c r="X33" s="2">
        <f t="shared" si="2"/>
        <v>6227.8100000000013</v>
      </c>
      <c r="Y33" s="2"/>
      <c r="Z33" s="19">
        <f t="shared" si="3"/>
        <v>-0.38628809113402096</v>
      </c>
    </row>
    <row r="34" spans="1:26" s="23" customFormat="1" hidden="1" outlineLevel="1" x14ac:dyDescent="0.25">
      <c r="A34" s="44"/>
      <c r="B34" s="10" t="str">
        <f>CONCATENATE("          ", "4241", " - ", "SALES RETURN TAXABLE-LOGO GIFT")</f>
        <v xml:space="preserve">          4241 - SALES RETURN TAXABLE-LOGO GIFT</v>
      </c>
      <c r="C34" s="10"/>
      <c r="D34" s="2">
        <f>-51.26</f>
        <v>-51.26</v>
      </c>
      <c r="E34" s="2"/>
      <c r="F34" s="19"/>
      <c r="G34" s="2"/>
      <c r="H34" s="2">
        <f t="shared" si="4"/>
        <v>0</v>
      </c>
      <c r="I34" s="2"/>
      <c r="J34" s="19"/>
      <c r="K34" s="2"/>
      <c r="L34" s="2">
        <f t="shared" si="0"/>
        <v>-51.26</v>
      </c>
      <c r="M34" s="2"/>
      <c r="N34" s="19">
        <f t="shared" si="1"/>
        <v>0</v>
      </c>
      <c r="O34" s="10"/>
      <c r="P34" s="2">
        <f>-699.91</f>
        <v>-699.91</v>
      </c>
      <c r="Q34" s="2"/>
      <c r="R34" s="19"/>
      <c r="S34" s="2"/>
      <c r="T34" s="2">
        <f>-1260.11</f>
        <v>-1260.1099999999999</v>
      </c>
      <c r="U34" s="2"/>
      <c r="V34" s="19"/>
      <c r="W34" s="2"/>
      <c r="X34" s="2">
        <f t="shared" si="2"/>
        <v>560.19999999999993</v>
      </c>
      <c r="Y34" s="2"/>
      <c r="Z34" s="19">
        <f t="shared" si="3"/>
        <v>-0.44456436342858957</v>
      </c>
    </row>
    <row r="35" spans="1:26" s="23" customFormat="1" hidden="1" outlineLevel="1" x14ac:dyDescent="0.25">
      <c r="A35" s="44"/>
      <c r="B35" s="10" t="str">
        <f>CONCATENATE("          ", "4242", " - ", "SALES RETURN TAXABLE-EVERYDAY")</f>
        <v xml:space="preserve">          4242 - SALES RETURN TAXABLE-EVERYDAY</v>
      </c>
      <c r="C35" s="10"/>
      <c r="D35" s="2">
        <f>0</f>
        <v>0</v>
      </c>
      <c r="E35" s="2"/>
      <c r="F35" s="19"/>
      <c r="G35" s="2"/>
      <c r="H35" s="2">
        <f t="shared" si="4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-326.06</f>
        <v>-326.06</v>
      </c>
      <c r="Q35" s="2"/>
      <c r="R35" s="19"/>
      <c r="S35" s="2"/>
      <c r="T35" s="2">
        <f>-850.31</f>
        <v>-850.31</v>
      </c>
      <c r="U35" s="2"/>
      <c r="V35" s="19"/>
      <c r="W35" s="2"/>
      <c r="X35" s="2">
        <f t="shared" si="2"/>
        <v>524.25</v>
      </c>
      <c r="Y35" s="2"/>
      <c r="Z35" s="19">
        <f t="shared" si="3"/>
        <v>-0.61653985017229018</v>
      </c>
    </row>
    <row r="36" spans="1:26" s="23" customFormat="1" hidden="1" outlineLevel="1" x14ac:dyDescent="0.25">
      <c r="A36" s="44"/>
      <c r="B36" s="10" t="str">
        <f>CONCATENATE("          ", "4244", " - ", "SALES RETURN TAXABLE-ACCESSORI")</f>
        <v xml:space="preserve">          4244 - SALES RETURN TAXABLE-ACCESSORI</v>
      </c>
      <c r="C36" s="10"/>
      <c r="D36" s="2">
        <f>-16.95</f>
        <v>-16.95</v>
      </c>
      <c r="E36" s="2"/>
      <c r="F36" s="19"/>
      <c r="G36" s="2"/>
      <c r="H36" s="2">
        <f t="shared" si="4"/>
        <v>0</v>
      </c>
      <c r="I36" s="2"/>
      <c r="J36" s="19"/>
      <c r="K36" s="2"/>
      <c r="L36" s="2">
        <f t="shared" si="0"/>
        <v>-16.95</v>
      </c>
      <c r="M36" s="2"/>
      <c r="N36" s="19">
        <f t="shared" si="1"/>
        <v>0</v>
      </c>
      <c r="O36" s="10"/>
      <c r="P36" s="2">
        <f>-59.83</f>
        <v>-59.83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70.970000000000013</v>
      </c>
      <c r="Y36" s="2"/>
      <c r="Z36" s="19">
        <f t="shared" si="3"/>
        <v>-0.54258409785932726</v>
      </c>
    </row>
    <row r="37" spans="1:26" s="23" customFormat="1" hidden="1" outlineLevel="1" x14ac:dyDescent="0.25">
      <c r="A37" s="44"/>
      <c r="B37" s="10" t="str">
        <f>CONCATENATE("          ", "4245", " - ", "SALES RETURN TAXABLE-SPECIAL O")</f>
        <v xml:space="preserve">          4245 - SALES RETURN TAXABLE-SPECIAL O</v>
      </c>
      <c r="C37" s="10"/>
      <c r="D37" s="2">
        <f t="shared" ref="D37:D38" si="8">0</f>
        <v>0</v>
      </c>
      <c r="E37" s="2"/>
      <c r="F37" s="19"/>
      <c r="G37" s="2"/>
      <c r="H37" s="2">
        <f t="shared" si="4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3" customFormat="1" hidden="1" outlineLevel="1" x14ac:dyDescent="0.25">
      <c r="A38" s="44"/>
      <c r="B38" s="10" t="str">
        <f>CONCATENATE("          ", "4295", " - ", "SALES RETURN TAXABLE-CUSTOMER")</f>
        <v xml:space="preserve">          4295 - SALES RETURN TAXABLE-CUSTOMER</v>
      </c>
      <c r="C38" s="10"/>
      <c r="D38" s="2">
        <f t="shared" si="8"/>
        <v>0</v>
      </c>
      <c r="E38" s="2"/>
      <c r="F38" s="19"/>
      <c r="G38" s="2"/>
      <c r="H38" s="2">
        <f t="shared" si="4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1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collapsed="1" x14ac:dyDescent="0.25">
      <c r="A40" s="11"/>
      <c r="B40" s="29" t="s">
        <v>256</v>
      </c>
      <c r="C40" s="11"/>
      <c r="D40" s="4">
        <f>SUM(OSRRefD16x_0)</f>
        <v>20443</v>
      </c>
      <c r="E40" s="4"/>
      <c r="F40" s="13">
        <f t="shared" ref="F40:F57" si="9">IF(D$12=0,0,D40/D$12)</f>
        <v>0.58906448733264993</v>
      </c>
      <c r="G40" s="4"/>
      <c r="H40" s="4">
        <f>SUM(OSRRefH16x_0)</f>
        <v>3790.1599999999958</v>
      </c>
      <c r="I40" s="4"/>
      <c r="J40" s="13">
        <f t="shared" ref="J40:J57" si="10">IF(H$12=0,0,H40/H$12)</f>
        <v>0</v>
      </c>
      <c r="K40" s="4"/>
      <c r="L40" s="4">
        <f t="shared" ref="L40:L57" si="11">+D40-H40</f>
        <v>16652.840000000004</v>
      </c>
      <c r="M40" s="4"/>
      <c r="N40" s="13">
        <f t="shared" ref="N40:N57" si="12">IF(H40=0,0,L40/H40)</f>
        <v>4.3937036958861952</v>
      </c>
      <c r="O40" s="11"/>
      <c r="P40" s="4">
        <f>SUM(OSRRefP16x_0)</f>
        <v>130973</v>
      </c>
      <c r="Q40" s="4"/>
      <c r="R40" s="13">
        <f t="shared" ref="R40:R57" si="13">IF(P$12=0,0,P40/P$12)</f>
        <v>0.45793312595292013</v>
      </c>
      <c r="S40" s="4"/>
      <c r="T40" s="4">
        <f>SUM(OSRRefT16x_0)</f>
        <v>187107.74999999997</v>
      </c>
      <c r="U40" s="4"/>
      <c r="V40" s="13">
        <f t="shared" ref="V40:V57" si="14">IF(T$12=0,0,T40/T$12)</f>
        <v>0.43529539199006362</v>
      </c>
      <c r="W40" s="4"/>
      <c r="X40" s="4">
        <f t="shared" ref="X40:X57" si="15">+P40-T40</f>
        <v>-56134.749999999971</v>
      </c>
      <c r="Y40" s="4"/>
      <c r="Z40" s="13">
        <f t="shared" ref="Z40:Z57" si="16">IF(T40=0,0,X40/T40)</f>
        <v>-0.30001296044658748</v>
      </c>
    </row>
    <row r="41" spans="1:26" s="23" customFormat="1" hidden="1" outlineLevel="1" x14ac:dyDescent="0.25">
      <c r="A41" s="44"/>
      <c r="B41" s="10" t="str">
        <f>CONCATENATE("          ", "5025", " - ", "PURCHASES @ COST-TEST FORMS")</f>
        <v xml:space="preserve">          5025 - PURCHASES @ COST-TEST FORMS</v>
      </c>
      <c r="C41" s="10"/>
      <c r="D41" s="2"/>
      <c r="E41" s="2"/>
      <c r="F41" s="19">
        <f t="shared" si="9"/>
        <v>0</v>
      </c>
      <c r="G41" s="2"/>
      <c r="H41" s="2"/>
      <c r="I41" s="2"/>
      <c r="J41" s="19">
        <f t="shared" si="10"/>
        <v>0</v>
      </c>
      <c r="K41" s="2"/>
      <c r="L41" s="2">
        <f t="shared" si="11"/>
        <v>0</v>
      </c>
      <c r="M41" s="2"/>
      <c r="N41" s="19">
        <f t="shared" si="12"/>
        <v>0</v>
      </c>
      <c r="O41" s="10"/>
      <c r="P41" s="2"/>
      <c r="Q41" s="2"/>
      <c r="R41" s="19">
        <f t="shared" si="13"/>
        <v>0</v>
      </c>
      <c r="S41" s="2"/>
      <c r="T41" s="2">
        <v>6.06</v>
      </c>
      <c r="U41" s="2"/>
      <c r="V41" s="19">
        <f t="shared" si="14"/>
        <v>1.4098240588429853E-5</v>
      </c>
      <c r="W41" s="2"/>
      <c r="X41" s="2">
        <f t="shared" si="15"/>
        <v>-6.06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"5026", " - ", "PURCHASES @ COST-WRITING INSTR")</f>
        <v xml:space="preserve">          5026 - PURCHASES @ COST-WRITING INSTR</v>
      </c>
      <c r="C42" s="10"/>
      <c r="D42" s="2">
        <v>-2.0499999999999998</v>
      </c>
      <c r="E42" s="2"/>
      <c r="F42" s="19">
        <f t="shared" si="9"/>
        <v>-5.9070694077773922E-5</v>
      </c>
      <c r="G42" s="2"/>
      <c r="H42" s="2">
        <v>-4.26</v>
      </c>
      <c r="I42" s="2"/>
      <c r="J42" s="19">
        <f t="shared" si="10"/>
        <v>0</v>
      </c>
      <c r="K42" s="2"/>
      <c r="L42" s="2">
        <f t="shared" si="11"/>
        <v>2.21</v>
      </c>
      <c r="M42" s="2"/>
      <c r="N42" s="19">
        <f t="shared" si="12"/>
        <v>-0.51877934272300474</v>
      </c>
      <c r="O42" s="10"/>
      <c r="P42" s="2">
        <v>-2.0499999999999998</v>
      </c>
      <c r="Q42" s="2"/>
      <c r="R42" s="19">
        <f t="shared" si="13"/>
        <v>-7.1676063631701665E-6</v>
      </c>
      <c r="S42" s="2"/>
      <c r="T42" s="2">
        <v>1193.81</v>
      </c>
      <c r="U42" s="2"/>
      <c r="V42" s="19">
        <f t="shared" si="14"/>
        <v>2.7773301314972677E-3</v>
      </c>
      <c r="W42" s="2"/>
      <c r="X42" s="2">
        <f t="shared" si="15"/>
        <v>-1195.8599999999999</v>
      </c>
      <c r="Y42" s="2"/>
      <c r="Z42" s="19">
        <f t="shared" si="16"/>
        <v>-1.0017171911778255</v>
      </c>
    </row>
    <row r="43" spans="1:26" s="23" customFormat="1" hidden="1" outlineLevel="1" x14ac:dyDescent="0.25">
      <c r="A43" s="44"/>
      <c r="B43" s="10" t="str">
        <f>CONCATENATE("          ", "5027", " - ", "PURCHASES @ COST-SCHOOL SUPPLI")</f>
        <v xml:space="preserve">          5027 - PURCHASES @ COST-SCHOOL SUPPLI</v>
      </c>
      <c r="C43" s="10"/>
      <c r="D43" s="2"/>
      <c r="E43" s="2"/>
      <c r="F43" s="19">
        <f t="shared" si="9"/>
        <v>0</v>
      </c>
      <c r="G43" s="2"/>
      <c r="H43" s="2">
        <v>-19.8</v>
      </c>
      <c r="I43" s="2"/>
      <c r="J43" s="19">
        <f t="shared" si="10"/>
        <v>0</v>
      </c>
      <c r="K43" s="2"/>
      <c r="L43" s="2">
        <f t="shared" si="11"/>
        <v>19.8</v>
      </c>
      <c r="M43" s="2"/>
      <c r="N43" s="19">
        <f t="shared" si="12"/>
        <v>-1</v>
      </c>
      <c r="O43" s="10"/>
      <c r="P43" s="2"/>
      <c r="Q43" s="2"/>
      <c r="R43" s="19">
        <f t="shared" si="13"/>
        <v>0</v>
      </c>
      <c r="S43" s="2"/>
      <c r="T43" s="2">
        <v>305.64999999999998</v>
      </c>
      <c r="U43" s="2"/>
      <c r="V43" s="19">
        <f t="shared" si="14"/>
        <v>7.1107710162600401E-4</v>
      </c>
      <c r="W43" s="2"/>
      <c r="X43" s="2">
        <f t="shared" si="15"/>
        <v>-305.64999999999998</v>
      </c>
      <c r="Y43" s="2"/>
      <c r="Z43" s="19">
        <f t="shared" si="16"/>
        <v>-1</v>
      </c>
    </row>
    <row r="44" spans="1:26" s="23" customFormat="1" hidden="1" outlineLevel="1" x14ac:dyDescent="0.25">
      <c r="A44" s="44"/>
      <c r="B44" s="10" t="str">
        <f>CONCATENATE("          ", "5037", " - ", "PURCHASES @ COST-WATER")</f>
        <v xml:space="preserve">          5037 - PURCHASES @ COST-WATER</v>
      </c>
      <c r="C44" s="10"/>
      <c r="D44" s="2"/>
      <c r="E44" s="2"/>
      <c r="F44" s="19">
        <f t="shared" si="9"/>
        <v>0</v>
      </c>
      <c r="G44" s="2"/>
      <c r="H44" s="2"/>
      <c r="I44" s="2"/>
      <c r="J44" s="19">
        <f t="shared" si="10"/>
        <v>0</v>
      </c>
      <c r="K44" s="2"/>
      <c r="L44" s="2">
        <f t="shared" si="11"/>
        <v>0</v>
      </c>
      <c r="M44" s="2"/>
      <c r="N44" s="19">
        <f t="shared" si="12"/>
        <v>0</v>
      </c>
      <c r="O44" s="10"/>
      <c r="P44" s="2"/>
      <c r="Q44" s="2"/>
      <c r="R44" s="19">
        <f t="shared" si="13"/>
        <v>0</v>
      </c>
      <c r="S44" s="2"/>
      <c r="T44" s="2">
        <v>29.76</v>
      </c>
      <c r="U44" s="2"/>
      <c r="V44" s="19">
        <f t="shared" si="14"/>
        <v>6.9234924077833738E-5</v>
      </c>
      <c r="W44" s="2"/>
      <c r="X44" s="2">
        <f t="shared" si="15"/>
        <v>-29.76</v>
      </c>
      <c r="Y44" s="2"/>
      <c r="Z44" s="19">
        <f t="shared" si="16"/>
        <v>-1</v>
      </c>
    </row>
    <row r="45" spans="1:26" s="23" customFormat="1" hidden="1" outlineLevel="1" x14ac:dyDescent="0.25">
      <c r="A45" s="44"/>
      <c r="B45" s="10" t="str">
        <f>CONCATENATE("          ", "5040", " - ", "PURCHASES @ COST-LOGO CLOTHING")</f>
        <v xml:space="preserve">          5040 - PURCHASES @ COST-LOGO CLOTHING</v>
      </c>
      <c r="C45" s="10"/>
      <c r="D45" s="2"/>
      <c r="E45" s="2"/>
      <c r="F45" s="19">
        <f t="shared" si="9"/>
        <v>0</v>
      </c>
      <c r="G45" s="2"/>
      <c r="H45" s="2">
        <v>-32329.99</v>
      </c>
      <c r="I45" s="2"/>
      <c r="J45" s="19">
        <f t="shared" si="10"/>
        <v>0</v>
      </c>
      <c r="K45" s="2"/>
      <c r="L45" s="2">
        <f t="shared" si="11"/>
        <v>32329.99</v>
      </c>
      <c r="M45" s="2"/>
      <c r="N45" s="19">
        <f t="shared" si="12"/>
        <v>-1</v>
      </c>
      <c r="O45" s="10"/>
      <c r="P45" s="2">
        <v>0</v>
      </c>
      <c r="Q45" s="2"/>
      <c r="R45" s="19">
        <f t="shared" si="13"/>
        <v>0</v>
      </c>
      <c r="S45" s="2"/>
      <c r="T45" s="2">
        <v>163658.82999999999</v>
      </c>
      <c r="U45" s="2"/>
      <c r="V45" s="19">
        <f t="shared" si="14"/>
        <v>0.38074283164371964</v>
      </c>
      <c r="W45" s="2"/>
      <c r="X45" s="2">
        <f t="shared" si="15"/>
        <v>-163658.82999999999</v>
      </c>
      <c r="Y45" s="2"/>
      <c r="Z45" s="19">
        <f t="shared" si="16"/>
        <v>-1</v>
      </c>
    </row>
    <row r="46" spans="1:26" s="23" customFormat="1" hidden="1" outlineLevel="1" x14ac:dyDescent="0.25">
      <c r="A46" s="44"/>
      <c r="B46" s="10" t="str">
        <f>CONCATENATE("          ", "5041", " - ", "PURCHASES @ COST-LOGO GIFTS")</f>
        <v xml:space="preserve">          5041 - PURCHASES @ COST-LOGO GIFTS</v>
      </c>
      <c r="C46" s="10"/>
      <c r="D46" s="2"/>
      <c r="E46" s="2"/>
      <c r="F46" s="19">
        <f t="shared" si="9"/>
        <v>0</v>
      </c>
      <c r="G46" s="2"/>
      <c r="H46" s="2">
        <v>-2213.7399999999998</v>
      </c>
      <c r="I46" s="2"/>
      <c r="J46" s="19">
        <f t="shared" si="10"/>
        <v>0</v>
      </c>
      <c r="K46" s="2"/>
      <c r="L46" s="2">
        <f t="shared" si="11"/>
        <v>2213.7399999999998</v>
      </c>
      <c r="M46" s="2"/>
      <c r="N46" s="19">
        <f t="shared" si="12"/>
        <v>-1</v>
      </c>
      <c r="O46" s="10"/>
      <c r="P46" s="2">
        <v>207.6</v>
      </c>
      <c r="Q46" s="2"/>
      <c r="R46" s="19">
        <f t="shared" si="13"/>
        <v>7.2585125902152516E-4</v>
      </c>
      <c r="S46" s="2"/>
      <c r="T46" s="2">
        <v>24767.18</v>
      </c>
      <c r="U46" s="2"/>
      <c r="V46" s="19">
        <f t="shared" si="14"/>
        <v>5.761941622721916E-2</v>
      </c>
      <c r="W46" s="2"/>
      <c r="X46" s="2">
        <f t="shared" si="15"/>
        <v>-24559.58</v>
      </c>
      <c r="Y46" s="2"/>
      <c r="Z46" s="19">
        <f t="shared" si="16"/>
        <v>-0.99161793954741728</v>
      </c>
    </row>
    <row r="47" spans="1:26" s="23" customFormat="1" hidden="1" outlineLevel="1" x14ac:dyDescent="0.25">
      <c r="A47" s="44"/>
      <c r="B47" s="10" t="str">
        <f>CONCATENATE("          ", "5042", " - ", "PURCHASES @ COST-EVERYDAY GIFT")</f>
        <v xml:space="preserve">          5042 - PURCHASES @ COST-EVERYDAY GIFT</v>
      </c>
      <c r="C47" s="10"/>
      <c r="D47" s="2"/>
      <c r="E47" s="2"/>
      <c r="F47" s="19">
        <f t="shared" si="9"/>
        <v>0</v>
      </c>
      <c r="G47" s="2"/>
      <c r="H47" s="2">
        <v>-164.93</v>
      </c>
      <c r="I47" s="2"/>
      <c r="J47" s="19">
        <f t="shared" si="10"/>
        <v>0</v>
      </c>
      <c r="K47" s="2"/>
      <c r="L47" s="2">
        <f t="shared" si="11"/>
        <v>164.93</v>
      </c>
      <c r="M47" s="2"/>
      <c r="N47" s="19">
        <f t="shared" si="12"/>
        <v>-1</v>
      </c>
      <c r="O47" s="10"/>
      <c r="P47" s="2">
        <v>7946.04</v>
      </c>
      <c r="Q47" s="2"/>
      <c r="R47" s="19">
        <f t="shared" si="13"/>
        <v>2.7782481398051062E-2</v>
      </c>
      <c r="S47" s="2"/>
      <c r="T47" s="2">
        <v>20352.7</v>
      </c>
      <c r="U47" s="2"/>
      <c r="V47" s="19">
        <f t="shared" si="14"/>
        <v>4.7349383040286519E-2</v>
      </c>
      <c r="W47" s="2"/>
      <c r="X47" s="2">
        <f t="shared" si="15"/>
        <v>-12406.66</v>
      </c>
      <c r="Y47" s="2"/>
      <c r="Z47" s="19">
        <f t="shared" si="16"/>
        <v>-0.60958300372923491</v>
      </c>
    </row>
    <row r="48" spans="1:26" s="23" customFormat="1" hidden="1" outlineLevel="1" x14ac:dyDescent="0.25">
      <c r="A48" s="44"/>
      <c r="B48" s="10" t="str">
        <f>CONCATENATE("          ", "5043", " - ", "PURCHASES @ COST-CARDS")</f>
        <v xml:space="preserve">          5043 - PURCHASES @ COST-CARDS</v>
      </c>
      <c r="C48" s="10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0"/>
      <c r="P48" s="2"/>
      <c r="Q48" s="2"/>
      <c r="R48" s="19">
        <f t="shared" si="13"/>
        <v>0</v>
      </c>
      <c r="S48" s="2"/>
      <c r="T48" s="2">
        <v>154.47</v>
      </c>
      <c r="U48" s="2"/>
      <c r="V48" s="19">
        <f t="shared" si="14"/>
        <v>3.5936554846448173E-4</v>
      </c>
      <c r="W48" s="2"/>
      <c r="X48" s="2">
        <f t="shared" si="15"/>
        <v>-154.47</v>
      </c>
      <c r="Y48" s="2"/>
      <c r="Z48" s="19">
        <f t="shared" si="16"/>
        <v>-1</v>
      </c>
    </row>
    <row r="49" spans="1:26" s="23" customFormat="1" hidden="1" outlineLevel="1" x14ac:dyDescent="0.25">
      <c r="A49" s="44"/>
      <c r="B49" s="10" t="str">
        <f>CONCATENATE("          ", "5044", " - ", "PURCHASES @ COST-ACCESSORIES")</f>
        <v xml:space="preserve">          5044 - PURCHASES @ COST-ACCESSORIES</v>
      </c>
      <c r="C49" s="10"/>
      <c r="D49" s="2"/>
      <c r="E49" s="2"/>
      <c r="F49" s="19">
        <f t="shared" si="9"/>
        <v>0</v>
      </c>
      <c r="G49" s="2"/>
      <c r="H49" s="2">
        <v>-91.8</v>
      </c>
      <c r="I49" s="2"/>
      <c r="J49" s="19">
        <f t="shared" si="10"/>
        <v>0</v>
      </c>
      <c r="K49" s="2"/>
      <c r="L49" s="2">
        <f t="shared" si="11"/>
        <v>91.8</v>
      </c>
      <c r="M49" s="2"/>
      <c r="N49" s="19">
        <f t="shared" si="12"/>
        <v>-1</v>
      </c>
      <c r="O49" s="10"/>
      <c r="P49" s="2"/>
      <c r="Q49" s="2"/>
      <c r="R49" s="19">
        <f t="shared" si="13"/>
        <v>0</v>
      </c>
      <c r="S49" s="2"/>
      <c r="T49" s="2">
        <v>-4472.8500000000004</v>
      </c>
      <c r="U49" s="2"/>
      <c r="V49" s="19">
        <f t="shared" si="14"/>
        <v>-1.0405827626395787E-2</v>
      </c>
      <c r="W49" s="2"/>
      <c r="X49" s="2">
        <f t="shared" si="15"/>
        <v>4472.8500000000004</v>
      </c>
      <c r="Y49" s="2"/>
      <c r="Z49" s="19">
        <f t="shared" si="16"/>
        <v>-1</v>
      </c>
    </row>
    <row r="50" spans="1:26" s="23" customFormat="1" hidden="1" outlineLevel="1" x14ac:dyDescent="0.25">
      <c r="A50" s="44"/>
      <c r="B50" s="10" t="str">
        <f>CONCATENATE("          ", "5045", " - ", "PURCHASES @ COST-SPECIAL ORDER")</f>
        <v xml:space="preserve">          5045 - PURCHASES @ COST-SPECIAL ORDER</v>
      </c>
      <c r="C50" s="10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0"/>
      <c r="P50" s="2"/>
      <c r="Q50" s="2"/>
      <c r="R50" s="19">
        <f t="shared" si="13"/>
        <v>0</v>
      </c>
      <c r="S50" s="2"/>
      <c r="T50" s="2">
        <v>-998.2</v>
      </c>
      <c r="U50" s="2"/>
      <c r="V50" s="19">
        <f t="shared" si="14"/>
        <v>-2.3222547451106734E-3</v>
      </c>
      <c r="W50" s="2"/>
      <c r="X50" s="2">
        <f t="shared" si="15"/>
        <v>998.2</v>
      </c>
      <c r="Y50" s="2"/>
      <c r="Z50" s="19">
        <f t="shared" si="16"/>
        <v>-1</v>
      </c>
    </row>
    <row r="51" spans="1:26" s="23" customFormat="1" hidden="1" outlineLevel="1" x14ac:dyDescent="0.25">
      <c r="A51" s="44"/>
      <c r="B51" s="10" t="str">
        <f>CONCATENATE("          ", "5083", " - ", "PURCHASES @ COST-COMPUTER EQUI")</f>
        <v xml:space="preserve">          5083 - PURCHASES @ COST-COMPUTER EQUI</v>
      </c>
      <c r="C51" s="10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0"/>
      <c r="P51" s="2"/>
      <c r="Q51" s="2"/>
      <c r="R51" s="19">
        <f t="shared" si="13"/>
        <v>0</v>
      </c>
      <c r="S51" s="2"/>
      <c r="T51" s="2">
        <v>90.35</v>
      </c>
      <c r="U51" s="2"/>
      <c r="V51" s="19">
        <f t="shared" si="14"/>
        <v>2.1019406553871901E-4</v>
      </c>
      <c r="W51" s="2"/>
      <c r="X51" s="2">
        <f t="shared" si="15"/>
        <v>-90.35</v>
      </c>
      <c r="Y51" s="2"/>
      <c r="Z51" s="19">
        <f t="shared" si="16"/>
        <v>-1</v>
      </c>
    </row>
    <row r="52" spans="1:26" s="23" customFormat="1" hidden="1" outlineLevel="1" x14ac:dyDescent="0.25">
      <c r="A52" s="44"/>
      <c r="B52" s="10" t="str">
        <f>CONCATENATE("          ", "5086", " - ", "PURCHASES @ COST-COMPUTER SUPP")</f>
        <v xml:space="preserve">          5086 - PURCHASES @ COST-COMPUTER SUPP</v>
      </c>
      <c r="C52" s="10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0"/>
      <c r="P52" s="2">
        <v>13.21</v>
      </c>
      <c r="Q52" s="2"/>
      <c r="R52" s="19">
        <f t="shared" si="13"/>
        <v>4.6187356125598985E-5</v>
      </c>
      <c r="S52" s="2"/>
      <c r="T52" s="2">
        <v>0</v>
      </c>
      <c r="U52" s="2"/>
      <c r="V52" s="19">
        <f t="shared" si="14"/>
        <v>0</v>
      </c>
      <c r="W52" s="2"/>
      <c r="X52" s="2">
        <f t="shared" si="15"/>
        <v>13.21</v>
      </c>
      <c r="Y52" s="2"/>
      <c r="Z52" s="19">
        <f t="shared" si="16"/>
        <v>0</v>
      </c>
    </row>
    <row r="53" spans="1:26" s="23" customFormat="1" hidden="1" outlineLevel="1" x14ac:dyDescent="0.25">
      <c r="A53" s="44"/>
      <c r="B53" s="10" t="str">
        <f>CONCATENATE("          ", "5092", " - ", "PURCHASES @ COST-GRAD MERCH")</f>
        <v xml:space="preserve">          5092 - PURCHASES @ COST-GRAD MERCH</v>
      </c>
      <c r="C53" s="10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0"/>
      <c r="P53" s="2"/>
      <c r="Q53" s="2"/>
      <c r="R53" s="19">
        <f t="shared" si="13"/>
        <v>0</v>
      </c>
      <c r="S53" s="2"/>
      <c r="T53" s="2">
        <v>-60.35</v>
      </c>
      <c r="U53" s="2"/>
      <c r="V53" s="19">
        <f t="shared" si="14"/>
        <v>-1.4040079529896728E-4</v>
      </c>
      <c r="W53" s="2"/>
      <c r="X53" s="2">
        <f t="shared" si="15"/>
        <v>60.35</v>
      </c>
      <c r="Y53" s="2"/>
      <c r="Z53" s="19">
        <f t="shared" si="16"/>
        <v>-1</v>
      </c>
    </row>
    <row r="54" spans="1:26" s="23" customFormat="1" hidden="1" outlineLevel="1" x14ac:dyDescent="0.25">
      <c r="A54" s="44"/>
      <c r="B54" s="10" t="str">
        <f>CONCATENATE("          ", "5095", " - ", "PURCHASES @ COST-CUSTOMER SERV")</f>
        <v xml:space="preserve">          5095 - PURCHASES @ COST-CUSTOMER SERV</v>
      </c>
      <c r="C54" s="10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0"/>
      <c r="P54" s="2"/>
      <c r="Q54" s="2"/>
      <c r="R54" s="19">
        <f t="shared" si="13"/>
        <v>0</v>
      </c>
      <c r="S54" s="2"/>
      <c r="T54" s="2">
        <v>-11.85</v>
      </c>
      <c r="U54" s="2"/>
      <c r="V54" s="19">
        <f t="shared" si="14"/>
        <v>-2.7568341744701939E-5</v>
      </c>
      <c r="W54" s="2"/>
      <c r="X54" s="2">
        <f t="shared" si="15"/>
        <v>11.85</v>
      </c>
      <c r="Y54" s="2"/>
      <c r="Z54" s="19">
        <f t="shared" si="16"/>
        <v>-1</v>
      </c>
    </row>
    <row r="55" spans="1:26" s="23" customFormat="1" hidden="1" outlineLevel="1" x14ac:dyDescent="0.25">
      <c r="A55" s="44"/>
      <c r="B55" s="10" t="str">
        <f>CONCATENATE("          ", "5200", " - ", "PURCHASES OFFSET")</f>
        <v xml:space="preserve">          5200 - PURCHASES OFFSET</v>
      </c>
      <c r="C55" s="10"/>
      <c r="D55" s="2">
        <v>2.0499999999999998</v>
      </c>
      <c r="E55" s="2"/>
      <c r="F55" s="19">
        <f t="shared" si="9"/>
        <v>5.9070694077773922E-5</v>
      </c>
      <c r="G55" s="2"/>
      <c r="H55" s="2">
        <v>34791</v>
      </c>
      <c r="I55" s="2"/>
      <c r="J55" s="19">
        <f t="shared" si="10"/>
        <v>0</v>
      </c>
      <c r="K55" s="2"/>
      <c r="L55" s="2">
        <f t="shared" si="11"/>
        <v>-34788.949999999997</v>
      </c>
      <c r="M55" s="2"/>
      <c r="N55" s="19">
        <f t="shared" si="12"/>
        <v>-0.99994107671524235</v>
      </c>
      <c r="O55" s="10"/>
      <c r="P55" s="2">
        <v>-8164.8</v>
      </c>
      <c r="Q55" s="2"/>
      <c r="R55" s="19">
        <f t="shared" si="13"/>
        <v>-2.8547352406835015E-2</v>
      </c>
      <c r="S55" s="2"/>
      <c r="T55" s="2">
        <v>-166945</v>
      </c>
      <c r="U55" s="2"/>
      <c r="V55" s="19">
        <f t="shared" si="14"/>
        <v>-0.38838791667251188</v>
      </c>
      <c r="W55" s="2"/>
      <c r="X55" s="2">
        <f t="shared" si="15"/>
        <v>158780.20000000001</v>
      </c>
      <c r="Y55" s="2"/>
      <c r="Z55" s="19">
        <f t="shared" si="16"/>
        <v>-0.95109287489891892</v>
      </c>
    </row>
    <row r="56" spans="1:26" s="23" customFormat="1" hidden="1" outlineLevel="1" x14ac:dyDescent="0.25">
      <c r="A56" s="44"/>
      <c r="B56" s="10" t="str">
        <f>CONCATENATE("          ", "5300", " - ", "COG$ OFFSET")</f>
        <v xml:space="preserve">          5300 - COG$ OFFSET</v>
      </c>
      <c r="C56" s="10"/>
      <c r="D56" s="2">
        <v>20443</v>
      </c>
      <c r="E56" s="2"/>
      <c r="F56" s="19">
        <f t="shared" si="9"/>
        <v>0.58906448733264993</v>
      </c>
      <c r="G56" s="2"/>
      <c r="H56" s="2">
        <v>3790</v>
      </c>
      <c r="I56" s="2"/>
      <c r="J56" s="19">
        <f t="shared" si="10"/>
        <v>0</v>
      </c>
      <c r="K56" s="2"/>
      <c r="L56" s="2">
        <f t="shared" si="11"/>
        <v>16653</v>
      </c>
      <c r="M56" s="2"/>
      <c r="N56" s="19">
        <f t="shared" si="12"/>
        <v>4.3939313984168864</v>
      </c>
      <c r="O56" s="10"/>
      <c r="P56" s="2">
        <v>130973</v>
      </c>
      <c r="Q56" s="2"/>
      <c r="R56" s="19">
        <f t="shared" si="13"/>
        <v>0.45793312595292013</v>
      </c>
      <c r="S56" s="2"/>
      <c r="T56" s="2">
        <v>148981</v>
      </c>
      <c r="U56" s="2"/>
      <c r="V56" s="19">
        <f t="shared" si="14"/>
        <v>0.34659570645294852</v>
      </c>
      <c r="W56" s="2"/>
      <c r="X56" s="2">
        <f t="shared" si="15"/>
        <v>-18008</v>
      </c>
      <c r="Y56" s="2"/>
      <c r="Z56" s="19">
        <f t="shared" si="16"/>
        <v>-0.12087447392620536</v>
      </c>
    </row>
    <row r="57" spans="1:26" s="23" customFormat="1" hidden="1" outlineLevel="1" x14ac:dyDescent="0.25">
      <c r="A57" s="44"/>
      <c r="B57" s="10" t="str">
        <f>CONCATENATE("          ", "5540", " - ", "FREIGHT-IN-LOGO CLOTHING")</f>
        <v xml:space="preserve">          5540 - FREIGHT-IN-LOGO CLOTHING</v>
      </c>
      <c r="C57" s="10"/>
      <c r="D57" s="2"/>
      <c r="E57" s="2"/>
      <c r="F57" s="19">
        <f t="shared" si="9"/>
        <v>0</v>
      </c>
      <c r="G57" s="2"/>
      <c r="H57" s="2">
        <v>33.68</v>
      </c>
      <c r="I57" s="2"/>
      <c r="J57" s="19">
        <f t="shared" si="10"/>
        <v>0</v>
      </c>
      <c r="K57" s="2"/>
      <c r="L57" s="2">
        <f t="shared" si="11"/>
        <v>-33.68</v>
      </c>
      <c r="M57" s="2"/>
      <c r="N57" s="19">
        <f t="shared" si="12"/>
        <v>-1</v>
      </c>
      <c r="O57" s="10"/>
      <c r="P57" s="2"/>
      <c r="Q57" s="2"/>
      <c r="R57" s="19">
        <f t="shared" si="13"/>
        <v>0</v>
      </c>
      <c r="S57" s="2"/>
      <c r="T57" s="2">
        <v>56.19</v>
      </c>
      <c r="U57" s="2"/>
      <c r="V57" s="19">
        <f t="shared" si="14"/>
        <v>1.3072279515905503E-4</v>
      </c>
      <c r="W57" s="2"/>
      <c r="X57" s="2">
        <f t="shared" si="15"/>
        <v>-56.19</v>
      </c>
      <c r="Y57" s="2"/>
      <c r="Z57" s="19">
        <f t="shared" si="16"/>
        <v>-1</v>
      </c>
    </row>
    <row r="58" spans="1:26" x14ac:dyDescent="0.25">
      <c r="A58" s="9"/>
      <c r="B58" s="11"/>
      <c r="C58" s="11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1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4" customFormat="1" x14ac:dyDescent="0.25">
      <c r="A59" s="11"/>
      <c r="B59" s="28" t="s">
        <v>107</v>
      </c>
      <c r="C59" s="28"/>
      <c r="D59" s="20">
        <f>D12-D40</f>
        <v>14261.179999999993</v>
      </c>
      <c r="E59" s="14"/>
      <c r="F59" s="21">
        <f>IF(D$12=0,0,D59/D$12)</f>
        <v>0.41093551266735007</v>
      </c>
      <c r="G59" s="14"/>
      <c r="H59" s="20">
        <f>H12-H40</f>
        <v>-3790.1599999999958</v>
      </c>
      <c r="I59" s="14"/>
      <c r="J59" s="21">
        <f>IF(H$12=0,0,H59/H$12)</f>
        <v>0</v>
      </c>
      <c r="K59" s="15"/>
      <c r="L59" s="20">
        <f>+D59-H59</f>
        <v>18051.339999999989</v>
      </c>
      <c r="M59" s="15"/>
      <c r="N59" s="21">
        <f>IF(H59=0,0,L59/H59)</f>
        <v>-4.7626854802963488</v>
      </c>
      <c r="O59" s="29"/>
      <c r="P59" s="20">
        <f>P12-P40</f>
        <v>155036.01</v>
      </c>
      <c r="Q59" s="14"/>
      <c r="R59" s="21">
        <f>IF(P$12=0,0,P59/P$12)</f>
        <v>0.54206687404707987</v>
      </c>
      <c r="S59" s="14"/>
      <c r="T59" s="20">
        <f>T12-T40</f>
        <v>242733.12000000002</v>
      </c>
      <c r="U59" s="14"/>
      <c r="V59" s="21">
        <f>IF(T$12=0,0,T59/T$12)</f>
        <v>0.56470460800993638</v>
      </c>
      <c r="W59" s="15"/>
      <c r="X59" s="20">
        <f>+P59-T59</f>
        <v>-87697.110000000015</v>
      </c>
      <c r="Y59" s="15"/>
      <c r="Z59" s="21">
        <f>IF(T59=0,0,X59/T59)</f>
        <v>-0.36129025161461281</v>
      </c>
    </row>
    <row r="60" spans="1:26" x14ac:dyDescent="0.25">
      <c r="A60" s="9"/>
      <c r="B60" s="11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4" customFormat="1" x14ac:dyDescent="0.25">
      <c r="A61" s="11"/>
      <c r="B61" s="29" t="s">
        <v>294</v>
      </c>
      <c r="C61" s="11"/>
      <c r="D61" s="22">
        <f>SUM(OSRRefD22x_0)</f>
        <v>19146.02</v>
      </c>
      <c r="E61" s="22"/>
      <c r="F61" s="32">
        <f t="shared" ref="F61:F70" si="17">IF(D$12=0,0,D61/D$12)</f>
        <v>0.55169204401314209</v>
      </c>
      <c r="G61" s="22"/>
      <c r="H61" s="22">
        <f>SUM(OSRRefH22x_0)</f>
        <v>15501.939999999999</v>
      </c>
      <c r="I61" s="22"/>
      <c r="J61" s="32">
        <f t="shared" ref="J61:J70" si="18">IF(H$12=0,0,H61/H$12)</f>
        <v>0</v>
      </c>
      <c r="K61" s="4"/>
      <c r="L61" s="22">
        <f t="shared" ref="L61:L70" si="19">+D61-H61</f>
        <v>3644.0800000000017</v>
      </c>
      <c r="M61" s="4"/>
      <c r="N61" s="32">
        <f t="shared" ref="N61:N70" si="20">IF(H61=0,0,L61/H61)</f>
        <v>0.23507251350476147</v>
      </c>
      <c r="O61" s="11"/>
      <c r="P61" s="22">
        <f>SUM(OSRRefP22x_0)</f>
        <v>236296.53000000003</v>
      </c>
      <c r="Q61" s="22"/>
      <c r="R61" s="32">
        <f t="shared" ref="R61:R70" si="21">IF(P$12=0,0,P61/P$12)</f>
        <v>0.82618561562099047</v>
      </c>
      <c r="S61" s="22"/>
      <c r="T61" s="22">
        <f>SUM(OSRRefT22x_0)</f>
        <v>316224.04000000015</v>
      </c>
      <c r="U61" s="22"/>
      <c r="V61" s="32">
        <f t="shared" ref="V61:V70" si="22">IF(T$12=0,0,T61/T$12)</f>
        <v>0.73567699600086922</v>
      </c>
      <c r="W61" s="4"/>
      <c r="X61" s="22">
        <f t="shared" ref="X61:X70" si="23">+P61-T61</f>
        <v>-79927.510000000126</v>
      </c>
      <c r="Y61" s="4"/>
      <c r="Z61" s="32">
        <f t="shared" ref="Z61:Z70" si="24">IF(T61=0,0,X61/T61)</f>
        <v>-0.25275595745345636</v>
      </c>
    </row>
    <row r="62" spans="1:26" s="26" customFormat="1" outlineLevel="1" collapsed="1" x14ac:dyDescent="0.25">
      <c r="A62" s="25"/>
      <c r="B62" s="12" t="str">
        <f>CONCATENATE("     ","*Benefits                                         ")</f>
        <v xml:space="preserve">     *Benefits                                         </v>
      </c>
      <c r="C62" s="12"/>
      <c r="D62" s="1">
        <f>SUM(OSRRefD22_0x_0)</f>
        <v>3745.6499999999996</v>
      </c>
      <c r="E62" s="1"/>
      <c r="F62" s="5">
        <f t="shared" si="17"/>
        <v>0.10793080257190922</v>
      </c>
      <c r="G62" s="1"/>
      <c r="H62" s="1">
        <f>SUM(OSRRefH22_0x_0)</f>
        <v>3441.9700000000003</v>
      </c>
      <c r="I62" s="1"/>
      <c r="J62" s="5">
        <f t="shared" si="18"/>
        <v>0</v>
      </c>
      <c r="K62" s="1"/>
      <c r="L62" s="1">
        <f t="shared" si="19"/>
        <v>303.67999999999938</v>
      </c>
      <c r="M62" s="1"/>
      <c r="N62" s="5">
        <f t="shared" si="20"/>
        <v>8.822854353756697E-2</v>
      </c>
      <c r="O62" s="12"/>
      <c r="P62" s="1">
        <f>SUM(OSRRefP22_0x_0)</f>
        <v>51235.38</v>
      </c>
      <c r="Q62" s="1"/>
      <c r="R62" s="5">
        <f t="shared" si="21"/>
        <v>0.17913904180850804</v>
      </c>
      <c r="S62" s="1"/>
      <c r="T62" s="1">
        <f>SUM(OSRRefT22_0x_0)</f>
        <v>26705.929999999997</v>
      </c>
      <c r="U62" s="1"/>
      <c r="V62" s="5">
        <f t="shared" si="22"/>
        <v>6.2129806316463108E-2</v>
      </c>
      <c r="W62" s="1"/>
      <c r="X62" s="1">
        <f t="shared" si="23"/>
        <v>24529.45</v>
      </c>
      <c r="Y62" s="1"/>
      <c r="Z62" s="5">
        <f t="shared" si="24"/>
        <v>0.91850199562419299</v>
      </c>
    </row>
    <row r="63" spans="1:26" s="23" customFormat="1" hidden="1" outlineLevel="2" x14ac:dyDescent="0.25">
      <c r="A63" s="27"/>
      <c r="B63" s="10" t="str">
        <f>CONCATENATE("          ", "6111", " - ", "F.I.C.A.")</f>
        <v xml:space="preserve">          6111 - F.I.C.A.</v>
      </c>
      <c r="C63" s="10"/>
      <c r="D63" s="6">
        <v>532.12</v>
      </c>
      <c r="E63" s="2"/>
      <c r="F63" s="7">
        <f t="shared" si="17"/>
        <v>1.533302328422686E-2</v>
      </c>
      <c r="G63" s="2"/>
      <c r="H63" s="6">
        <v>356.88</v>
      </c>
      <c r="I63" s="2"/>
      <c r="J63" s="7">
        <f t="shared" si="18"/>
        <v>0</v>
      </c>
      <c r="K63" s="2"/>
      <c r="L63" s="6">
        <f t="shared" si="19"/>
        <v>175.24</v>
      </c>
      <c r="M63" s="2"/>
      <c r="N63" s="7">
        <f t="shared" si="20"/>
        <v>0.49103340058282902</v>
      </c>
      <c r="O63" s="10"/>
      <c r="P63" s="6">
        <v>7394.26</v>
      </c>
      <c r="Q63" s="2"/>
      <c r="R63" s="7">
        <f t="shared" si="21"/>
        <v>2.5853241476553483E-2</v>
      </c>
      <c r="S63" s="2"/>
      <c r="T63" s="6">
        <v>4997.03</v>
      </c>
      <c r="U63" s="2"/>
      <c r="V63" s="7">
        <f t="shared" si="22"/>
        <v>1.1625302172871556E-2</v>
      </c>
      <c r="W63" s="2"/>
      <c r="X63" s="6">
        <f t="shared" si="23"/>
        <v>2397.2300000000005</v>
      </c>
      <c r="Y63" s="2"/>
      <c r="Z63" s="7">
        <f t="shared" si="24"/>
        <v>0.47973096019035316</v>
      </c>
    </row>
    <row r="64" spans="1:26" s="23" customFormat="1" hidden="1" outlineLevel="2" x14ac:dyDescent="0.25">
      <c r="A64" s="27"/>
      <c r="B64" s="10" t="str">
        <f>CONCATENATE("          ", "6112", " - ", "COMPENSATION INSURANCE")</f>
        <v xml:space="preserve">          6112 - COMPENSATION INSURANCE</v>
      </c>
      <c r="C64" s="10"/>
      <c r="D64" s="6">
        <v>168.91</v>
      </c>
      <c r="E64" s="2"/>
      <c r="F64" s="7">
        <f t="shared" si="17"/>
        <v>4.867137042281363E-3</v>
      </c>
      <c r="G64" s="2"/>
      <c r="H64" s="6">
        <v>196.21</v>
      </c>
      <c r="I64" s="2"/>
      <c r="J64" s="7">
        <f t="shared" si="18"/>
        <v>0</v>
      </c>
      <c r="K64" s="2"/>
      <c r="L64" s="6">
        <f t="shared" si="19"/>
        <v>-27.300000000000011</v>
      </c>
      <c r="M64" s="2"/>
      <c r="N64" s="7">
        <f t="shared" si="20"/>
        <v>-0.13913663931501968</v>
      </c>
      <c r="O64" s="10"/>
      <c r="P64" s="6">
        <v>2361.65</v>
      </c>
      <c r="Q64" s="2"/>
      <c r="R64" s="7">
        <f t="shared" si="21"/>
        <v>8.2572573500394267E-3</v>
      </c>
      <c r="S64" s="2"/>
      <c r="T64" s="6">
        <v>1979.7</v>
      </c>
      <c r="U64" s="2"/>
      <c r="V64" s="7">
        <f t="shared" si="22"/>
        <v>4.6056579031212184E-3</v>
      </c>
      <c r="W64" s="2"/>
      <c r="X64" s="6">
        <f t="shared" si="23"/>
        <v>381.95000000000005</v>
      </c>
      <c r="Y64" s="2"/>
      <c r="Z64" s="7">
        <f t="shared" si="24"/>
        <v>0.19293327271808861</v>
      </c>
    </row>
    <row r="65" spans="1:26" s="23" customFormat="1" hidden="1" outlineLevel="2" x14ac:dyDescent="0.25">
      <c r="A65" s="27"/>
      <c r="B65" s="10" t="str">
        <f>CONCATENATE("          ", "6113", " - ", "GROUP INSURANCE")</f>
        <v xml:space="preserve">          6113 - GROUP INSURANCE</v>
      </c>
      <c r="C65" s="10"/>
      <c r="D65" s="6">
        <v>1998.43</v>
      </c>
      <c r="E65" s="2"/>
      <c r="F65" s="7">
        <f t="shared" si="17"/>
        <v>5.7584705934558902E-2</v>
      </c>
      <c r="G65" s="2"/>
      <c r="H65" s="6">
        <v>2012.47</v>
      </c>
      <c r="I65" s="2"/>
      <c r="J65" s="7">
        <f t="shared" si="18"/>
        <v>0</v>
      </c>
      <c r="K65" s="2"/>
      <c r="L65" s="6">
        <f t="shared" si="19"/>
        <v>-14.039999999999964</v>
      </c>
      <c r="M65" s="2"/>
      <c r="N65" s="7">
        <f t="shared" si="20"/>
        <v>-6.9765015130660154E-3</v>
      </c>
      <c r="O65" s="10"/>
      <c r="P65" s="6">
        <v>26285.759999999998</v>
      </c>
      <c r="Q65" s="2"/>
      <c r="R65" s="7">
        <f t="shared" si="21"/>
        <v>9.1905356408177485E-2</v>
      </c>
      <c r="S65" s="2"/>
      <c r="T65" s="6">
        <v>12334.05</v>
      </c>
      <c r="U65" s="2"/>
      <c r="V65" s="7">
        <f t="shared" si="22"/>
        <v>2.8694456160020334E-2</v>
      </c>
      <c r="W65" s="2"/>
      <c r="X65" s="6">
        <f t="shared" si="23"/>
        <v>13951.71</v>
      </c>
      <c r="Y65" s="2"/>
      <c r="Z65" s="7">
        <f t="shared" si="24"/>
        <v>1.1311540005107812</v>
      </c>
    </row>
    <row r="66" spans="1:26" s="23" customFormat="1" hidden="1" outlineLevel="2" x14ac:dyDescent="0.25">
      <c r="A66" s="27"/>
      <c r="B66" s="10" t="str">
        <f>CONCATENATE("          ", "6114", " - ", "STATE UNEMPLOYMENT INSURANCE")</f>
        <v xml:space="preserve">          6114 - STATE UNEMPLOYMENT INSURANCE</v>
      </c>
      <c r="C66" s="10"/>
      <c r="D66" s="6">
        <v>23.74</v>
      </c>
      <c r="E66" s="2"/>
      <c r="F66" s="7">
        <f t="shared" si="17"/>
        <v>6.8406745239334296E-4</v>
      </c>
      <c r="G66" s="2"/>
      <c r="H66" s="6">
        <v>26.85</v>
      </c>
      <c r="I66" s="2"/>
      <c r="J66" s="7">
        <f t="shared" si="18"/>
        <v>0</v>
      </c>
      <c r="K66" s="2"/>
      <c r="L66" s="6">
        <f t="shared" si="19"/>
        <v>-3.110000000000003</v>
      </c>
      <c r="M66" s="2"/>
      <c r="N66" s="7">
        <f t="shared" si="20"/>
        <v>-0.11582867783985112</v>
      </c>
      <c r="O66" s="10"/>
      <c r="P66" s="6">
        <v>305.57</v>
      </c>
      <c r="Q66" s="2"/>
      <c r="R66" s="7">
        <f t="shared" si="21"/>
        <v>1.0683929153141015E-3</v>
      </c>
      <c r="S66" s="2"/>
      <c r="T66" s="6">
        <v>303.62</v>
      </c>
      <c r="U66" s="2"/>
      <c r="V66" s="7">
        <f t="shared" si="22"/>
        <v>7.0635442367311424E-4</v>
      </c>
      <c r="W66" s="2"/>
      <c r="X66" s="6">
        <f t="shared" si="23"/>
        <v>1.9499999999999886</v>
      </c>
      <c r="Y66" s="2"/>
      <c r="Z66" s="7">
        <f t="shared" si="24"/>
        <v>6.4225018114748324E-3</v>
      </c>
    </row>
    <row r="67" spans="1:26" s="23" customFormat="1" hidden="1" outlineLevel="2" x14ac:dyDescent="0.25">
      <c r="A67" s="27"/>
      <c r="B67" s="10" t="str">
        <f>CONCATENATE("          ", "6115", " - ", "P.E.R.S.")</f>
        <v xml:space="preserve">          6115 - P.E.R.S.</v>
      </c>
      <c r="C67" s="10"/>
      <c r="D67" s="6">
        <v>362.12</v>
      </c>
      <c r="E67" s="2"/>
      <c r="F67" s="7">
        <f t="shared" si="17"/>
        <v>1.0434477921679754E-2</v>
      </c>
      <c r="G67" s="2"/>
      <c r="H67" s="6">
        <v>327.22000000000003</v>
      </c>
      <c r="I67" s="2"/>
      <c r="J67" s="7">
        <f t="shared" si="18"/>
        <v>0</v>
      </c>
      <c r="K67" s="2"/>
      <c r="L67" s="6">
        <f t="shared" si="19"/>
        <v>34.899999999999977</v>
      </c>
      <c r="M67" s="2"/>
      <c r="N67" s="7">
        <f t="shared" si="20"/>
        <v>0.10665607236721464</v>
      </c>
      <c r="O67" s="10"/>
      <c r="P67" s="6">
        <v>4218.6899999999996</v>
      </c>
      <c r="Q67" s="2"/>
      <c r="R67" s="7">
        <f t="shared" si="21"/>
        <v>1.4750199652801145E-2</v>
      </c>
      <c r="S67" s="2"/>
      <c r="T67" s="6">
        <v>2361.35</v>
      </c>
      <c r="U67" s="2"/>
      <c r="V67" s="7">
        <f t="shared" si="22"/>
        <v>5.4935446226879259E-3</v>
      </c>
      <c r="W67" s="2"/>
      <c r="X67" s="6">
        <f t="shared" si="23"/>
        <v>1857.3399999999997</v>
      </c>
      <c r="Y67" s="2"/>
      <c r="Z67" s="7">
        <f t="shared" si="24"/>
        <v>0.78655853643043161</v>
      </c>
    </row>
    <row r="68" spans="1:26" s="23" customFormat="1" hidden="1" outlineLevel="2" x14ac:dyDescent="0.25">
      <c r="A68" s="27"/>
      <c r="B68" s="10" t="str">
        <f>CONCATENATE("          ", "6118", " - ", "VACATION")</f>
        <v xml:space="preserve">          6118 - VACATION</v>
      </c>
      <c r="C68" s="10"/>
      <c r="D68" s="6">
        <v>342.56</v>
      </c>
      <c r="E68" s="2"/>
      <c r="F68" s="7">
        <f t="shared" si="17"/>
        <v>9.870857055259627E-3</v>
      </c>
      <c r="G68" s="2"/>
      <c r="H68" s="6">
        <v>306.26</v>
      </c>
      <c r="I68" s="2"/>
      <c r="J68" s="7">
        <f t="shared" si="18"/>
        <v>0</v>
      </c>
      <c r="K68" s="2"/>
      <c r="L68" s="6">
        <f t="shared" si="19"/>
        <v>36.300000000000011</v>
      </c>
      <c r="M68" s="2"/>
      <c r="N68" s="7">
        <f t="shared" si="20"/>
        <v>0.11852674198393526</v>
      </c>
      <c r="O68" s="10"/>
      <c r="P68" s="6">
        <v>5126.0200000000004</v>
      </c>
      <c r="Q68" s="2"/>
      <c r="R68" s="7">
        <f t="shared" si="21"/>
        <v>1.7922582229140265E-2</v>
      </c>
      <c r="S68" s="2"/>
      <c r="T68" s="6">
        <v>2868.7</v>
      </c>
      <c r="U68" s="2"/>
      <c r="V68" s="7">
        <f t="shared" si="22"/>
        <v>6.6738651445591947E-3</v>
      </c>
      <c r="W68" s="2"/>
      <c r="X68" s="6">
        <f t="shared" si="23"/>
        <v>2257.3200000000006</v>
      </c>
      <c r="Y68" s="2"/>
      <c r="Z68" s="7">
        <f t="shared" si="24"/>
        <v>0.7868790741450834</v>
      </c>
    </row>
    <row r="69" spans="1:26" s="23" customFormat="1" hidden="1" outlineLevel="2" x14ac:dyDescent="0.25">
      <c r="A69" s="27"/>
      <c r="B69" s="10" t="str">
        <f>CONCATENATE("          ", "6119", " - ", "SICK LEAVE")</f>
        <v xml:space="preserve">          6119 - SICK LEAVE</v>
      </c>
      <c r="C69" s="10"/>
      <c r="D69" s="6">
        <v>216.08</v>
      </c>
      <c r="E69" s="2"/>
      <c r="F69" s="7">
        <f t="shared" si="17"/>
        <v>6.2263393055245813E-3</v>
      </c>
      <c r="G69" s="2"/>
      <c r="H69" s="6">
        <v>216.08</v>
      </c>
      <c r="I69" s="2"/>
      <c r="J69" s="7">
        <f t="shared" si="18"/>
        <v>0</v>
      </c>
      <c r="K69" s="2"/>
      <c r="L69" s="6">
        <f t="shared" si="19"/>
        <v>0</v>
      </c>
      <c r="M69" s="2"/>
      <c r="N69" s="7">
        <f t="shared" si="20"/>
        <v>0</v>
      </c>
      <c r="O69" s="10"/>
      <c r="P69" s="6">
        <v>3983.95</v>
      </c>
      <c r="Q69" s="2"/>
      <c r="R69" s="7">
        <f t="shared" si="21"/>
        <v>1.3929456278317945E-2</v>
      </c>
      <c r="S69" s="2"/>
      <c r="T69" s="6">
        <v>1371.98</v>
      </c>
      <c r="U69" s="2"/>
      <c r="V69" s="7">
        <f t="shared" si="22"/>
        <v>3.1918323634511536E-3</v>
      </c>
      <c r="W69" s="2"/>
      <c r="X69" s="6">
        <f t="shared" si="23"/>
        <v>2611.9699999999998</v>
      </c>
      <c r="Y69" s="2"/>
      <c r="Z69" s="7">
        <f t="shared" si="24"/>
        <v>1.9037959737022403</v>
      </c>
    </row>
    <row r="70" spans="1:26" s="23" customFormat="1" hidden="1" outlineLevel="2" x14ac:dyDescent="0.25">
      <c r="A70" s="27"/>
      <c r="B70" s="10" t="str">
        <f>CONCATENATE("          ", "6156", " - ", "EMPLOYEE MEALS")</f>
        <v xml:space="preserve">          6156 - EMPLOYEE MEALS</v>
      </c>
      <c r="C70" s="10"/>
      <c r="D70" s="6">
        <v>101.69</v>
      </c>
      <c r="E70" s="2"/>
      <c r="F70" s="7">
        <f t="shared" si="17"/>
        <v>2.9301945759847956E-3</v>
      </c>
      <c r="G70" s="2"/>
      <c r="H70" s="6"/>
      <c r="I70" s="2"/>
      <c r="J70" s="7">
        <f t="shared" si="18"/>
        <v>0</v>
      </c>
      <c r="K70" s="2"/>
      <c r="L70" s="6">
        <f t="shared" si="19"/>
        <v>101.69</v>
      </c>
      <c r="M70" s="2"/>
      <c r="N70" s="7">
        <f t="shared" si="20"/>
        <v>0</v>
      </c>
      <c r="O70" s="10"/>
      <c r="P70" s="6">
        <v>1559.48</v>
      </c>
      <c r="Q70" s="2"/>
      <c r="R70" s="7">
        <f t="shared" si="21"/>
        <v>5.4525554981642013E-3</v>
      </c>
      <c r="S70" s="2"/>
      <c r="T70" s="6">
        <v>489.5</v>
      </c>
      <c r="U70" s="2"/>
      <c r="V70" s="7">
        <f t="shared" si="22"/>
        <v>1.1387935260786161E-3</v>
      </c>
      <c r="W70" s="2"/>
      <c r="X70" s="6">
        <f t="shared" si="23"/>
        <v>1069.98</v>
      </c>
      <c r="Y70" s="2"/>
      <c r="Z70" s="7">
        <f t="shared" si="24"/>
        <v>2.1858631256384067</v>
      </c>
    </row>
    <row r="71" spans="1:26" s="26" customFormat="1" outlineLevel="1" collapsed="1" x14ac:dyDescent="0.25">
      <c r="A71" s="25"/>
      <c r="B71" s="12" t="str">
        <f>CONCATENATE("     ","*Payroll                                          ")</f>
        <v xml:space="preserve">     *Payroll                                          </v>
      </c>
      <c r="C71" s="12"/>
      <c r="D71" s="1">
        <f>SUM(OSRRefD22_1x_0)</f>
        <v>7647.45</v>
      </c>
      <c r="E71" s="1"/>
      <c r="F71" s="5">
        <f t="shared" ref="F71:F77" si="25">IF(D$12=0,0,D71/D$12)</f>
        <v>0.22036106313418158</v>
      </c>
      <c r="G71" s="1"/>
      <c r="H71" s="1">
        <f>SUM(OSRRefH22_1x_0)</f>
        <v>3747.7</v>
      </c>
      <c r="I71" s="1"/>
      <c r="J71" s="5">
        <f t="shared" ref="J71:J77" si="26">IF(H$12=0,0,H71/H$12)</f>
        <v>0</v>
      </c>
      <c r="K71" s="1"/>
      <c r="L71" s="1">
        <f t="shared" ref="L71:L77" si="27">+D71-H71</f>
        <v>3899.75</v>
      </c>
      <c r="M71" s="1"/>
      <c r="N71" s="5">
        <f t="shared" ref="N71:N77" si="28">IF(H71=0,0,L71/H71)</f>
        <v>1.0405715505510047</v>
      </c>
      <c r="O71" s="12"/>
      <c r="P71" s="1">
        <f>SUM(OSRRefP22_1x_0)</f>
        <v>90835.67</v>
      </c>
      <c r="Q71" s="1"/>
      <c r="R71" s="5">
        <f t="shared" ref="R71:R77" si="29">IF(P$12=0,0,P71/P$12)</f>
        <v>0.31759723233893922</v>
      </c>
      <c r="S71" s="1"/>
      <c r="T71" s="1">
        <f>SUM(OSRRefT22_1x_0)</f>
        <v>111390.59</v>
      </c>
      <c r="U71" s="1"/>
      <c r="V71" s="5">
        <f t="shared" ref="V71:V77" si="30">IF(T$12=0,0,T71/T$12)</f>
        <v>0.25914378500117963</v>
      </c>
      <c r="W71" s="1"/>
      <c r="X71" s="1">
        <f t="shared" ref="X71:X77" si="31">+P71-T71</f>
        <v>-20554.919999999998</v>
      </c>
      <c r="Y71" s="1"/>
      <c r="Z71" s="5">
        <f t="shared" ref="Z71:Z77" si="32">IF(T71=0,0,X71/T71)</f>
        <v>-0.18453012951991724</v>
      </c>
    </row>
    <row r="72" spans="1:26" s="23" customFormat="1" hidden="1" outlineLevel="2" x14ac:dyDescent="0.25">
      <c r="A72" s="27"/>
      <c r="B72" s="10" t="str">
        <f>CONCATENATE("          ", "6002", " - ", "STAFF SALARIES")</f>
        <v xml:space="preserve">          6002 - STAFF SALARIES</v>
      </c>
      <c r="C72" s="10"/>
      <c r="D72" s="6">
        <v>4684.62</v>
      </c>
      <c r="E72" s="2"/>
      <c r="F72" s="7">
        <f t="shared" si="25"/>
        <v>0.13498719750762014</v>
      </c>
      <c r="G72" s="2"/>
      <c r="H72" s="6">
        <v>3747.7</v>
      </c>
      <c r="I72" s="2"/>
      <c r="J72" s="7">
        <f t="shared" si="26"/>
        <v>0</v>
      </c>
      <c r="K72" s="2"/>
      <c r="L72" s="6">
        <f t="shared" si="27"/>
        <v>936.92000000000007</v>
      </c>
      <c r="M72" s="2"/>
      <c r="N72" s="7">
        <f t="shared" si="28"/>
        <v>0.24999866584838704</v>
      </c>
      <c r="O72" s="10"/>
      <c r="P72" s="6">
        <v>52692.74</v>
      </c>
      <c r="Q72" s="2"/>
      <c r="R72" s="7">
        <f t="shared" si="29"/>
        <v>0.18423454561798594</v>
      </c>
      <c r="S72" s="2"/>
      <c r="T72" s="6">
        <v>26496.68</v>
      </c>
      <c r="U72" s="2"/>
      <c r="V72" s="7">
        <f t="shared" si="30"/>
        <v>6.1642998256540849E-2</v>
      </c>
      <c r="W72" s="2"/>
      <c r="X72" s="6">
        <f t="shared" si="31"/>
        <v>26196.059999999998</v>
      </c>
      <c r="Y72" s="2"/>
      <c r="Z72" s="7">
        <f t="shared" si="32"/>
        <v>0.98865442764904876</v>
      </c>
    </row>
    <row r="73" spans="1:26" s="23" customFormat="1" hidden="1" outlineLevel="2" x14ac:dyDescent="0.25">
      <c r="A73" s="27"/>
      <c r="B73" s="10" t="str">
        <f>CONCATENATE("          ", "6004", " - ", "STAFF HOURLY")</f>
        <v xml:space="preserve">          6004 - STAFF HOURLY</v>
      </c>
      <c r="C73" s="10"/>
      <c r="D73" s="6"/>
      <c r="E73" s="2"/>
      <c r="F73" s="7">
        <f t="shared" si="25"/>
        <v>0</v>
      </c>
      <c r="G73" s="2"/>
      <c r="H73" s="6"/>
      <c r="I73" s="2"/>
      <c r="J73" s="7">
        <f t="shared" si="26"/>
        <v>0</v>
      </c>
      <c r="K73" s="2"/>
      <c r="L73" s="6">
        <f t="shared" si="27"/>
        <v>0</v>
      </c>
      <c r="M73" s="2"/>
      <c r="N73" s="7">
        <f t="shared" si="28"/>
        <v>0</v>
      </c>
      <c r="O73" s="10"/>
      <c r="P73" s="6">
        <v>3456.21</v>
      </c>
      <c r="Q73" s="2"/>
      <c r="R73" s="7">
        <f t="shared" si="29"/>
        <v>1.2084269652903592E-2</v>
      </c>
      <c r="S73" s="2"/>
      <c r="T73" s="6"/>
      <c r="U73" s="2"/>
      <c r="V73" s="7">
        <f t="shared" si="30"/>
        <v>0</v>
      </c>
      <c r="W73" s="2"/>
      <c r="X73" s="6">
        <f t="shared" si="31"/>
        <v>3456.21</v>
      </c>
      <c r="Y73" s="2"/>
      <c r="Z73" s="7">
        <f t="shared" si="32"/>
        <v>0</v>
      </c>
    </row>
    <row r="74" spans="1:26" s="23" customFormat="1" hidden="1" outlineLevel="2" x14ac:dyDescent="0.25">
      <c r="A74" s="27"/>
      <c r="B74" s="10" t="str">
        <f>CONCATENATE("          ", "6005", " - ", "TEMPORARY WAGES-HOURLY")</f>
        <v xml:space="preserve">          6005 - TEMPORARY WAGES-HOURLY</v>
      </c>
      <c r="C74" s="10"/>
      <c r="D74" s="6">
        <v>1457.48</v>
      </c>
      <c r="E74" s="2"/>
      <c r="F74" s="7">
        <f t="shared" si="25"/>
        <v>4.1997246441206802E-2</v>
      </c>
      <c r="G74" s="2"/>
      <c r="H74" s="6"/>
      <c r="I74" s="2"/>
      <c r="J74" s="7">
        <f t="shared" si="26"/>
        <v>0</v>
      </c>
      <c r="K74" s="2"/>
      <c r="L74" s="6">
        <f t="shared" si="27"/>
        <v>1457.48</v>
      </c>
      <c r="M74" s="2"/>
      <c r="N74" s="7">
        <f t="shared" si="28"/>
        <v>0</v>
      </c>
      <c r="O74" s="10"/>
      <c r="P74" s="6">
        <v>18040.59</v>
      </c>
      <c r="Q74" s="2"/>
      <c r="R74" s="7">
        <f t="shared" si="29"/>
        <v>6.3076998867972731E-2</v>
      </c>
      <c r="S74" s="2"/>
      <c r="T74" s="6">
        <v>12681.83</v>
      </c>
      <c r="U74" s="2"/>
      <c r="V74" s="7">
        <f t="shared" si="30"/>
        <v>2.9503546277486362E-2</v>
      </c>
      <c r="W74" s="2"/>
      <c r="X74" s="6">
        <f t="shared" si="31"/>
        <v>5358.76</v>
      </c>
      <c r="Y74" s="2"/>
      <c r="Z74" s="7">
        <f t="shared" si="32"/>
        <v>0.42255415819325759</v>
      </c>
    </row>
    <row r="75" spans="1:26" s="23" customFormat="1" hidden="1" outlineLevel="2" x14ac:dyDescent="0.25">
      <c r="A75" s="27"/>
      <c r="B75" s="10" t="str">
        <f>CONCATENATE("          ", "6006", " - ", "TEMPORARY PART TIME")</f>
        <v xml:space="preserve">          6006 - TEMPORARY PART TIME</v>
      </c>
      <c r="C75" s="10"/>
      <c r="D75" s="6"/>
      <c r="E75" s="2"/>
      <c r="F75" s="7">
        <f t="shared" si="25"/>
        <v>0</v>
      </c>
      <c r="G75" s="2"/>
      <c r="H75" s="6"/>
      <c r="I75" s="2"/>
      <c r="J75" s="7">
        <f t="shared" si="26"/>
        <v>0</v>
      </c>
      <c r="K75" s="2"/>
      <c r="L75" s="6">
        <f t="shared" si="27"/>
        <v>0</v>
      </c>
      <c r="M75" s="2"/>
      <c r="N75" s="7">
        <f t="shared" si="28"/>
        <v>0</v>
      </c>
      <c r="O75" s="10"/>
      <c r="P75" s="6">
        <v>710.96</v>
      </c>
      <c r="Q75" s="2"/>
      <c r="R75" s="7">
        <f t="shared" si="29"/>
        <v>2.4857958146143719E-3</v>
      </c>
      <c r="S75" s="2"/>
      <c r="T75" s="6">
        <v>316.16000000000003</v>
      </c>
      <c r="U75" s="2"/>
      <c r="V75" s="7">
        <f t="shared" si="30"/>
        <v>7.3552801063333053E-4</v>
      </c>
      <c r="W75" s="2"/>
      <c r="X75" s="6">
        <f t="shared" si="31"/>
        <v>394.8</v>
      </c>
      <c r="Y75" s="2"/>
      <c r="Z75" s="7">
        <f t="shared" si="32"/>
        <v>1.2487348178137652</v>
      </c>
    </row>
    <row r="76" spans="1:26" s="23" customFormat="1" hidden="1" outlineLevel="2" x14ac:dyDescent="0.25">
      <c r="A76" s="27"/>
      <c r="B76" s="10" t="str">
        <f>CONCATENATE("          ", "6007", " - ", "STUDENT HOURLY")</f>
        <v xml:space="preserve">          6007 - STUDENT HOURLY</v>
      </c>
      <c r="C76" s="10"/>
      <c r="D76" s="6">
        <v>1308.3699999999999</v>
      </c>
      <c r="E76" s="2"/>
      <c r="F76" s="7">
        <f t="shared" si="25"/>
        <v>3.7700645858798572E-2</v>
      </c>
      <c r="G76" s="2"/>
      <c r="H76" s="6"/>
      <c r="I76" s="2"/>
      <c r="J76" s="7">
        <f t="shared" si="26"/>
        <v>0</v>
      </c>
      <c r="K76" s="2"/>
      <c r="L76" s="6">
        <f t="shared" si="27"/>
        <v>1308.3699999999999</v>
      </c>
      <c r="M76" s="2"/>
      <c r="N76" s="7">
        <f t="shared" si="28"/>
        <v>0</v>
      </c>
      <c r="O76" s="10"/>
      <c r="P76" s="6">
        <v>13737.68</v>
      </c>
      <c r="Q76" s="2"/>
      <c r="R76" s="7">
        <f t="shared" si="29"/>
        <v>4.803233296741246E-2</v>
      </c>
      <c r="S76" s="2"/>
      <c r="T76" s="6">
        <v>71895.92</v>
      </c>
      <c r="U76" s="2"/>
      <c r="V76" s="7">
        <f t="shared" si="30"/>
        <v>0.16726171245651908</v>
      </c>
      <c r="W76" s="2"/>
      <c r="X76" s="6">
        <f t="shared" si="31"/>
        <v>-58158.239999999998</v>
      </c>
      <c r="Y76" s="2"/>
      <c r="Z76" s="7">
        <f t="shared" si="32"/>
        <v>-0.80892267600164236</v>
      </c>
    </row>
    <row r="77" spans="1:26" s="23" customFormat="1" hidden="1" outlineLevel="2" x14ac:dyDescent="0.25">
      <c r="A77" s="27"/>
      <c r="B77" s="10" t="str">
        <f>CONCATENATE("          ", "6008", " - ", "STUDENT HOURLY-FICA EXEMPT")</f>
        <v xml:space="preserve">          6008 - STUDENT HOURLY-FICA EXEMPT</v>
      </c>
      <c r="C77" s="10"/>
      <c r="D77" s="6">
        <v>196.98</v>
      </c>
      <c r="E77" s="2"/>
      <c r="F77" s="7">
        <f t="shared" si="25"/>
        <v>5.675973326556053E-3</v>
      </c>
      <c r="G77" s="2"/>
      <c r="H77" s="6"/>
      <c r="I77" s="2"/>
      <c r="J77" s="7">
        <f t="shared" si="26"/>
        <v>0</v>
      </c>
      <c r="K77" s="2"/>
      <c r="L77" s="6">
        <f t="shared" si="27"/>
        <v>196.98</v>
      </c>
      <c r="M77" s="2"/>
      <c r="N77" s="7">
        <f t="shared" si="28"/>
        <v>0</v>
      </c>
      <c r="O77" s="10"/>
      <c r="P77" s="6">
        <v>2197.4899999999998</v>
      </c>
      <c r="Q77" s="2"/>
      <c r="R77" s="7">
        <f t="shared" si="29"/>
        <v>7.6832894180501503E-3</v>
      </c>
      <c r="S77" s="2"/>
      <c r="T77" s="6"/>
      <c r="U77" s="2"/>
      <c r="V77" s="7">
        <f t="shared" si="30"/>
        <v>0</v>
      </c>
      <c r="W77" s="2"/>
      <c r="X77" s="6">
        <f t="shared" si="31"/>
        <v>2197.4899999999998</v>
      </c>
      <c r="Y77" s="2"/>
      <c r="Z77" s="7">
        <f t="shared" si="32"/>
        <v>0</v>
      </c>
    </row>
    <row r="78" spans="1:26" s="26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-546</v>
      </c>
      <c r="E78" s="1"/>
      <c r="F78" s="5">
        <f t="shared" ref="F78:F86" si="33">IF(D$12=0,0,D78/D$12)</f>
        <v>-1.5732975105592472E-2</v>
      </c>
      <c r="G78" s="1"/>
      <c r="H78" s="1">
        <f>SUM(OSRRefH22_2x_0)</f>
        <v>0</v>
      </c>
      <c r="I78" s="1"/>
      <c r="J78" s="5">
        <f t="shared" ref="J78:J86" si="34">IF(H$12=0,0,H78/H$12)</f>
        <v>0</v>
      </c>
      <c r="K78" s="1"/>
      <c r="L78" s="1">
        <f t="shared" ref="L78:L86" si="35">+D78-H78</f>
        <v>-546</v>
      </c>
      <c r="M78" s="1"/>
      <c r="N78" s="5">
        <f t="shared" ref="N78:N86" si="36">IF(H78=0,0,L78/H78)</f>
        <v>0</v>
      </c>
      <c r="O78" s="12"/>
      <c r="P78" s="1">
        <f>SUM(OSRRefP22_2x_0)</f>
        <v>1414.2</v>
      </c>
      <c r="Q78" s="1"/>
      <c r="R78" s="5">
        <f t="shared" ref="R78:R86" si="37">IF(P$12=0,0,P78/P$12)</f>
        <v>4.9445994725830491E-3</v>
      </c>
      <c r="S78" s="1"/>
      <c r="T78" s="1">
        <f>SUM(OSRRefT22_2x_0)</f>
        <v>3638.48</v>
      </c>
      <c r="U78" s="1"/>
      <c r="V78" s="5">
        <f t="shared" ref="V78:V86" si="38">IF(T$12=0,0,T78/T$12)</f>
        <v>8.4647139300643975E-3</v>
      </c>
      <c r="W78" s="1"/>
      <c r="X78" s="1">
        <f t="shared" ref="X78:X86" si="39">+P78-T78</f>
        <v>-2224.2799999999997</v>
      </c>
      <c r="Y78" s="1"/>
      <c r="Z78" s="5">
        <f t="shared" ref="Z78:Z86" si="40">IF(T78=0,0,X78/T78)</f>
        <v>-0.61132121105516579</v>
      </c>
    </row>
    <row r="79" spans="1:26" s="23" customFormat="1" hidden="1" outlineLevel="2" x14ac:dyDescent="0.25">
      <c r="A79" s="27"/>
      <c r="B79" s="10" t="str">
        <f>CONCATENATE("          ", "6362", " - ", "ADVERTISING EXPENSE")</f>
        <v xml:space="preserve">          6362 - ADVERTISING EXPENSE</v>
      </c>
      <c r="C79" s="10"/>
      <c r="D79" s="6">
        <v>-546</v>
      </c>
      <c r="E79" s="2"/>
      <c r="F79" s="7">
        <f t="shared" si="33"/>
        <v>-1.5732975105592472E-2</v>
      </c>
      <c r="G79" s="2"/>
      <c r="H79" s="6"/>
      <c r="I79" s="2"/>
      <c r="J79" s="7">
        <f t="shared" si="34"/>
        <v>0</v>
      </c>
      <c r="K79" s="2"/>
      <c r="L79" s="6">
        <f t="shared" si="35"/>
        <v>-546</v>
      </c>
      <c r="M79" s="2"/>
      <c r="N79" s="7">
        <f t="shared" si="36"/>
        <v>0</v>
      </c>
      <c r="O79" s="10"/>
      <c r="P79" s="6">
        <v>1414.2</v>
      </c>
      <c r="Q79" s="2"/>
      <c r="R79" s="7">
        <f t="shared" si="37"/>
        <v>4.9445994725830491E-3</v>
      </c>
      <c r="S79" s="2"/>
      <c r="T79" s="6">
        <v>3638.48</v>
      </c>
      <c r="U79" s="2"/>
      <c r="V79" s="7">
        <f t="shared" si="38"/>
        <v>8.4647139300643975E-3</v>
      </c>
      <c r="W79" s="2"/>
      <c r="X79" s="6">
        <f t="shared" si="39"/>
        <v>-2224.2799999999997</v>
      </c>
      <c r="Y79" s="2"/>
      <c r="Z79" s="7">
        <f t="shared" si="40"/>
        <v>-0.61132121105516579</v>
      </c>
    </row>
    <row r="80" spans="1:26" s="26" customFormat="1" outlineLevel="1" collapsed="1" x14ac:dyDescent="0.25">
      <c r="A80" s="25"/>
      <c r="B80" s="12" t="str">
        <f>CONCATENATE("     ","Bad Debts/Over/Short                              ")</f>
        <v xml:space="preserve">     Bad Debts/Over/Short                              </v>
      </c>
      <c r="C80" s="12"/>
      <c r="D80" s="1">
        <f>SUM(OSRRefD22_3x_0)</f>
        <v>-1.4</v>
      </c>
      <c r="E80" s="1"/>
      <c r="F80" s="5">
        <f t="shared" si="33"/>
        <v>-4.0340961809211461E-5</v>
      </c>
      <c r="G80" s="1"/>
      <c r="H80" s="1">
        <f>SUM(OSRRefH22_3x_0)</f>
        <v>0</v>
      </c>
      <c r="I80" s="1"/>
      <c r="J80" s="5">
        <f t="shared" si="34"/>
        <v>0</v>
      </c>
      <c r="K80" s="1"/>
      <c r="L80" s="1">
        <f t="shared" si="35"/>
        <v>-1.4</v>
      </c>
      <c r="M80" s="1"/>
      <c r="N80" s="5">
        <f t="shared" si="36"/>
        <v>0</v>
      </c>
      <c r="O80" s="12"/>
      <c r="P80" s="1">
        <f>SUM(OSRRefP22_3x_0)</f>
        <v>-24.5</v>
      </c>
      <c r="Q80" s="1"/>
      <c r="R80" s="5">
        <f t="shared" si="37"/>
        <v>-8.5661637023253217E-5</v>
      </c>
      <c r="S80" s="1"/>
      <c r="T80" s="1">
        <f>SUM(OSRRefT22_3x_0)</f>
        <v>44.45</v>
      </c>
      <c r="U80" s="1"/>
      <c r="V80" s="5">
        <f t="shared" si="38"/>
        <v>1.0341036207189884E-4</v>
      </c>
      <c r="W80" s="1"/>
      <c r="X80" s="1">
        <f t="shared" si="39"/>
        <v>-68.95</v>
      </c>
      <c r="Y80" s="1"/>
      <c r="Z80" s="5">
        <f t="shared" si="40"/>
        <v>-1.5511811023622046</v>
      </c>
    </row>
    <row r="81" spans="1:26" s="23" customFormat="1" hidden="1" outlineLevel="2" x14ac:dyDescent="0.25">
      <c r="A81" s="27"/>
      <c r="B81" s="10" t="str">
        <f>CONCATENATE("          ", "6272", " - ", "CASH (OVER/SHORT)")</f>
        <v xml:space="preserve">          6272 - CASH (OVER/SHORT)</v>
      </c>
      <c r="C81" s="10"/>
      <c r="D81" s="6">
        <v>-1.4</v>
      </c>
      <c r="E81" s="2"/>
      <c r="F81" s="7">
        <f t="shared" si="33"/>
        <v>-4.0340961809211461E-5</v>
      </c>
      <c r="G81" s="2"/>
      <c r="H81" s="6"/>
      <c r="I81" s="2"/>
      <c r="J81" s="7">
        <f t="shared" si="34"/>
        <v>0</v>
      </c>
      <c r="K81" s="2"/>
      <c r="L81" s="6">
        <f t="shared" si="35"/>
        <v>-1.4</v>
      </c>
      <c r="M81" s="2"/>
      <c r="N81" s="7">
        <f t="shared" si="36"/>
        <v>0</v>
      </c>
      <c r="O81" s="10"/>
      <c r="P81" s="6">
        <v>-24.5</v>
      </c>
      <c r="Q81" s="2"/>
      <c r="R81" s="7">
        <f t="shared" si="37"/>
        <v>-8.5661637023253217E-5</v>
      </c>
      <c r="S81" s="2"/>
      <c r="T81" s="6">
        <v>44.45</v>
      </c>
      <c r="U81" s="2"/>
      <c r="V81" s="7">
        <f t="shared" si="38"/>
        <v>1.0341036207189884E-4</v>
      </c>
      <c r="W81" s="2"/>
      <c r="X81" s="6">
        <f t="shared" si="39"/>
        <v>-68.95</v>
      </c>
      <c r="Y81" s="2"/>
      <c r="Z81" s="7">
        <f t="shared" si="40"/>
        <v>-1.5511811023622046</v>
      </c>
    </row>
    <row r="82" spans="1:26" s="26" customFormat="1" outlineLevel="1" collapsed="1" x14ac:dyDescent="0.25">
      <c r="A82" s="25"/>
      <c r="B82" s="12" t="str">
        <f>CONCATENATE("     ","Bank/card Fees                                    ")</f>
        <v xml:space="preserve">     Bank/card Fees                                    </v>
      </c>
      <c r="C82" s="12"/>
      <c r="D82" s="1">
        <f>SUM(OSRRefD22_4x_0)</f>
        <v>646.5</v>
      </c>
      <c r="E82" s="1"/>
      <c r="F82" s="5">
        <f t="shared" si="33"/>
        <v>1.8628879864039438E-2</v>
      </c>
      <c r="G82" s="1"/>
      <c r="H82" s="1">
        <f>SUM(OSRRefH22_4x_0)</f>
        <v>19</v>
      </c>
      <c r="I82" s="1"/>
      <c r="J82" s="5">
        <f t="shared" si="34"/>
        <v>0</v>
      </c>
      <c r="K82" s="1"/>
      <c r="L82" s="1">
        <f t="shared" si="35"/>
        <v>627.5</v>
      </c>
      <c r="M82" s="1"/>
      <c r="N82" s="5">
        <f t="shared" si="36"/>
        <v>33.026315789473685</v>
      </c>
      <c r="O82" s="12"/>
      <c r="P82" s="1">
        <f>SUM(OSRRefP22_4x_0)</f>
        <v>4478.8500000000004</v>
      </c>
      <c r="Q82" s="1"/>
      <c r="R82" s="5">
        <f t="shared" si="37"/>
        <v>1.5659821346187663E-2</v>
      </c>
      <c r="S82" s="1"/>
      <c r="T82" s="1">
        <f>SUM(OSRRefT22_4x_0)</f>
        <v>6179.92</v>
      </c>
      <c r="U82" s="1"/>
      <c r="V82" s="5">
        <f t="shared" si="38"/>
        <v>1.4377227554001554E-2</v>
      </c>
      <c r="W82" s="1"/>
      <c r="X82" s="1">
        <f t="shared" si="39"/>
        <v>-1701.0699999999997</v>
      </c>
      <c r="Y82" s="1"/>
      <c r="Z82" s="5">
        <f t="shared" si="40"/>
        <v>-0.27525760851273151</v>
      </c>
    </row>
    <row r="83" spans="1:26" s="23" customFormat="1" hidden="1" outlineLevel="2" x14ac:dyDescent="0.25">
      <c r="A83" s="27"/>
      <c r="B83" s="10" t="str">
        <f>CONCATENATE("          ", "6381", " - ", "BANK/CREDIT CARD FEES")</f>
        <v xml:space="preserve">          6381 - BANK/CREDIT CARD FEES</v>
      </c>
      <c r="C83" s="10"/>
      <c r="D83" s="6">
        <v>646.5</v>
      </c>
      <c r="E83" s="2"/>
      <c r="F83" s="7">
        <f t="shared" si="33"/>
        <v>1.8628879864039438E-2</v>
      </c>
      <c r="G83" s="2"/>
      <c r="H83" s="6">
        <v>19</v>
      </c>
      <c r="I83" s="2"/>
      <c r="J83" s="7">
        <f t="shared" si="34"/>
        <v>0</v>
      </c>
      <c r="K83" s="2"/>
      <c r="L83" s="6">
        <f t="shared" si="35"/>
        <v>627.5</v>
      </c>
      <c r="M83" s="2"/>
      <c r="N83" s="7">
        <f t="shared" si="36"/>
        <v>33.026315789473685</v>
      </c>
      <c r="O83" s="10"/>
      <c r="P83" s="6">
        <v>4478.8500000000004</v>
      </c>
      <c r="Q83" s="2"/>
      <c r="R83" s="7">
        <f t="shared" si="37"/>
        <v>1.5659821346187663E-2</v>
      </c>
      <c r="S83" s="2"/>
      <c r="T83" s="6">
        <v>6179.92</v>
      </c>
      <c r="U83" s="2"/>
      <c r="V83" s="7">
        <f t="shared" si="38"/>
        <v>1.4377227554001554E-2</v>
      </c>
      <c r="W83" s="2"/>
      <c r="X83" s="6">
        <f t="shared" si="39"/>
        <v>-1701.0699999999997</v>
      </c>
      <c r="Y83" s="2"/>
      <c r="Z83" s="7">
        <f t="shared" si="40"/>
        <v>-0.27525760851273151</v>
      </c>
    </row>
    <row r="84" spans="1:26" s="26" customFormat="1" outlineLevel="1" collapsed="1" x14ac:dyDescent="0.25">
      <c r="A84" s="25"/>
      <c r="B84" s="12" t="str">
        <f>CONCATENATE("     ","Discounts and Markdowns                           ")</f>
        <v xml:space="preserve">     Discounts and Markdowns                           </v>
      </c>
      <c r="C84" s="12"/>
      <c r="D84" s="1">
        <f>SUM(OSRRefD22_5x_0)</f>
        <v>0</v>
      </c>
      <c r="E84" s="1"/>
      <c r="F84" s="5">
        <f t="shared" si="33"/>
        <v>0</v>
      </c>
      <c r="G84" s="1"/>
      <c r="H84" s="1">
        <f>SUM(OSRRefH22_5x_0)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2"/>
      <c r="P84" s="1">
        <f>SUM(OSRRefP22_5x_0)</f>
        <v>0</v>
      </c>
      <c r="Q84" s="1"/>
      <c r="R84" s="5">
        <f t="shared" si="37"/>
        <v>0</v>
      </c>
      <c r="S84" s="1"/>
      <c r="T84" s="1">
        <f>SUM(OSRRefT22_5x_0)</f>
        <v>68571.64</v>
      </c>
      <c r="U84" s="1"/>
      <c r="V84" s="5">
        <f t="shared" si="38"/>
        <v>0.15952796671009903</v>
      </c>
      <c r="W84" s="1"/>
      <c r="X84" s="1">
        <f t="shared" si="39"/>
        <v>-68571.64</v>
      </c>
      <c r="Y84" s="1"/>
      <c r="Z84" s="5">
        <f t="shared" si="40"/>
        <v>-1</v>
      </c>
    </row>
    <row r="85" spans="1:26" s="23" customFormat="1" hidden="1" outlineLevel="2" x14ac:dyDescent="0.25">
      <c r="A85" s="27"/>
      <c r="B85" s="10" t="str">
        <f>CONCATENATE("          ", "6382", " - ", "DISCOUNTS/MARK DOWNS")</f>
        <v xml:space="preserve">          6382 - DISCOUNTS/MARK DOWNS</v>
      </c>
      <c r="C85" s="10"/>
      <c r="D85" s="6">
        <v>0</v>
      </c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0"/>
      <c r="P85" s="6">
        <v>0</v>
      </c>
      <c r="Q85" s="2"/>
      <c r="R85" s="7">
        <f t="shared" si="37"/>
        <v>0</v>
      </c>
      <c r="S85" s="2"/>
      <c r="T85" s="6">
        <v>68571.64</v>
      </c>
      <c r="U85" s="2"/>
      <c r="V85" s="7">
        <f t="shared" si="38"/>
        <v>0.15952796671009903</v>
      </c>
      <c r="W85" s="2"/>
      <c r="X85" s="6">
        <f t="shared" si="39"/>
        <v>-68571.64</v>
      </c>
      <c r="Y85" s="2"/>
      <c r="Z85" s="7">
        <f t="shared" si="40"/>
        <v>-1</v>
      </c>
    </row>
    <row r="86" spans="1:26" s="23" customFormat="1" hidden="1" outlineLevel="2" x14ac:dyDescent="0.25">
      <c r="A86" s="27"/>
      <c r="B86" s="10" t="str">
        <f>CONCATENATE("          ", "9175", " - ", "EARNED DISCOUNTS")</f>
        <v xml:space="preserve">          9175 - EARNED DISCOUNTS</v>
      </c>
      <c r="C86" s="10"/>
      <c r="D86" s="6"/>
      <c r="E86" s="2"/>
      <c r="F86" s="7">
        <f t="shared" si="33"/>
        <v>0</v>
      </c>
      <c r="G86" s="2"/>
      <c r="H86" s="6"/>
      <c r="I86" s="2"/>
      <c r="J86" s="7">
        <f t="shared" si="34"/>
        <v>0</v>
      </c>
      <c r="K86" s="2"/>
      <c r="L86" s="6">
        <f t="shared" si="35"/>
        <v>0</v>
      </c>
      <c r="M86" s="2"/>
      <c r="N86" s="7">
        <f t="shared" si="36"/>
        <v>0</v>
      </c>
      <c r="O86" s="10"/>
      <c r="P86" s="6"/>
      <c r="Q86" s="2"/>
      <c r="R86" s="7">
        <f t="shared" si="37"/>
        <v>0</v>
      </c>
      <c r="S86" s="2"/>
      <c r="T86" s="6">
        <v>0</v>
      </c>
      <c r="U86" s="2"/>
      <c r="V86" s="7">
        <f t="shared" si="38"/>
        <v>0</v>
      </c>
      <c r="W86" s="2"/>
      <c r="X86" s="6">
        <f t="shared" si="39"/>
        <v>0</v>
      </c>
      <c r="Y86" s="2"/>
      <c r="Z86" s="7">
        <f t="shared" si="40"/>
        <v>0</v>
      </c>
    </row>
    <row r="87" spans="1:26" s="26" customFormat="1" outlineLevel="1" collapsed="1" x14ac:dyDescent="0.25">
      <c r="A87" s="25"/>
      <c r="B87" s="12" t="str">
        <f>CONCATENATE("     ","Employees' Appreciation                           ")</f>
        <v xml:space="preserve">     Employees' Appreciation                           </v>
      </c>
      <c r="C87" s="12"/>
      <c r="D87" s="1">
        <f>SUM(OSRRefD22_6x_0)</f>
        <v>0</v>
      </c>
      <c r="E87" s="1"/>
      <c r="F87" s="5">
        <f t="shared" ref="F87:F102" si="41">IF(D$12=0,0,D87/D$12)</f>
        <v>0</v>
      </c>
      <c r="G87" s="1"/>
      <c r="H87" s="1">
        <f>SUM(OSRRefH22_6x_0)</f>
        <v>0</v>
      </c>
      <c r="I87" s="1"/>
      <c r="J87" s="5">
        <f t="shared" ref="J87:J102" si="42">IF(H$12=0,0,H87/H$12)</f>
        <v>0</v>
      </c>
      <c r="K87" s="1"/>
      <c r="L87" s="1">
        <f t="shared" ref="L87:L102" si="43">+D87-H87</f>
        <v>0</v>
      </c>
      <c r="M87" s="1"/>
      <c r="N87" s="5">
        <f t="shared" ref="N87:N102" si="44">IF(H87=0,0,L87/H87)</f>
        <v>0</v>
      </c>
      <c r="O87" s="12"/>
      <c r="P87" s="1">
        <f>SUM(OSRRefP22_6x_0)</f>
        <v>0</v>
      </c>
      <c r="Q87" s="1"/>
      <c r="R87" s="5">
        <f t="shared" ref="R87:R102" si="45">IF(P$12=0,0,P87/P$12)</f>
        <v>0</v>
      </c>
      <c r="S87" s="1"/>
      <c r="T87" s="1">
        <f>SUM(OSRRefT22_6x_0)</f>
        <v>120.93</v>
      </c>
      <c r="U87" s="1"/>
      <c r="V87" s="5">
        <f t="shared" ref="V87:V102" si="46">IF(T$12=0,0,T87/T$12)</f>
        <v>2.8133667233643932E-4</v>
      </c>
      <c r="W87" s="1"/>
      <c r="X87" s="1">
        <f t="shared" ref="X87:X102" si="47">+P87-T87</f>
        <v>-120.93</v>
      </c>
      <c r="Y87" s="1"/>
      <c r="Z87" s="5">
        <f t="shared" ref="Z87:Z102" si="48">IF(T87=0,0,X87/T87)</f>
        <v>-1</v>
      </c>
    </row>
    <row r="88" spans="1:26" s="23" customFormat="1" hidden="1" outlineLevel="2" x14ac:dyDescent="0.25">
      <c r="A88" s="27"/>
      <c r="B88" s="10" t="str">
        <f>CONCATENATE("          ", "6277", " - ", "EMPLOYEE APPRECIATION")</f>
        <v xml:space="preserve">          6277 - EMPLOYEE APPRECIATION</v>
      </c>
      <c r="C88" s="10"/>
      <c r="D88" s="6"/>
      <c r="E88" s="2"/>
      <c r="F88" s="7">
        <f t="shared" si="41"/>
        <v>0</v>
      </c>
      <c r="G88" s="2"/>
      <c r="H88" s="6"/>
      <c r="I88" s="2"/>
      <c r="J88" s="7">
        <f t="shared" si="42"/>
        <v>0</v>
      </c>
      <c r="K88" s="2"/>
      <c r="L88" s="6">
        <f t="shared" si="43"/>
        <v>0</v>
      </c>
      <c r="M88" s="2"/>
      <c r="N88" s="7">
        <f t="shared" si="44"/>
        <v>0</v>
      </c>
      <c r="O88" s="10"/>
      <c r="P88" s="6"/>
      <c r="Q88" s="2"/>
      <c r="R88" s="7">
        <f t="shared" si="45"/>
        <v>0</v>
      </c>
      <c r="S88" s="2"/>
      <c r="T88" s="6">
        <v>120.93</v>
      </c>
      <c r="U88" s="2"/>
      <c r="V88" s="7">
        <f t="shared" si="46"/>
        <v>2.8133667233643932E-4</v>
      </c>
      <c r="W88" s="2"/>
      <c r="X88" s="6">
        <f t="shared" si="47"/>
        <v>-120.93</v>
      </c>
      <c r="Y88" s="2"/>
      <c r="Z88" s="7">
        <f t="shared" si="48"/>
        <v>-1</v>
      </c>
    </row>
    <row r="89" spans="1:26" s="26" customFormat="1" outlineLevel="1" collapsed="1" x14ac:dyDescent="0.25">
      <c r="A89" s="25"/>
      <c r="B89" s="12" t="str">
        <f>CONCATENATE("     ","General                                           ")</f>
        <v xml:space="preserve">     General                                           </v>
      </c>
      <c r="C89" s="12"/>
      <c r="D89" s="1">
        <f>SUM(OSRRefD22_7x_0)</f>
        <v>0</v>
      </c>
      <c r="E89" s="1"/>
      <c r="F89" s="5">
        <f t="shared" si="41"/>
        <v>0</v>
      </c>
      <c r="G89" s="1"/>
      <c r="H89" s="1">
        <f>SUM(OSRRefH22_7x_0)</f>
        <v>120.99</v>
      </c>
      <c r="I89" s="1"/>
      <c r="J89" s="5">
        <f t="shared" si="42"/>
        <v>0</v>
      </c>
      <c r="K89" s="1"/>
      <c r="L89" s="1">
        <f t="shared" si="43"/>
        <v>-120.99</v>
      </c>
      <c r="M89" s="1"/>
      <c r="N89" s="5">
        <f t="shared" si="44"/>
        <v>-1</v>
      </c>
      <c r="O89" s="12"/>
      <c r="P89" s="1">
        <f>SUM(OSRRefP22_7x_0)</f>
        <v>1380.29</v>
      </c>
      <c r="Q89" s="1"/>
      <c r="R89" s="5">
        <f t="shared" si="45"/>
        <v>4.8260367741561703E-3</v>
      </c>
      <c r="S89" s="1"/>
      <c r="T89" s="1">
        <f>SUM(OSRRefT22_7x_0)</f>
        <v>1392.43</v>
      </c>
      <c r="U89" s="1"/>
      <c r="V89" s="5">
        <f t="shared" si="46"/>
        <v>3.2394081093312511E-3</v>
      </c>
      <c r="W89" s="1"/>
      <c r="X89" s="1">
        <f t="shared" si="47"/>
        <v>-12.1400000000001</v>
      </c>
      <c r="Y89" s="1"/>
      <c r="Z89" s="5">
        <f t="shared" si="48"/>
        <v>-8.7185711310443607E-3</v>
      </c>
    </row>
    <row r="90" spans="1:26" s="23" customFormat="1" hidden="1" outlineLevel="2" x14ac:dyDescent="0.25">
      <c r="A90" s="27"/>
      <c r="B90" s="10" t="str">
        <f>CONCATENATE("          ", "6279", " - ", "GENERAL EXPENSE")</f>
        <v xml:space="preserve">          6279 - GENERAL EXPENSE</v>
      </c>
      <c r="C90" s="10"/>
      <c r="D90" s="6"/>
      <c r="E90" s="2"/>
      <c r="F90" s="7">
        <f t="shared" si="41"/>
        <v>0</v>
      </c>
      <c r="G90" s="2"/>
      <c r="H90" s="6">
        <v>120.99</v>
      </c>
      <c r="I90" s="2"/>
      <c r="J90" s="7">
        <f t="shared" si="42"/>
        <v>0</v>
      </c>
      <c r="K90" s="2"/>
      <c r="L90" s="6">
        <f t="shared" si="43"/>
        <v>-120.99</v>
      </c>
      <c r="M90" s="2"/>
      <c r="N90" s="7">
        <f t="shared" si="44"/>
        <v>-1</v>
      </c>
      <c r="O90" s="10"/>
      <c r="P90" s="6">
        <v>1380.29</v>
      </c>
      <c r="Q90" s="2"/>
      <c r="R90" s="7">
        <f t="shared" si="45"/>
        <v>4.8260367741561703E-3</v>
      </c>
      <c r="S90" s="2"/>
      <c r="T90" s="6">
        <v>1392.43</v>
      </c>
      <c r="U90" s="2"/>
      <c r="V90" s="7">
        <f t="shared" si="46"/>
        <v>3.2394081093312511E-3</v>
      </c>
      <c r="W90" s="2"/>
      <c r="X90" s="6">
        <f t="shared" si="47"/>
        <v>-12.1400000000001</v>
      </c>
      <c r="Y90" s="2"/>
      <c r="Z90" s="7">
        <f t="shared" si="48"/>
        <v>-8.7185711310443607E-3</v>
      </c>
    </row>
    <row r="91" spans="1:26" s="26" customFormat="1" outlineLevel="1" collapsed="1" x14ac:dyDescent="0.25">
      <c r="A91" s="25"/>
      <c r="B91" s="12" t="str">
        <f>CONCATENATE("     ","Insurance                                         ")</f>
        <v xml:space="preserve">     Insurance                                         </v>
      </c>
      <c r="C91" s="12"/>
      <c r="D91" s="1">
        <f>SUM(OSRRefD22_8x_0)</f>
        <v>161.18</v>
      </c>
      <c r="E91" s="1"/>
      <c r="F91" s="5">
        <f t="shared" si="41"/>
        <v>4.6443973031490742E-3</v>
      </c>
      <c r="G91" s="1"/>
      <c r="H91" s="1">
        <f>SUM(OSRRefH22_8x_0)</f>
        <v>161.18</v>
      </c>
      <c r="I91" s="1"/>
      <c r="J91" s="5">
        <f t="shared" si="42"/>
        <v>0</v>
      </c>
      <c r="K91" s="1"/>
      <c r="L91" s="1">
        <f t="shared" si="43"/>
        <v>0</v>
      </c>
      <c r="M91" s="1"/>
      <c r="N91" s="5">
        <f t="shared" si="44"/>
        <v>0</v>
      </c>
      <c r="O91" s="12"/>
      <c r="P91" s="1">
        <f>SUM(OSRRefP22_8x_0)</f>
        <v>1772.98</v>
      </c>
      <c r="Q91" s="1"/>
      <c r="R91" s="5">
        <f t="shared" si="45"/>
        <v>6.1990354779382648E-3</v>
      </c>
      <c r="S91" s="1"/>
      <c r="T91" s="1">
        <f>SUM(OSRRefT22_8x_0)</f>
        <v>1772.98</v>
      </c>
      <c r="U91" s="1"/>
      <c r="V91" s="5">
        <f t="shared" si="46"/>
        <v>4.1247357423225021E-3</v>
      </c>
      <c r="W91" s="1"/>
      <c r="X91" s="1">
        <f t="shared" si="47"/>
        <v>0</v>
      </c>
      <c r="Y91" s="1"/>
      <c r="Z91" s="5">
        <f t="shared" si="48"/>
        <v>0</v>
      </c>
    </row>
    <row r="92" spans="1:26" s="23" customFormat="1" hidden="1" outlineLevel="2" x14ac:dyDescent="0.25">
      <c r="A92" s="27"/>
      <c r="B92" s="10" t="str">
        <f>CONCATENATE("          ", "6314", " - ", "LIABILITY INSURANCE")</f>
        <v xml:space="preserve">          6314 - LIABILITY INSURANCE</v>
      </c>
      <c r="C92" s="10"/>
      <c r="D92" s="6">
        <v>161.18</v>
      </c>
      <c r="E92" s="2"/>
      <c r="F92" s="7">
        <f t="shared" si="41"/>
        <v>4.6443973031490742E-3</v>
      </c>
      <c r="G92" s="2"/>
      <c r="H92" s="6">
        <v>161.18</v>
      </c>
      <c r="I92" s="2"/>
      <c r="J92" s="7">
        <f t="shared" si="42"/>
        <v>0</v>
      </c>
      <c r="K92" s="2"/>
      <c r="L92" s="6">
        <f t="shared" si="43"/>
        <v>0</v>
      </c>
      <c r="M92" s="2"/>
      <c r="N92" s="7">
        <f t="shared" si="44"/>
        <v>0</v>
      </c>
      <c r="O92" s="10"/>
      <c r="P92" s="6">
        <v>1772.98</v>
      </c>
      <c r="Q92" s="2"/>
      <c r="R92" s="7">
        <f t="shared" si="45"/>
        <v>6.1990354779382648E-3</v>
      </c>
      <c r="S92" s="2"/>
      <c r="T92" s="6">
        <v>1772.98</v>
      </c>
      <c r="U92" s="2"/>
      <c r="V92" s="7">
        <f t="shared" si="46"/>
        <v>4.1247357423225021E-3</v>
      </c>
      <c r="W92" s="2"/>
      <c r="X92" s="6">
        <f t="shared" si="47"/>
        <v>0</v>
      </c>
      <c r="Y92" s="2"/>
      <c r="Z92" s="7">
        <f t="shared" si="48"/>
        <v>0</v>
      </c>
    </row>
    <row r="93" spans="1:26" s="26" customFormat="1" outlineLevel="1" collapsed="1" x14ac:dyDescent="0.25">
      <c r="A93" s="25"/>
      <c r="B93" s="12" t="str">
        <f>CONCATENATE("     ","Inventory Adjustment                              ")</f>
        <v xml:space="preserve">     Inventory Adjustment                              </v>
      </c>
      <c r="C93" s="12"/>
      <c r="D93" s="1">
        <f>SUM(OSRRefD22_9x_0)</f>
        <v>100</v>
      </c>
      <c r="E93" s="1"/>
      <c r="F93" s="5">
        <f t="shared" si="41"/>
        <v>2.8814972720865332E-3</v>
      </c>
      <c r="G93" s="1"/>
      <c r="H93" s="1">
        <f>SUM(OSRRefH22_9x_0)</f>
        <v>600</v>
      </c>
      <c r="I93" s="1"/>
      <c r="J93" s="5">
        <f t="shared" si="42"/>
        <v>0</v>
      </c>
      <c r="K93" s="1"/>
      <c r="L93" s="1">
        <f t="shared" si="43"/>
        <v>-500</v>
      </c>
      <c r="M93" s="1"/>
      <c r="N93" s="5">
        <f t="shared" si="44"/>
        <v>-0.83333333333333337</v>
      </c>
      <c r="O93" s="12"/>
      <c r="P93" s="1">
        <f>SUM(OSRRefP22_9x_0)</f>
        <v>1100</v>
      </c>
      <c r="Q93" s="1"/>
      <c r="R93" s="5">
        <f t="shared" si="45"/>
        <v>3.8460326826766748E-3</v>
      </c>
      <c r="S93" s="1"/>
      <c r="T93" s="1">
        <f>SUM(OSRRefT22_9x_0)</f>
        <v>4200</v>
      </c>
      <c r="U93" s="1"/>
      <c r="V93" s="5">
        <f t="shared" si="46"/>
        <v>9.7710578335652443E-3</v>
      </c>
      <c r="W93" s="1"/>
      <c r="X93" s="1">
        <f t="shared" si="47"/>
        <v>-3100</v>
      </c>
      <c r="Y93" s="1"/>
      <c r="Z93" s="5">
        <f t="shared" si="48"/>
        <v>-0.73809523809523814</v>
      </c>
    </row>
    <row r="94" spans="1:26" s="23" customFormat="1" hidden="1" outlineLevel="2" x14ac:dyDescent="0.25">
      <c r="A94" s="27"/>
      <c r="B94" s="10" t="str">
        <f>CONCATENATE("          ", "6408", " - ", "INVENTORY ADJUSTMENT")</f>
        <v xml:space="preserve">          6408 - INVENTORY ADJUSTMENT</v>
      </c>
      <c r="C94" s="10"/>
      <c r="D94" s="6">
        <v>100</v>
      </c>
      <c r="E94" s="2"/>
      <c r="F94" s="7">
        <f t="shared" si="41"/>
        <v>2.8814972720865332E-3</v>
      </c>
      <c r="G94" s="2"/>
      <c r="H94" s="6">
        <v>600</v>
      </c>
      <c r="I94" s="2"/>
      <c r="J94" s="7">
        <f t="shared" si="42"/>
        <v>0</v>
      </c>
      <c r="K94" s="2"/>
      <c r="L94" s="6">
        <f t="shared" si="43"/>
        <v>-500</v>
      </c>
      <c r="M94" s="2"/>
      <c r="N94" s="7">
        <f t="shared" si="44"/>
        <v>-0.83333333333333337</v>
      </c>
      <c r="O94" s="10"/>
      <c r="P94" s="6">
        <v>1100</v>
      </c>
      <c r="Q94" s="2"/>
      <c r="R94" s="7">
        <f t="shared" si="45"/>
        <v>3.8460326826766748E-3</v>
      </c>
      <c r="S94" s="2"/>
      <c r="T94" s="6">
        <v>4200</v>
      </c>
      <c r="U94" s="2"/>
      <c r="V94" s="7">
        <f t="shared" si="46"/>
        <v>9.7710578335652443E-3</v>
      </c>
      <c r="W94" s="2"/>
      <c r="X94" s="6">
        <f t="shared" si="47"/>
        <v>-3100</v>
      </c>
      <c r="Y94" s="2"/>
      <c r="Z94" s="7">
        <f t="shared" si="48"/>
        <v>-0.73809523809523814</v>
      </c>
    </row>
    <row r="95" spans="1:26" s="26" customFormat="1" outlineLevel="1" collapsed="1" x14ac:dyDescent="0.25">
      <c r="A95" s="25"/>
      <c r="B95" s="12" t="str">
        <f>CONCATENATE("     ","Professional Services                             ")</f>
        <v xml:space="preserve">     Professional Services                             </v>
      </c>
      <c r="C95" s="12"/>
      <c r="D95" s="1">
        <f>SUM(OSRRefD22_10x_0)</f>
        <v>0</v>
      </c>
      <c r="E95" s="1"/>
      <c r="F95" s="5">
        <f t="shared" si="41"/>
        <v>0</v>
      </c>
      <c r="G95" s="1"/>
      <c r="H95" s="1">
        <f>SUM(OSRRefH22_10x_0)</f>
        <v>0</v>
      </c>
      <c r="I95" s="1"/>
      <c r="J95" s="5">
        <f t="shared" si="42"/>
        <v>0</v>
      </c>
      <c r="K95" s="1"/>
      <c r="L95" s="1">
        <f t="shared" si="43"/>
        <v>0</v>
      </c>
      <c r="M95" s="1"/>
      <c r="N95" s="5">
        <f t="shared" si="44"/>
        <v>0</v>
      </c>
      <c r="O95" s="12"/>
      <c r="P95" s="1">
        <f>SUM(OSRRefP22_10x_0)</f>
        <v>0</v>
      </c>
      <c r="Q95" s="1"/>
      <c r="R95" s="5">
        <f t="shared" si="45"/>
        <v>0</v>
      </c>
      <c r="S95" s="1"/>
      <c r="T95" s="1">
        <f>SUM(OSRRefT22_10x_0)</f>
        <v>750</v>
      </c>
      <c r="U95" s="1"/>
      <c r="V95" s="5">
        <f t="shared" si="46"/>
        <v>1.7448317559937937E-3</v>
      </c>
      <c r="W95" s="1"/>
      <c r="X95" s="1">
        <f t="shared" si="47"/>
        <v>-750</v>
      </c>
      <c r="Y95" s="1"/>
      <c r="Z95" s="5">
        <f t="shared" si="48"/>
        <v>-1</v>
      </c>
    </row>
    <row r="96" spans="1:26" s="23" customFormat="1" hidden="1" outlineLevel="2" x14ac:dyDescent="0.25">
      <c r="A96" s="27"/>
      <c r="B96" s="10" t="str">
        <f>CONCATENATE("          ", "6336", " - ", "PROFESSIONAL SERVICES")</f>
        <v xml:space="preserve">          6336 - PROFESSIONAL SERVICES</v>
      </c>
      <c r="C96" s="10"/>
      <c r="D96" s="6"/>
      <c r="E96" s="2"/>
      <c r="F96" s="7">
        <f t="shared" si="41"/>
        <v>0</v>
      </c>
      <c r="G96" s="2"/>
      <c r="H96" s="6"/>
      <c r="I96" s="2"/>
      <c r="J96" s="7">
        <f t="shared" si="42"/>
        <v>0</v>
      </c>
      <c r="K96" s="2"/>
      <c r="L96" s="6">
        <f t="shared" si="43"/>
        <v>0</v>
      </c>
      <c r="M96" s="2"/>
      <c r="N96" s="7">
        <f t="shared" si="44"/>
        <v>0</v>
      </c>
      <c r="O96" s="10"/>
      <c r="P96" s="6"/>
      <c r="Q96" s="2"/>
      <c r="R96" s="7">
        <f t="shared" si="45"/>
        <v>0</v>
      </c>
      <c r="S96" s="2"/>
      <c r="T96" s="6">
        <v>750</v>
      </c>
      <c r="U96" s="2"/>
      <c r="V96" s="7">
        <f t="shared" si="46"/>
        <v>1.7448317559937937E-3</v>
      </c>
      <c r="W96" s="2"/>
      <c r="X96" s="6">
        <f t="shared" si="47"/>
        <v>-750</v>
      </c>
      <c r="Y96" s="2"/>
      <c r="Z96" s="7">
        <f t="shared" si="48"/>
        <v>-1</v>
      </c>
    </row>
    <row r="97" spans="1:26" s="26" customFormat="1" outlineLevel="1" collapsed="1" x14ac:dyDescent="0.25">
      <c r="A97" s="25"/>
      <c r="B97" s="12" t="str">
        <f>CONCATENATE("     ","Rent                                              ")</f>
        <v xml:space="preserve">     Rent                                              </v>
      </c>
      <c r="C97" s="12"/>
      <c r="D97" s="1">
        <f>SUM(OSRRefD22_11x_0)</f>
        <v>6900</v>
      </c>
      <c r="E97" s="1"/>
      <c r="F97" s="5">
        <f t="shared" si="41"/>
        <v>0.19882331177397078</v>
      </c>
      <c r="G97" s="1"/>
      <c r="H97" s="1">
        <f>SUM(OSRRefH22_11x_0)</f>
        <v>6900</v>
      </c>
      <c r="I97" s="1"/>
      <c r="J97" s="5">
        <f t="shared" si="42"/>
        <v>0</v>
      </c>
      <c r="K97" s="1"/>
      <c r="L97" s="1">
        <f t="shared" si="43"/>
        <v>0</v>
      </c>
      <c r="M97" s="1"/>
      <c r="N97" s="5">
        <f t="shared" si="44"/>
        <v>0</v>
      </c>
      <c r="O97" s="12"/>
      <c r="P97" s="1">
        <f>SUM(OSRRefP22_11x_0)</f>
        <v>75900</v>
      </c>
      <c r="Q97" s="1"/>
      <c r="R97" s="5">
        <f t="shared" si="45"/>
        <v>0.26537625510469059</v>
      </c>
      <c r="S97" s="1"/>
      <c r="T97" s="1">
        <f>SUM(OSRRefT22_11x_0)</f>
        <v>75900</v>
      </c>
      <c r="U97" s="1"/>
      <c r="V97" s="5">
        <f t="shared" si="46"/>
        <v>0.17657697370657194</v>
      </c>
      <c r="W97" s="1"/>
      <c r="X97" s="1">
        <f t="shared" si="47"/>
        <v>0</v>
      </c>
      <c r="Y97" s="1"/>
      <c r="Z97" s="5">
        <f t="shared" si="48"/>
        <v>0</v>
      </c>
    </row>
    <row r="98" spans="1:26" s="23" customFormat="1" hidden="1" outlineLevel="2" x14ac:dyDescent="0.25">
      <c r="A98" s="27"/>
      <c r="B98" s="10" t="str">
        <f>CONCATENATE("          ", "6273", " - ", "RENT")</f>
        <v xml:space="preserve">          6273 - RENT</v>
      </c>
      <c r="C98" s="10"/>
      <c r="D98" s="6">
        <v>6900</v>
      </c>
      <c r="E98" s="2"/>
      <c r="F98" s="7">
        <f t="shared" si="41"/>
        <v>0.19882331177397078</v>
      </c>
      <c r="G98" s="2"/>
      <c r="H98" s="6">
        <v>6900</v>
      </c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0"/>
      <c r="P98" s="6">
        <v>75900</v>
      </c>
      <c r="Q98" s="2"/>
      <c r="R98" s="7">
        <f t="shared" si="45"/>
        <v>0.26537625510469059</v>
      </c>
      <c r="S98" s="2"/>
      <c r="T98" s="6">
        <v>75900</v>
      </c>
      <c r="U98" s="2"/>
      <c r="V98" s="7">
        <f t="shared" si="46"/>
        <v>0.17657697370657194</v>
      </c>
      <c r="W98" s="2"/>
      <c r="X98" s="6">
        <f t="shared" si="47"/>
        <v>0</v>
      </c>
      <c r="Y98" s="2"/>
      <c r="Z98" s="7">
        <f t="shared" si="48"/>
        <v>0</v>
      </c>
    </row>
    <row r="99" spans="1:26" s="26" customFormat="1" outlineLevel="1" collapsed="1" x14ac:dyDescent="0.25">
      <c r="A99" s="25"/>
      <c r="B99" s="12" t="str">
        <f>CONCATENATE("     ","Repair and Maintenance                            ")</f>
        <v xml:space="preserve">     Repair and Maintenance                            </v>
      </c>
      <c r="C99" s="12"/>
      <c r="D99" s="1">
        <f>SUM(OSRRefD22_12x_0)</f>
        <v>0</v>
      </c>
      <c r="E99" s="1"/>
      <c r="F99" s="5">
        <f t="shared" si="41"/>
        <v>0</v>
      </c>
      <c r="G99" s="1"/>
      <c r="H99" s="1">
        <f>SUM(OSRRefH22_12x_0)</f>
        <v>0</v>
      </c>
      <c r="I99" s="1"/>
      <c r="J99" s="5">
        <f t="shared" si="42"/>
        <v>0</v>
      </c>
      <c r="K99" s="1"/>
      <c r="L99" s="1">
        <f t="shared" si="43"/>
        <v>0</v>
      </c>
      <c r="M99" s="1"/>
      <c r="N99" s="5">
        <f t="shared" si="44"/>
        <v>0</v>
      </c>
      <c r="O99" s="12"/>
      <c r="P99" s="1">
        <f>SUM(OSRRefP22_12x_0)</f>
        <v>309.70999999999998</v>
      </c>
      <c r="Q99" s="1"/>
      <c r="R99" s="5">
        <f t="shared" si="45"/>
        <v>1.0828679837743573E-3</v>
      </c>
      <c r="S99" s="1"/>
      <c r="T99" s="1">
        <f>SUM(OSRRefT22_12x_0)</f>
        <v>323.98</v>
      </c>
      <c r="U99" s="1"/>
      <c r="V99" s="5">
        <f t="shared" si="46"/>
        <v>7.5372078974249247E-4</v>
      </c>
      <c r="W99" s="1"/>
      <c r="X99" s="1">
        <f t="shared" si="47"/>
        <v>-14.270000000000039</v>
      </c>
      <c r="Y99" s="1"/>
      <c r="Z99" s="5">
        <f t="shared" si="48"/>
        <v>-4.4045928761034747E-2</v>
      </c>
    </row>
    <row r="100" spans="1:26" s="23" customFormat="1" hidden="1" outlineLevel="2" x14ac:dyDescent="0.25">
      <c r="A100" s="27"/>
      <c r="B100" s="10" t="str">
        <f>CONCATENATE("          ", "6372", " - ", "COMPUTER HARDWARE MAINTENANCE")</f>
        <v xml:space="preserve">          6372 - COMPUTER HARDWARE MAINTENANCE</v>
      </c>
      <c r="C100" s="10"/>
      <c r="D100" s="6"/>
      <c r="E100" s="2"/>
      <c r="F100" s="7">
        <f t="shared" si="41"/>
        <v>0</v>
      </c>
      <c r="G100" s="2"/>
      <c r="H100" s="6"/>
      <c r="I100" s="2"/>
      <c r="J100" s="7">
        <f t="shared" si="42"/>
        <v>0</v>
      </c>
      <c r="K100" s="2"/>
      <c r="L100" s="6">
        <f t="shared" si="43"/>
        <v>0</v>
      </c>
      <c r="M100" s="2"/>
      <c r="N100" s="7">
        <f t="shared" si="44"/>
        <v>0</v>
      </c>
      <c r="O100" s="10"/>
      <c r="P100" s="6">
        <v>-0.52</v>
      </c>
      <c r="Q100" s="2"/>
      <c r="R100" s="7">
        <f t="shared" si="45"/>
        <v>-1.818124540901701E-6</v>
      </c>
      <c r="S100" s="2"/>
      <c r="T100" s="6"/>
      <c r="U100" s="2"/>
      <c r="V100" s="7">
        <f t="shared" si="46"/>
        <v>0</v>
      </c>
      <c r="W100" s="2"/>
      <c r="X100" s="6">
        <f t="shared" si="47"/>
        <v>-0.52</v>
      </c>
      <c r="Y100" s="2"/>
      <c r="Z100" s="7">
        <f t="shared" si="48"/>
        <v>0</v>
      </c>
    </row>
    <row r="101" spans="1:26" s="23" customFormat="1" hidden="1" outlineLevel="2" x14ac:dyDescent="0.25">
      <c r="A101" s="27"/>
      <c r="B101" s="10" t="str">
        <f>CONCATENATE("          ", "6373", " - ", "MAINTENANCE CONTRACTS")</f>
        <v xml:space="preserve">          6373 - MAINTENANCE CONTRACTS</v>
      </c>
      <c r="C101" s="10"/>
      <c r="D101" s="6"/>
      <c r="E101" s="2"/>
      <c r="F101" s="7">
        <f t="shared" si="41"/>
        <v>0</v>
      </c>
      <c r="G101" s="2"/>
      <c r="H101" s="6"/>
      <c r="I101" s="2"/>
      <c r="J101" s="7">
        <f t="shared" si="42"/>
        <v>0</v>
      </c>
      <c r="K101" s="2"/>
      <c r="L101" s="6">
        <f t="shared" si="43"/>
        <v>0</v>
      </c>
      <c r="M101" s="2"/>
      <c r="N101" s="7">
        <f t="shared" si="44"/>
        <v>0</v>
      </c>
      <c r="O101" s="10"/>
      <c r="P101" s="6">
        <v>144.66999999999999</v>
      </c>
      <c r="Q101" s="2"/>
      <c r="R101" s="7">
        <f t="shared" si="45"/>
        <v>5.0582322563894045E-4</v>
      </c>
      <c r="S101" s="2"/>
      <c r="T101" s="6">
        <v>141.44999999999999</v>
      </c>
      <c r="U101" s="2"/>
      <c r="V101" s="7">
        <f t="shared" si="46"/>
        <v>3.2907526918042948E-4</v>
      </c>
      <c r="W101" s="2"/>
      <c r="X101" s="6">
        <f t="shared" si="47"/>
        <v>3.2199999999999989</v>
      </c>
      <c r="Y101" s="2"/>
      <c r="Z101" s="7">
        <f t="shared" si="48"/>
        <v>2.2764227642276418E-2</v>
      </c>
    </row>
    <row r="102" spans="1:26" s="23" customFormat="1" hidden="1" outlineLevel="2" x14ac:dyDescent="0.25">
      <c r="A102" s="27"/>
      <c r="B102" s="10" t="str">
        <f>CONCATENATE("          ", "6375", " - ", "OUTSIDE REPAIRS &amp; MAINTENANCE")</f>
        <v xml:space="preserve">          6375 - OUTSIDE REPAIRS &amp; MAINTENANCE</v>
      </c>
      <c r="C102" s="10"/>
      <c r="D102" s="6"/>
      <c r="E102" s="2"/>
      <c r="F102" s="7">
        <f t="shared" si="41"/>
        <v>0</v>
      </c>
      <c r="G102" s="2"/>
      <c r="H102" s="6"/>
      <c r="I102" s="2"/>
      <c r="J102" s="7">
        <f t="shared" si="42"/>
        <v>0</v>
      </c>
      <c r="K102" s="2"/>
      <c r="L102" s="6">
        <f t="shared" si="43"/>
        <v>0</v>
      </c>
      <c r="M102" s="2"/>
      <c r="N102" s="7">
        <f t="shared" si="44"/>
        <v>0</v>
      </c>
      <c r="O102" s="10"/>
      <c r="P102" s="6">
        <v>165.56</v>
      </c>
      <c r="Q102" s="2"/>
      <c r="R102" s="7">
        <f t="shared" si="45"/>
        <v>5.7886288267631851E-4</v>
      </c>
      <c r="S102" s="2"/>
      <c r="T102" s="6">
        <v>182.53</v>
      </c>
      <c r="U102" s="2"/>
      <c r="V102" s="7">
        <f t="shared" si="46"/>
        <v>4.2464552056206288E-4</v>
      </c>
      <c r="W102" s="2"/>
      <c r="X102" s="6">
        <f t="shared" si="47"/>
        <v>-16.97</v>
      </c>
      <c r="Y102" s="2"/>
      <c r="Z102" s="7">
        <f t="shared" si="48"/>
        <v>-9.2971018462718449E-2</v>
      </c>
    </row>
    <row r="103" spans="1:26" s="26" customFormat="1" outlineLevel="1" collapsed="1" x14ac:dyDescent="0.25">
      <c r="A103" s="25"/>
      <c r="B103" s="12" t="str">
        <f>CONCATENATE("     ","Services                                          ")</f>
        <v xml:space="preserve">     Services                                          </v>
      </c>
      <c r="C103" s="12"/>
      <c r="D103" s="1">
        <f>SUM(OSRRefD22_13x_0)</f>
        <v>155.59</v>
      </c>
      <c r="E103" s="1"/>
      <c r="F103" s="5">
        <f t="shared" ref="F103:F106" si="49">IF(D$12=0,0,D103/D$12)</f>
        <v>4.4833216056394372E-3</v>
      </c>
      <c r="G103" s="1"/>
      <c r="H103" s="1">
        <f>SUM(OSRRefH22_13x_0)</f>
        <v>189.45</v>
      </c>
      <c r="I103" s="1"/>
      <c r="J103" s="5">
        <f t="shared" ref="J103:J106" si="50">IF(H$12=0,0,H103/H$12)</f>
        <v>0</v>
      </c>
      <c r="K103" s="1"/>
      <c r="L103" s="1">
        <f t="shared" ref="L103:L106" si="51">+D103-H103</f>
        <v>-33.859999999999985</v>
      </c>
      <c r="M103" s="1"/>
      <c r="N103" s="5">
        <f t="shared" ref="N103:N106" si="52">IF(H103=0,0,L103/H103)</f>
        <v>-0.1787278965426233</v>
      </c>
      <c r="O103" s="12"/>
      <c r="P103" s="1">
        <f>SUM(OSRRefP22_13x_0)</f>
        <v>918.51999999999987</v>
      </c>
      <c r="Q103" s="1"/>
      <c r="R103" s="5">
        <f t="shared" ref="R103:R106" si="53">IF(P$12=0,0,P103/P$12)</f>
        <v>3.2115072179019809E-3</v>
      </c>
      <c r="S103" s="1"/>
      <c r="T103" s="1">
        <f>SUM(OSRRefT22_13x_0)</f>
        <v>2949.5299999999997</v>
      </c>
      <c r="U103" s="1"/>
      <c r="V103" s="5">
        <f t="shared" ref="V103:V106" si="54">IF(T$12=0,0,T103/T$12)</f>
        <v>6.8619114790084987E-3</v>
      </c>
      <c r="W103" s="1"/>
      <c r="X103" s="1">
        <f t="shared" ref="X103:X106" si="55">+P103-T103</f>
        <v>-2031.0099999999998</v>
      </c>
      <c r="Y103" s="1"/>
      <c r="Z103" s="5">
        <f t="shared" ref="Z103:Z106" si="56">IF(T103=0,0,X103/T103)</f>
        <v>-0.68858767329032078</v>
      </c>
    </row>
    <row r="104" spans="1:26" s="23" customFormat="1" hidden="1" outlineLevel="2" x14ac:dyDescent="0.25">
      <c r="A104" s="27"/>
      <c r="B104" s="10" t="str">
        <f>CONCATENATE("          ", "6283", " - ", "PLANT SERVICE")</f>
        <v xml:space="preserve">          6283 - PLANT SERVICE</v>
      </c>
      <c r="C104" s="10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0"/>
      <c r="P104" s="6">
        <v>41.31</v>
      </c>
      <c r="Q104" s="2"/>
      <c r="R104" s="7">
        <f t="shared" si="53"/>
        <v>1.4443600920124861E-4</v>
      </c>
      <c r="S104" s="2"/>
      <c r="T104" s="6">
        <v>178.65</v>
      </c>
      <c r="U104" s="2"/>
      <c r="V104" s="7">
        <f t="shared" si="54"/>
        <v>4.1561892427772166E-4</v>
      </c>
      <c r="W104" s="2"/>
      <c r="X104" s="6">
        <f t="shared" si="55"/>
        <v>-137.34</v>
      </c>
      <c r="Y104" s="2"/>
      <c r="Z104" s="7">
        <f t="shared" si="56"/>
        <v>-0.7687657430730479</v>
      </c>
    </row>
    <row r="105" spans="1:26" s="23" customFormat="1" hidden="1" outlineLevel="2" x14ac:dyDescent="0.25">
      <c r="A105" s="27"/>
      <c r="B105" s="10" t="str">
        <f>CONCATENATE("          ", "6284", " - ", "TRASH REMOVAL EXPENSE")</f>
        <v xml:space="preserve">          6284 - TRASH REMOVAL EXPENSE</v>
      </c>
      <c r="C105" s="10"/>
      <c r="D105" s="6">
        <v>142.57</v>
      </c>
      <c r="E105" s="2"/>
      <c r="F105" s="7">
        <f t="shared" si="49"/>
        <v>4.1081506608137697E-3</v>
      </c>
      <c r="G105" s="2"/>
      <c r="H105" s="6">
        <v>134.82</v>
      </c>
      <c r="I105" s="2"/>
      <c r="J105" s="7">
        <f t="shared" si="50"/>
        <v>0</v>
      </c>
      <c r="K105" s="2"/>
      <c r="L105" s="6">
        <f t="shared" si="51"/>
        <v>7.75</v>
      </c>
      <c r="M105" s="2"/>
      <c r="N105" s="7">
        <f t="shared" si="52"/>
        <v>5.7484052811155616E-2</v>
      </c>
      <c r="O105" s="10"/>
      <c r="P105" s="6">
        <v>1583.29</v>
      </c>
      <c r="Q105" s="2"/>
      <c r="R105" s="7">
        <f t="shared" si="53"/>
        <v>5.5358046237774117E-3</v>
      </c>
      <c r="S105" s="2"/>
      <c r="T105" s="6">
        <v>1483.02</v>
      </c>
      <c r="U105" s="2"/>
      <c r="V105" s="7">
        <f t="shared" si="54"/>
        <v>3.4501605210318881E-3</v>
      </c>
      <c r="W105" s="2"/>
      <c r="X105" s="6">
        <f t="shared" si="55"/>
        <v>100.26999999999998</v>
      </c>
      <c r="Y105" s="2"/>
      <c r="Z105" s="7">
        <f t="shared" si="56"/>
        <v>6.761203490175452E-2</v>
      </c>
    </row>
    <row r="106" spans="1:26" s="23" customFormat="1" hidden="1" outlineLevel="2" x14ac:dyDescent="0.25">
      <c r="A106" s="27"/>
      <c r="B106" s="10" t="str">
        <f>CONCATENATE("          ", "6285", " - ", "JANITORIAL SERVICES")</f>
        <v xml:space="preserve">          6285 - JANITORIAL SERVICES</v>
      </c>
      <c r="C106" s="10"/>
      <c r="D106" s="6">
        <v>13.02</v>
      </c>
      <c r="E106" s="2"/>
      <c r="F106" s="7">
        <f t="shared" si="49"/>
        <v>3.7517094482566657E-4</v>
      </c>
      <c r="G106" s="2"/>
      <c r="H106" s="6">
        <v>54.63</v>
      </c>
      <c r="I106" s="2"/>
      <c r="J106" s="7">
        <f t="shared" si="50"/>
        <v>0</v>
      </c>
      <c r="K106" s="2"/>
      <c r="L106" s="6">
        <f t="shared" si="51"/>
        <v>-41.61</v>
      </c>
      <c r="M106" s="2"/>
      <c r="N106" s="7">
        <f t="shared" si="52"/>
        <v>-0.76166941241076325</v>
      </c>
      <c r="O106" s="10"/>
      <c r="P106" s="6">
        <v>-706.08</v>
      </c>
      <c r="Q106" s="2"/>
      <c r="R106" s="7">
        <f t="shared" si="53"/>
        <v>-2.4687334150766791E-3</v>
      </c>
      <c r="S106" s="2"/>
      <c r="T106" s="6">
        <v>1287.8599999999999</v>
      </c>
      <c r="U106" s="2"/>
      <c r="V106" s="7">
        <f t="shared" si="54"/>
        <v>2.9961320336988895E-3</v>
      </c>
      <c r="W106" s="2"/>
      <c r="X106" s="6">
        <f t="shared" si="55"/>
        <v>-1993.94</v>
      </c>
      <c r="Y106" s="2"/>
      <c r="Z106" s="7">
        <f t="shared" si="56"/>
        <v>-1.5482583510630039</v>
      </c>
    </row>
    <row r="107" spans="1:26" s="26" customFormat="1" outlineLevel="1" collapsed="1" x14ac:dyDescent="0.25">
      <c r="A107" s="25"/>
      <c r="B107" s="12" t="str">
        <f>CONCATENATE("     ","Subscriptions &amp; Dues                              ")</f>
        <v xml:space="preserve">     Subscriptions &amp; Dues                              </v>
      </c>
      <c r="C107" s="12"/>
      <c r="D107" s="1">
        <f>SUM(OSRRefD22_14x_0)</f>
        <v>0</v>
      </c>
      <c r="E107" s="1"/>
      <c r="F107" s="5">
        <f t="shared" ref="F107:F109" si="57">IF(D$12=0,0,D107/D$12)</f>
        <v>0</v>
      </c>
      <c r="G107" s="1"/>
      <c r="H107" s="1">
        <f>SUM(OSRRefH22_14x_0)</f>
        <v>0</v>
      </c>
      <c r="I107" s="1"/>
      <c r="J107" s="5">
        <f t="shared" ref="J107:J109" si="58">IF(H$12=0,0,H107/H$12)</f>
        <v>0</v>
      </c>
      <c r="K107" s="1"/>
      <c r="L107" s="1">
        <f t="shared" ref="L107:L109" si="59">+D107-H107</f>
        <v>0</v>
      </c>
      <c r="M107" s="1"/>
      <c r="N107" s="5">
        <f t="shared" ref="N107:N109" si="60">IF(H107=0,0,L107/H107)</f>
        <v>0</v>
      </c>
      <c r="O107" s="12"/>
      <c r="P107" s="1">
        <f>SUM(OSRRefP22_14x_0)</f>
        <v>2254.14</v>
      </c>
      <c r="Q107" s="1"/>
      <c r="R107" s="5">
        <f t="shared" ref="R107:R109" si="61">IF(P$12=0,0,P107/P$12)</f>
        <v>7.881360101207999E-3</v>
      </c>
      <c r="S107" s="1"/>
      <c r="T107" s="1">
        <f>SUM(OSRRefT22_14x_0)</f>
        <v>268.40999999999997</v>
      </c>
      <c r="U107" s="1"/>
      <c r="V107" s="5">
        <f t="shared" ref="V107:V109" si="62">IF(T$12=0,0,T107/T$12)</f>
        <v>6.2444038883505886E-4</v>
      </c>
      <c r="W107" s="1"/>
      <c r="X107" s="1">
        <f t="shared" ref="X107:X109" si="63">+P107-T107</f>
        <v>1985.73</v>
      </c>
      <c r="Y107" s="1"/>
      <c r="Z107" s="5">
        <f t="shared" ref="Z107:Z109" si="64">IF(T107=0,0,X107/T107)</f>
        <v>7.3981222756231144</v>
      </c>
    </row>
    <row r="108" spans="1:26" s="23" customFormat="1" hidden="1" outlineLevel="2" x14ac:dyDescent="0.25">
      <c r="A108" s="27"/>
      <c r="B108" s="10" t="str">
        <f>CONCATENATE("          ", "6258", " - ", "MEMBERSHIP DUES")</f>
        <v xml:space="preserve">          6258 - MEMBERSHIP DUES</v>
      </c>
      <c r="C108" s="10"/>
      <c r="D108" s="6"/>
      <c r="E108" s="2"/>
      <c r="F108" s="7">
        <f t="shared" si="57"/>
        <v>0</v>
      </c>
      <c r="G108" s="2"/>
      <c r="H108" s="6"/>
      <c r="I108" s="2"/>
      <c r="J108" s="7">
        <f t="shared" si="58"/>
        <v>0</v>
      </c>
      <c r="K108" s="2"/>
      <c r="L108" s="6">
        <f t="shared" si="59"/>
        <v>0</v>
      </c>
      <c r="M108" s="2"/>
      <c r="N108" s="7">
        <f t="shared" si="60"/>
        <v>0</v>
      </c>
      <c r="O108" s="10"/>
      <c r="P108" s="6">
        <v>-60.73</v>
      </c>
      <c r="Q108" s="2"/>
      <c r="R108" s="7">
        <f t="shared" si="61"/>
        <v>-2.1233596801723133E-4</v>
      </c>
      <c r="S108" s="2"/>
      <c r="T108" s="6">
        <v>29.99</v>
      </c>
      <c r="U108" s="2"/>
      <c r="V108" s="7">
        <f t="shared" si="62"/>
        <v>6.9770005816338491E-5</v>
      </c>
      <c r="W108" s="2"/>
      <c r="X108" s="6">
        <f t="shared" si="63"/>
        <v>-90.72</v>
      </c>
      <c r="Y108" s="2"/>
      <c r="Z108" s="7">
        <f t="shared" si="64"/>
        <v>-3.0250083361120375</v>
      </c>
    </row>
    <row r="109" spans="1:26" s="23" customFormat="1" hidden="1" outlineLevel="2" x14ac:dyDescent="0.25">
      <c r="A109" s="27"/>
      <c r="B109" s="10" t="str">
        <f>CONCATENATE("          ", "6275", " - ", "SUBSCRIPTIONS")</f>
        <v xml:space="preserve">          6275 - SUBSCRIPTIONS</v>
      </c>
      <c r="C109" s="10"/>
      <c r="D109" s="6"/>
      <c r="E109" s="2"/>
      <c r="F109" s="7">
        <f t="shared" si="57"/>
        <v>0</v>
      </c>
      <c r="G109" s="2"/>
      <c r="H109" s="6"/>
      <c r="I109" s="2"/>
      <c r="J109" s="7">
        <f t="shared" si="58"/>
        <v>0</v>
      </c>
      <c r="K109" s="2"/>
      <c r="L109" s="6">
        <f t="shared" si="59"/>
        <v>0</v>
      </c>
      <c r="M109" s="2"/>
      <c r="N109" s="7">
        <f t="shared" si="60"/>
        <v>0</v>
      </c>
      <c r="O109" s="10"/>
      <c r="P109" s="6">
        <v>2314.87</v>
      </c>
      <c r="Q109" s="2"/>
      <c r="R109" s="7">
        <f t="shared" si="61"/>
        <v>8.0936960692252306E-3</v>
      </c>
      <c r="S109" s="2"/>
      <c r="T109" s="6">
        <v>238.42</v>
      </c>
      <c r="U109" s="2"/>
      <c r="V109" s="7">
        <f t="shared" si="62"/>
        <v>5.5467038301872042E-4</v>
      </c>
      <c r="W109" s="2"/>
      <c r="X109" s="6">
        <f t="shared" si="63"/>
        <v>2076.4499999999998</v>
      </c>
      <c r="Y109" s="2"/>
      <c r="Z109" s="7">
        <f t="shared" si="64"/>
        <v>8.7092106366915516</v>
      </c>
    </row>
    <row r="110" spans="1:26" s="26" customFormat="1" outlineLevel="1" collapsed="1" x14ac:dyDescent="0.25">
      <c r="A110" s="25"/>
      <c r="B110" s="12" t="str">
        <f>CONCATENATE("     ","Supplies                                          ")</f>
        <v xml:space="preserve">     Supplies                                          </v>
      </c>
      <c r="C110" s="12"/>
      <c r="D110" s="1">
        <f>SUM(OSRRefD22_15x_0)</f>
        <v>0</v>
      </c>
      <c r="E110" s="1"/>
      <c r="F110" s="5">
        <f t="shared" ref="F110:F116" si="65">IF(D$12=0,0,D110/D$12)</f>
        <v>0</v>
      </c>
      <c r="G110" s="1"/>
      <c r="H110" s="1">
        <f>SUM(OSRRefH22_15x_0)</f>
        <v>0</v>
      </c>
      <c r="I110" s="1"/>
      <c r="J110" s="5">
        <f t="shared" ref="J110:J116" si="66">IF(H$12=0,0,H110/H$12)</f>
        <v>0</v>
      </c>
      <c r="K110" s="1"/>
      <c r="L110" s="1">
        <f t="shared" ref="L110:L116" si="67">+D110-H110</f>
        <v>0</v>
      </c>
      <c r="M110" s="1"/>
      <c r="N110" s="5">
        <f t="shared" ref="N110:N116" si="68">IF(H110=0,0,L110/H110)</f>
        <v>0</v>
      </c>
      <c r="O110" s="12"/>
      <c r="P110" s="1">
        <f>SUM(OSRRefP22_15x_0)</f>
        <v>829.24</v>
      </c>
      <c r="Q110" s="1"/>
      <c r="R110" s="5">
        <f t="shared" ref="R110:R116" si="69">IF(P$12=0,0,P110/P$12)</f>
        <v>2.899349219802551E-3</v>
      </c>
      <c r="S110" s="1"/>
      <c r="T110" s="1">
        <f>SUM(OSRRefT22_15x_0)</f>
        <v>3811.06</v>
      </c>
      <c r="U110" s="1"/>
      <c r="V110" s="5">
        <f t="shared" ref="V110:V116" si="70">IF(T$12=0,0,T110/T$12)</f>
        <v>8.8662113493302771E-3</v>
      </c>
      <c r="W110" s="1"/>
      <c r="X110" s="1">
        <f t="shared" ref="X110:X116" si="71">+P110-T110</f>
        <v>-2981.8199999999997</v>
      </c>
      <c r="Y110" s="1"/>
      <c r="Z110" s="5">
        <f t="shared" ref="Z110:Z116" si="72">IF(T110=0,0,X110/T110)</f>
        <v>-0.7824122422633073</v>
      </c>
    </row>
    <row r="111" spans="1:26" s="23" customFormat="1" hidden="1" outlineLevel="2" x14ac:dyDescent="0.25">
      <c r="A111" s="27"/>
      <c r="B111" s="10" t="str">
        <f>CONCATENATE("          ", "6234", " - ", "EXPENDABLE SUPPLIES &amp; EQUIPMEN")</f>
        <v xml:space="preserve">          6234 - EXPENDABLE SUPPLIES &amp; EQUIPMEN</v>
      </c>
      <c r="C111" s="10"/>
      <c r="D111" s="6"/>
      <c r="E111" s="2"/>
      <c r="F111" s="7">
        <f t="shared" si="65"/>
        <v>0</v>
      </c>
      <c r="G111" s="2"/>
      <c r="H111" s="6"/>
      <c r="I111" s="2"/>
      <c r="J111" s="7">
        <f t="shared" si="66"/>
        <v>0</v>
      </c>
      <c r="K111" s="2"/>
      <c r="L111" s="6">
        <f t="shared" si="67"/>
        <v>0</v>
      </c>
      <c r="M111" s="2"/>
      <c r="N111" s="7">
        <f t="shared" si="68"/>
        <v>0</v>
      </c>
      <c r="O111" s="10"/>
      <c r="P111" s="6"/>
      <c r="Q111" s="2"/>
      <c r="R111" s="7">
        <f t="shared" si="69"/>
        <v>0</v>
      </c>
      <c r="S111" s="2"/>
      <c r="T111" s="6">
        <v>303.86</v>
      </c>
      <c r="U111" s="2"/>
      <c r="V111" s="7">
        <f t="shared" si="70"/>
        <v>7.0691276983503228E-4</v>
      </c>
      <c r="W111" s="2"/>
      <c r="X111" s="6">
        <f t="shared" si="71"/>
        <v>-303.86</v>
      </c>
      <c r="Y111" s="2"/>
      <c r="Z111" s="7">
        <f t="shared" si="72"/>
        <v>-1</v>
      </c>
    </row>
    <row r="112" spans="1:26" s="23" customFormat="1" hidden="1" outlineLevel="2" x14ac:dyDescent="0.25">
      <c r="A112" s="27"/>
      <c r="B112" s="10" t="str">
        <f>CONCATENATE("          ", "6235", " - ", "COVID-19 EXPENSES")</f>
        <v xml:space="preserve">          6235 - COVID-19 EXPENSES</v>
      </c>
      <c r="C112" s="10"/>
      <c r="D112" s="6"/>
      <c r="E112" s="2"/>
      <c r="F112" s="7">
        <f t="shared" si="65"/>
        <v>0</v>
      </c>
      <c r="G112" s="2"/>
      <c r="H112" s="6"/>
      <c r="I112" s="2"/>
      <c r="J112" s="7">
        <f t="shared" si="66"/>
        <v>0</v>
      </c>
      <c r="K112" s="2"/>
      <c r="L112" s="6">
        <f t="shared" si="67"/>
        <v>0</v>
      </c>
      <c r="M112" s="2"/>
      <c r="N112" s="7">
        <f t="shared" si="68"/>
        <v>0</v>
      </c>
      <c r="O112" s="10"/>
      <c r="P112" s="6">
        <v>265.7</v>
      </c>
      <c r="Q112" s="2"/>
      <c r="R112" s="7">
        <f t="shared" si="69"/>
        <v>9.2899171253381136E-4</v>
      </c>
      <c r="S112" s="2"/>
      <c r="T112" s="6"/>
      <c r="U112" s="2"/>
      <c r="V112" s="7">
        <f t="shared" si="70"/>
        <v>0</v>
      </c>
      <c r="W112" s="2"/>
      <c r="X112" s="6">
        <f t="shared" si="71"/>
        <v>265.7</v>
      </c>
      <c r="Y112" s="2"/>
      <c r="Z112" s="7">
        <f t="shared" si="72"/>
        <v>0</v>
      </c>
    </row>
    <row r="113" spans="1:26" s="23" customFormat="1" hidden="1" outlineLevel="2" x14ac:dyDescent="0.25">
      <c r="A113" s="27"/>
      <c r="B113" s="10" t="str">
        <f>CONCATENATE("          ", "6237", " - ", "JANITORIAL SUPPLIES")</f>
        <v xml:space="preserve">          6237 - JANITORIAL SUPPLIES</v>
      </c>
      <c r="C113" s="10"/>
      <c r="D113" s="6"/>
      <c r="E113" s="2"/>
      <c r="F113" s="7">
        <f t="shared" si="65"/>
        <v>0</v>
      </c>
      <c r="G113" s="2"/>
      <c r="H113" s="6"/>
      <c r="I113" s="2"/>
      <c r="J113" s="7">
        <f t="shared" si="66"/>
        <v>0</v>
      </c>
      <c r="K113" s="2"/>
      <c r="L113" s="6">
        <f t="shared" si="67"/>
        <v>0</v>
      </c>
      <c r="M113" s="2"/>
      <c r="N113" s="7">
        <f t="shared" si="68"/>
        <v>0</v>
      </c>
      <c r="O113" s="10"/>
      <c r="P113" s="6">
        <v>191.74</v>
      </c>
      <c r="Q113" s="2"/>
      <c r="R113" s="7">
        <f t="shared" si="69"/>
        <v>6.7039846052402332E-4</v>
      </c>
      <c r="S113" s="2"/>
      <c r="T113" s="6">
        <v>670.42</v>
      </c>
      <c r="U113" s="2"/>
      <c r="V113" s="7">
        <f t="shared" si="70"/>
        <v>1.5596934744711455E-3</v>
      </c>
      <c r="W113" s="2"/>
      <c r="X113" s="6">
        <f t="shared" si="71"/>
        <v>-478.67999999999995</v>
      </c>
      <c r="Y113" s="2"/>
      <c r="Z113" s="7">
        <f t="shared" si="72"/>
        <v>-0.71400017899227342</v>
      </c>
    </row>
    <row r="114" spans="1:26" s="23" customFormat="1" hidden="1" outlineLevel="2" x14ac:dyDescent="0.25">
      <c r="A114" s="27"/>
      <c r="B114" s="10" t="str">
        <f>CONCATENATE("          ", "6241", " - ", "OFFICE EXPENSE")</f>
        <v xml:space="preserve">          6241 - OFFICE EXPENSE</v>
      </c>
      <c r="C114" s="10"/>
      <c r="D114" s="6"/>
      <c r="E114" s="2"/>
      <c r="F114" s="7">
        <f t="shared" si="65"/>
        <v>0</v>
      </c>
      <c r="G114" s="2"/>
      <c r="H114" s="6"/>
      <c r="I114" s="2"/>
      <c r="J114" s="7">
        <f t="shared" si="66"/>
        <v>0</v>
      </c>
      <c r="K114" s="2"/>
      <c r="L114" s="6">
        <f t="shared" si="67"/>
        <v>0</v>
      </c>
      <c r="M114" s="2"/>
      <c r="N114" s="7">
        <f t="shared" si="68"/>
        <v>0</v>
      </c>
      <c r="O114" s="10"/>
      <c r="P114" s="6">
        <v>371.8</v>
      </c>
      <c r="Q114" s="2"/>
      <c r="R114" s="7">
        <f t="shared" si="69"/>
        <v>1.2999590467447162E-3</v>
      </c>
      <c r="S114" s="2"/>
      <c r="T114" s="6">
        <v>2338.41</v>
      </c>
      <c r="U114" s="2"/>
      <c r="V114" s="7">
        <f t="shared" si="70"/>
        <v>5.4401760353779294E-3</v>
      </c>
      <c r="W114" s="2"/>
      <c r="X114" s="6">
        <f t="shared" si="71"/>
        <v>-1966.61</v>
      </c>
      <c r="Y114" s="2"/>
      <c r="Z114" s="7">
        <f t="shared" si="72"/>
        <v>-0.8410030747388183</v>
      </c>
    </row>
    <row r="115" spans="1:26" s="23" customFormat="1" hidden="1" outlineLevel="2" x14ac:dyDescent="0.25">
      <c r="A115" s="27"/>
      <c r="B115" s="10" t="str">
        <f>CONCATENATE("          ", "6245", " - ", "PRINTING")</f>
        <v xml:space="preserve">          6245 - PRINTING</v>
      </c>
      <c r="C115" s="10"/>
      <c r="D115" s="6"/>
      <c r="E115" s="2"/>
      <c r="F115" s="7">
        <f t="shared" si="65"/>
        <v>0</v>
      </c>
      <c r="G115" s="2"/>
      <c r="H115" s="6"/>
      <c r="I115" s="2"/>
      <c r="J115" s="7">
        <f t="shared" si="66"/>
        <v>0</v>
      </c>
      <c r="K115" s="2"/>
      <c r="L115" s="6">
        <f t="shared" si="67"/>
        <v>0</v>
      </c>
      <c r="M115" s="2"/>
      <c r="N115" s="7">
        <f t="shared" si="68"/>
        <v>0</v>
      </c>
      <c r="O115" s="10"/>
      <c r="P115" s="6"/>
      <c r="Q115" s="2"/>
      <c r="R115" s="7">
        <f t="shared" si="69"/>
        <v>0</v>
      </c>
      <c r="S115" s="2"/>
      <c r="T115" s="6">
        <v>22.05</v>
      </c>
      <c r="U115" s="2"/>
      <c r="V115" s="7">
        <f t="shared" si="70"/>
        <v>5.1298053626217537E-5</v>
      </c>
      <c r="W115" s="2"/>
      <c r="X115" s="6">
        <f t="shared" si="71"/>
        <v>-22.05</v>
      </c>
      <c r="Y115" s="2"/>
      <c r="Z115" s="7">
        <f t="shared" si="72"/>
        <v>-1</v>
      </c>
    </row>
    <row r="116" spans="1:26" s="23" customFormat="1" hidden="1" outlineLevel="2" x14ac:dyDescent="0.25">
      <c r="A116" s="27"/>
      <c r="B116" s="10" t="str">
        <f>CONCATENATE("          ", "6247", " - ", "STORE SUPPLIES")</f>
        <v xml:space="preserve">          6247 - STORE SUPPLIES</v>
      </c>
      <c r="C116" s="10"/>
      <c r="D116" s="6"/>
      <c r="E116" s="2"/>
      <c r="F116" s="7">
        <f t="shared" si="65"/>
        <v>0</v>
      </c>
      <c r="G116" s="2"/>
      <c r="H116" s="6"/>
      <c r="I116" s="2"/>
      <c r="J116" s="7">
        <f t="shared" si="66"/>
        <v>0</v>
      </c>
      <c r="K116" s="2"/>
      <c r="L116" s="6">
        <f t="shared" si="67"/>
        <v>0</v>
      </c>
      <c r="M116" s="2"/>
      <c r="N116" s="7">
        <f t="shared" si="68"/>
        <v>0</v>
      </c>
      <c r="O116" s="10"/>
      <c r="P116" s="6"/>
      <c r="Q116" s="2"/>
      <c r="R116" s="7">
        <f t="shared" si="69"/>
        <v>0</v>
      </c>
      <c r="S116" s="2"/>
      <c r="T116" s="6">
        <v>476.32</v>
      </c>
      <c r="U116" s="2"/>
      <c r="V116" s="7">
        <f t="shared" si="70"/>
        <v>1.1081310160199517E-3</v>
      </c>
      <c r="W116" s="2"/>
      <c r="X116" s="6">
        <f t="shared" si="71"/>
        <v>-476.32</v>
      </c>
      <c r="Y116" s="2"/>
      <c r="Z116" s="7">
        <f t="shared" si="72"/>
        <v>-1</v>
      </c>
    </row>
    <row r="117" spans="1:26" s="26" customFormat="1" outlineLevel="1" collapsed="1" x14ac:dyDescent="0.25">
      <c r="A117" s="25"/>
      <c r="B117" s="12" t="str">
        <f>CONCATENATE("     ","Telephone/Data Lines                              ")</f>
        <v xml:space="preserve">     Telephone/Data Lines                              </v>
      </c>
      <c r="C117" s="12"/>
      <c r="D117" s="1">
        <f>SUM(OSRRefD22_16x_0)</f>
        <v>307.14999999999998</v>
      </c>
      <c r="E117" s="1"/>
      <c r="F117" s="5">
        <f t="shared" ref="F117:F124" si="73">IF(D$12=0,0,D117/D$12)</f>
        <v>8.8505188712137851E-3</v>
      </c>
      <c r="G117" s="1"/>
      <c r="H117" s="1">
        <f>SUM(OSRRefH22_16x_0)</f>
        <v>295.22000000000003</v>
      </c>
      <c r="I117" s="1"/>
      <c r="J117" s="5">
        <f t="shared" ref="J117:J124" si="74">IF(H$12=0,0,H117/H$12)</f>
        <v>0</v>
      </c>
      <c r="K117" s="1"/>
      <c r="L117" s="1">
        <f t="shared" ref="L117:L124" si="75">+D117-H117</f>
        <v>11.92999999999995</v>
      </c>
      <c r="M117" s="1"/>
      <c r="N117" s="5">
        <f t="shared" ref="N117:N124" si="76">IF(H117=0,0,L117/H117)</f>
        <v>4.0410541291240255E-2</v>
      </c>
      <c r="O117" s="12"/>
      <c r="P117" s="1">
        <f>SUM(OSRRefP22_16x_0)</f>
        <v>3098.09</v>
      </c>
      <c r="Q117" s="1"/>
      <c r="R117" s="5">
        <f t="shared" ref="R117:R124" si="77">IF(P$12=0,0,P117/P$12)</f>
        <v>1.0832141267157981E-2</v>
      </c>
      <c r="S117" s="1"/>
      <c r="T117" s="1">
        <f>SUM(OSRRefT22_16x_0)</f>
        <v>2918.39</v>
      </c>
      <c r="U117" s="1"/>
      <c r="V117" s="5">
        <f t="shared" ref="V117:V124" si="78">IF(T$12=0,0,T117/T$12)</f>
        <v>6.7894660644996366E-3</v>
      </c>
      <c r="W117" s="1"/>
      <c r="X117" s="1">
        <f t="shared" ref="X117:X124" si="79">+P117-T117</f>
        <v>179.70000000000027</v>
      </c>
      <c r="Y117" s="1"/>
      <c r="Z117" s="5">
        <f t="shared" ref="Z117:Z124" si="80">IF(T117=0,0,X117/T117)</f>
        <v>6.1575046515373301E-2</v>
      </c>
    </row>
    <row r="118" spans="1:26" s="23" customFormat="1" hidden="1" outlineLevel="2" x14ac:dyDescent="0.25">
      <c r="A118" s="27"/>
      <c r="B118" s="10" t="str">
        <f>CONCATENATE("          ", "6309", " - ", "TELEPHONE")</f>
        <v xml:space="preserve">          6309 - TELEPHONE</v>
      </c>
      <c r="C118" s="10"/>
      <c r="D118" s="6">
        <v>307.14999999999998</v>
      </c>
      <c r="E118" s="2"/>
      <c r="F118" s="7">
        <f t="shared" si="73"/>
        <v>8.8505188712137851E-3</v>
      </c>
      <c r="G118" s="2"/>
      <c r="H118" s="6">
        <v>295.22000000000003</v>
      </c>
      <c r="I118" s="2"/>
      <c r="J118" s="7">
        <f t="shared" si="74"/>
        <v>0</v>
      </c>
      <c r="K118" s="2"/>
      <c r="L118" s="6">
        <f t="shared" si="75"/>
        <v>11.92999999999995</v>
      </c>
      <c r="M118" s="2"/>
      <c r="N118" s="7">
        <f t="shared" si="76"/>
        <v>4.0410541291240255E-2</v>
      </c>
      <c r="O118" s="10"/>
      <c r="P118" s="6">
        <v>3098.09</v>
      </c>
      <c r="Q118" s="2"/>
      <c r="R118" s="7">
        <f t="shared" si="77"/>
        <v>1.0832141267157981E-2</v>
      </c>
      <c r="S118" s="2"/>
      <c r="T118" s="6">
        <v>2918.39</v>
      </c>
      <c r="U118" s="2"/>
      <c r="V118" s="7">
        <f t="shared" si="78"/>
        <v>6.7894660644996366E-3</v>
      </c>
      <c r="W118" s="2"/>
      <c r="X118" s="6">
        <f t="shared" si="79"/>
        <v>179.70000000000027</v>
      </c>
      <c r="Y118" s="2"/>
      <c r="Z118" s="7">
        <f t="shared" si="80"/>
        <v>6.1575046515373301E-2</v>
      </c>
    </row>
    <row r="119" spans="1:26" s="26" customFormat="1" outlineLevel="1" collapsed="1" x14ac:dyDescent="0.25">
      <c r="A119" s="25"/>
      <c r="B119" s="12" t="str">
        <f>CONCATENATE("     ","Training                                          ")</f>
        <v xml:space="preserve">     Training                                          </v>
      </c>
      <c r="C119" s="12"/>
      <c r="D119" s="1">
        <f>SUM(OSRRefD22_17x_0)</f>
        <v>0</v>
      </c>
      <c r="E119" s="1"/>
      <c r="F119" s="5">
        <f t="shared" si="73"/>
        <v>0</v>
      </c>
      <c r="G119" s="1"/>
      <c r="H119" s="1">
        <f>SUM(OSRRefH22_17x_0)</f>
        <v>0</v>
      </c>
      <c r="I119" s="1"/>
      <c r="J119" s="5">
        <f t="shared" si="74"/>
        <v>0</v>
      </c>
      <c r="K119" s="1"/>
      <c r="L119" s="1">
        <f t="shared" si="75"/>
        <v>0</v>
      </c>
      <c r="M119" s="1"/>
      <c r="N119" s="5">
        <f t="shared" si="76"/>
        <v>0</v>
      </c>
      <c r="O119" s="12"/>
      <c r="P119" s="1">
        <f>SUM(OSRRefP22_17x_0)</f>
        <v>0</v>
      </c>
      <c r="Q119" s="1"/>
      <c r="R119" s="5">
        <f t="shared" si="77"/>
        <v>0</v>
      </c>
      <c r="S119" s="1"/>
      <c r="T119" s="1">
        <f>SUM(OSRRefT22_17x_0)</f>
        <v>1613.4</v>
      </c>
      <c r="U119" s="1"/>
      <c r="V119" s="5">
        <f t="shared" si="78"/>
        <v>3.7534820734938493E-3</v>
      </c>
      <c r="W119" s="1"/>
      <c r="X119" s="1">
        <f t="shared" si="79"/>
        <v>-1613.4</v>
      </c>
      <c r="Y119" s="1"/>
      <c r="Z119" s="5">
        <f t="shared" si="80"/>
        <v>-1</v>
      </c>
    </row>
    <row r="120" spans="1:26" s="23" customFormat="1" hidden="1" outlineLevel="2" x14ac:dyDescent="0.25">
      <c r="A120" s="27"/>
      <c r="B120" s="10" t="str">
        <f>CONCATENATE("          ", "6376", " - ", "TRAINING")</f>
        <v xml:space="preserve">          6376 - TRAINING</v>
      </c>
      <c r="C120" s="10"/>
      <c r="D120" s="6"/>
      <c r="E120" s="2"/>
      <c r="F120" s="7">
        <f t="shared" si="73"/>
        <v>0</v>
      </c>
      <c r="G120" s="2"/>
      <c r="H120" s="6"/>
      <c r="I120" s="2"/>
      <c r="J120" s="7">
        <f t="shared" si="74"/>
        <v>0</v>
      </c>
      <c r="K120" s="2"/>
      <c r="L120" s="6">
        <f t="shared" si="75"/>
        <v>0</v>
      </c>
      <c r="M120" s="2"/>
      <c r="N120" s="7">
        <f t="shared" si="76"/>
        <v>0</v>
      </c>
      <c r="O120" s="10"/>
      <c r="P120" s="6"/>
      <c r="Q120" s="2"/>
      <c r="R120" s="7">
        <f t="shared" si="77"/>
        <v>0</v>
      </c>
      <c r="S120" s="2"/>
      <c r="T120" s="6">
        <v>1613.4</v>
      </c>
      <c r="U120" s="2"/>
      <c r="V120" s="7">
        <f t="shared" si="78"/>
        <v>3.7534820734938493E-3</v>
      </c>
      <c r="W120" s="2"/>
      <c r="X120" s="6">
        <f t="shared" si="79"/>
        <v>-1613.4</v>
      </c>
      <c r="Y120" s="2"/>
      <c r="Z120" s="7">
        <f t="shared" si="80"/>
        <v>-1</v>
      </c>
    </row>
    <row r="121" spans="1:26" s="26" customFormat="1" outlineLevel="1" collapsed="1" x14ac:dyDescent="0.25">
      <c r="A121" s="25"/>
      <c r="B121" s="12" t="str">
        <f>CONCATENATE("     ","Travel                                            ")</f>
        <v xml:space="preserve">     Travel                                            </v>
      </c>
      <c r="C121" s="12"/>
      <c r="D121" s="1">
        <f>SUM(OSRRefD22_18x_0)</f>
        <v>0</v>
      </c>
      <c r="E121" s="1"/>
      <c r="F121" s="5">
        <f t="shared" si="73"/>
        <v>0</v>
      </c>
      <c r="G121" s="1"/>
      <c r="H121" s="1">
        <f>SUM(OSRRefH22_18x_0)</f>
        <v>0</v>
      </c>
      <c r="I121" s="1"/>
      <c r="J121" s="5">
        <f t="shared" si="74"/>
        <v>0</v>
      </c>
      <c r="K121" s="1"/>
      <c r="L121" s="1">
        <f t="shared" si="75"/>
        <v>0</v>
      </c>
      <c r="M121" s="1"/>
      <c r="N121" s="5">
        <f t="shared" si="76"/>
        <v>0</v>
      </c>
      <c r="O121" s="12"/>
      <c r="P121" s="1">
        <f>SUM(OSRRefP22_18x_0)</f>
        <v>499.53</v>
      </c>
      <c r="Q121" s="1"/>
      <c r="R121" s="5">
        <f t="shared" si="77"/>
        <v>1.7465533690704358E-3</v>
      </c>
      <c r="S121" s="1"/>
      <c r="T121" s="1">
        <f>SUM(OSRRefT22_18x_0)</f>
        <v>712.14</v>
      </c>
      <c r="U121" s="1"/>
      <c r="V121" s="5">
        <f t="shared" si="78"/>
        <v>1.656752648951227E-3</v>
      </c>
      <c r="W121" s="1"/>
      <c r="X121" s="1">
        <f t="shared" si="79"/>
        <v>-212.61</v>
      </c>
      <c r="Y121" s="1"/>
      <c r="Z121" s="5">
        <f t="shared" si="80"/>
        <v>-0.29855084674361787</v>
      </c>
    </row>
    <row r="122" spans="1:26" s="23" customFormat="1" hidden="1" outlineLevel="2" x14ac:dyDescent="0.25">
      <c r="A122" s="27"/>
      <c r="B122" s="10" t="str">
        <f>CONCATENATE("          ", "6294", " - ", "TRAVEL OPERATIONAL")</f>
        <v xml:space="preserve">          6294 - TRAVEL OPERATIONAL</v>
      </c>
      <c r="C122" s="10"/>
      <c r="D122" s="6"/>
      <c r="E122" s="2"/>
      <c r="F122" s="7">
        <f t="shared" si="73"/>
        <v>0</v>
      </c>
      <c r="G122" s="2"/>
      <c r="H122" s="6"/>
      <c r="I122" s="2"/>
      <c r="J122" s="7">
        <f t="shared" si="74"/>
        <v>0</v>
      </c>
      <c r="K122" s="2"/>
      <c r="L122" s="6">
        <f t="shared" si="75"/>
        <v>0</v>
      </c>
      <c r="M122" s="2"/>
      <c r="N122" s="7">
        <f t="shared" si="76"/>
        <v>0</v>
      </c>
      <c r="O122" s="10"/>
      <c r="P122" s="6">
        <v>499.53</v>
      </c>
      <c r="Q122" s="2"/>
      <c r="R122" s="7">
        <f t="shared" si="77"/>
        <v>1.7465533690704358E-3</v>
      </c>
      <c r="S122" s="2"/>
      <c r="T122" s="6">
        <v>712.14</v>
      </c>
      <c r="U122" s="2"/>
      <c r="V122" s="7">
        <f t="shared" si="78"/>
        <v>1.656752648951227E-3</v>
      </c>
      <c r="W122" s="2"/>
      <c r="X122" s="6">
        <f t="shared" si="79"/>
        <v>-212.61</v>
      </c>
      <c r="Y122" s="2"/>
      <c r="Z122" s="7">
        <f t="shared" si="80"/>
        <v>-0.29855084674361787</v>
      </c>
    </row>
    <row r="123" spans="1:26" s="26" customFormat="1" outlineLevel="1" collapsed="1" x14ac:dyDescent="0.25">
      <c r="A123" s="25"/>
      <c r="B123" s="12" t="str">
        <f>CONCATENATE("     ","Utilities                                         ")</f>
        <v xml:space="preserve">     Utilities                                         </v>
      </c>
      <c r="C123" s="12"/>
      <c r="D123" s="1">
        <f>SUM(OSRRefD22_19x_0)</f>
        <v>29.9</v>
      </c>
      <c r="E123" s="1"/>
      <c r="F123" s="5">
        <f t="shared" si="73"/>
        <v>8.6156768435387331E-4</v>
      </c>
      <c r="G123" s="1"/>
      <c r="H123" s="1">
        <f>SUM(OSRRefH22_19x_0)</f>
        <v>26.43</v>
      </c>
      <c r="I123" s="1"/>
      <c r="J123" s="5">
        <f t="shared" si="74"/>
        <v>0</v>
      </c>
      <c r="K123" s="1"/>
      <c r="L123" s="1">
        <f t="shared" si="75"/>
        <v>3.4699999999999989</v>
      </c>
      <c r="M123" s="1"/>
      <c r="N123" s="5">
        <f t="shared" si="76"/>
        <v>0.13129020052970106</v>
      </c>
      <c r="O123" s="12"/>
      <c r="P123" s="1">
        <f>SUM(OSRRefP22_19x_0)</f>
        <v>294.43</v>
      </c>
      <c r="Q123" s="1"/>
      <c r="R123" s="5">
        <f t="shared" si="77"/>
        <v>1.0294430934186304E-3</v>
      </c>
      <c r="S123" s="1"/>
      <c r="T123" s="1">
        <f>SUM(OSRRefT22_19x_0)</f>
        <v>2959.78</v>
      </c>
      <c r="U123" s="1"/>
      <c r="V123" s="5">
        <f t="shared" si="78"/>
        <v>6.8857575130070814E-3</v>
      </c>
      <c r="W123" s="1"/>
      <c r="X123" s="1">
        <f t="shared" si="79"/>
        <v>-2665.3500000000004</v>
      </c>
      <c r="Y123" s="1"/>
      <c r="Z123" s="5">
        <f t="shared" si="80"/>
        <v>-0.90052301184547512</v>
      </c>
    </row>
    <row r="124" spans="1:26" s="23" customFormat="1" hidden="1" outlineLevel="2" x14ac:dyDescent="0.25">
      <c r="A124" s="27"/>
      <c r="B124" s="10" t="str">
        <f>CONCATENATE("          ", "6274", " - ", "UTILITIES")</f>
        <v xml:space="preserve">          6274 - UTILITIES</v>
      </c>
      <c r="C124" s="10"/>
      <c r="D124" s="6">
        <v>29.9</v>
      </c>
      <c r="E124" s="2"/>
      <c r="F124" s="7">
        <f t="shared" si="73"/>
        <v>8.6156768435387331E-4</v>
      </c>
      <c r="G124" s="2"/>
      <c r="H124" s="6">
        <v>26.43</v>
      </c>
      <c r="I124" s="2"/>
      <c r="J124" s="7">
        <f t="shared" si="74"/>
        <v>0</v>
      </c>
      <c r="K124" s="2"/>
      <c r="L124" s="6">
        <f t="shared" si="75"/>
        <v>3.4699999999999989</v>
      </c>
      <c r="M124" s="2"/>
      <c r="N124" s="7">
        <f t="shared" si="76"/>
        <v>0.13129020052970106</v>
      </c>
      <c r="O124" s="10"/>
      <c r="P124" s="6">
        <v>294.43</v>
      </c>
      <c r="Q124" s="2"/>
      <c r="R124" s="7">
        <f t="shared" si="77"/>
        <v>1.0294430934186304E-3</v>
      </c>
      <c r="S124" s="2"/>
      <c r="T124" s="6">
        <v>2959.78</v>
      </c>
      <c r="U124" s="2"/>
      <c r="V124" s="7">
        <f t="shared" si="78"/>
        <v>6.8857575130070814E-3</v>
      </c>
      <c r="W124" s="2"/>
      <c r="X124" s="6">
        <f t="shared" si="79"/>
        <v>-2665.3500000000004</v>
      </c>
      <c r="Y124" s="2"/>
      <c r="Z124" s="7">
        <f t="shared" si="80"/>
        <v>-0.90052301184547512</v>
      </c>
    </row>
    <row r="125" spans="1:26" s="57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4" customFormat="1" x14ac:dyDescent="0.25">
      <c r="A126" s="11"/>
      <c r="B126" s="29" t="s">
        <v>292</v>
      </c>
      <c r="C126" s="11"/>
      <c r="D126" s="4">
        <f>SUM(0)</f>
        <v>0</v>
      </c>
      <c r="E126" s="4"/>
      <c r="F126" s="13">
        <f>IF(D$12=0,0,D126/D$12)</f>
        <v>0</v>
      </c>
      <c r="G126" s="4"/>
      <c r="H126" s="4">
        <f>SUM(0)</f>
        <v>0</v>
      </c>
      <c r="I126" s="4"/>
      <c r="J126" s="13">
        <f>IF(H$12=0,0,H126/H$12)</f>
        <v>0</v>
      </c>
      <c r="K126" s="4"/>
      <c r="L126" s="4">
        <f>+D126-H126</f>
        <v>0</v>
      </c>
      <c r="M126" s="4"/>
      <c r="N126" s="13">
        <f>IF(H126=0,0,L126/H126)</f>
        <v>0</v>
      </c>
      <c r="O126" s="11"/>
      <c r="P126" s="4">
        <f>SUM(0)</f>
        <v>0</v>
      </c>
      <c r="Q126" s="4"/>
      <c r="R126" s="13">
        <f>IF(P$12=0,0,P126/P$12)</f>
        <v>0</v>
      </c>
      <c r="S126" s="4"/>
      <c r="T126" s="4">
        <f>SUM(0)</f>
        <v>0</v>
      </c>
      <c r="U126" s="4"/>
      <c r="V126" s="13">
        <f>IF(T$12=0,0,T126/T$12)</f>
        <v>0</v>
      </c>
      <c r="W126" s="4"/>
      <c r="X126" s="4">
        <f>+P126-T126</f>
        <v>0</v>
      </c>
      <c r="Y126" s="4"/>
      <c r="Z126" s="13">
        <f>IF(T126=0,0,X126/T126)</f>
        <v>0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x14ac:dyDescent="0.25">
      <c r="A128" s="11"/>
      <c r="B128" s="28" t="s">
        <v>276</v>
      </c>
      <c r="C128" s="28"/>
      <c r="D128" s="20">
        <f>+D59-D61+D126</f>
        <v>-4884.8400000000074</v>
      </c>
      <c r="E128" s="14"/>
      <c r="F128" s="21">
        <f>IF(D$12=0,0,D128/D$12)</f>
        <v>-0.14075653134579202</v>
      </c>
      <c r="G128" s="14"/>
      <c r="H128" s="20">
        <f>+H59-H61+H126</f>
        <v>-19292.099999999995</v>
      </c>
      <c r="I128" s="14"/>
      <c r="J128" s="21">
        <f>IF(H$12=0,0,H128/H$12)</f>
        <v>0</v>
      </c>
      <c r="K128" s="15"/>
      <c r="L128" s="20">
        <f>+D128-H128</f>
        <v>14407.259999999987</v>
      </c>
      <c r="M128" s="15"/>
      <c r="N128" s="21">
        <f>IF(H128=0,0,L128/H128)</f>
        <v>-0.74679583871118183</v>
      </c>
      <c r="O128" s="29"/>
      <c r="P128" s="20">
        <f>+P59-P61+P126</f>
        <v>-81260.520000000019</v>
      </c>
      <c r="Q128" s="14"/>
      <c r="R128" s="21">
        <f>IF(P$12=0,0,P128/P$12)</f>
        <v>-0.28411874157391059</v>
      </c>
      <c r="S128" s="14"/>
      <c r="T128" s="20">
        <f>+T59-T61+T126</f>
        <v>-73490.920000000129</v>
      </c>
      <c r="U128" s="14"/>
      <c r="V128" s="21">
        <f>IF(T$12=0,0,T128/T$12)</f>
        <v>-0.17097238799093287</v>
      </c>
      <c r="W128" s="15"/>
      <c r="X128" s="20">
        <f>+P128-T128</f>
        <v>-7769.5999999998894</v>
      </c>
      <c r="Y128" s="15"/>
      <c r="Z128" s="21">
        <f>IF(T128=0,0,X128/T128)</f>
        <v>0.10572190414815702</v>
      </c>
    </row>
    <row r="129" spans="1:26" x14ac:dyDescent="0.25">
      <c r="A129" s="9"/>
      <c r="B129" s="11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x14ac:dyDescent="0.25">
      <c r="A130" s="51"/>
      <c r="B130" s="11" t="s">
        <v>127</v>
      </c>
      <c r="C130" s="11"/>
      <c r="D130" s="4">
        <v>8543.42</v>
      </c>
      <c r="E130" s="4"/>
      <c r="F130" s="13">
        <f>IF(D$12=0,0,D130/D$12)</f>
        <v>0.2461784142428953</v>
      </c>
      <c r="G130" s="4"/>
      <c r="H130" s="4">
        <v>2096.65</v>
      </c>
      <c r="I130" s="4"/>
      <c r="J130" s="13">
        <f>IF(H$12=0,0,H130/H$12)</f>
        <v>0</v>
      </c>
      <c r="K130" s="4"/>
      <c r="L130" s="4">
        <f>+D130-H130</f>
        <v>6446.77</v>
      </c>
      <c r="M130" s="4"/>
      <c r="N130" s="13">
        <f>IF(H130=0,0,L130/H130)</f>
        <v>3.0747955071184987</v>
      </c>
      <c r="O130" s="11"/>
      <c r="P130" s="4">
        <v>61117.41</v>
      </c>
      <c r="Q130" s="4"/>
      <c r="R130" s="13">
        <f>IF(P$12=0,0,P130/P$12)</f>
        <v>0.21369050576413659</v>
      </c>
      <c r="S130" s="4"/>
      <c r="T130" s="4">
        <v>50902</v>
      </c>
      <c r="U130" s="4"/>
      <c r="V130" s="13">
        <f>IF(T$12=0,0,T130/T$12)</f>
        <v>0.11842056805812812</v>
      </c>
      <c r="W130" s="4"/>
      <c r="X130" s="4">
        <f>+P130-T130</f>
        <v>10215.410000000003</v>
      </c>
      <c r="Y130" s="4"/>
      <c r="Z130" s="13">
        <f>IF(T130=0,0,X130/T130)</f>
        <v>0.20068779222820329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ht="15.75" thickBot="1" x14ac:dyDescent="0.3">
      <c r="A132" s="11"/>
      <c r="B132" s="28" t="s">
        <v>125</v>
      </c>
      <c r="C132" s="28"/>
      <c r="D132" s="35">
        <f>+D128-D130</f>
        <v>-13428.260000000007</v>
      </c>
      <c r="E132" s="14"/>
      <c r="F132" s="36">
        <f>IF(D$12=0,0,D132/D$12)</f>
        <v>-0.3869349455886873</v>
      </c>
      <c r="G132" s="14"/>
      <c r="H132" s="35">
        <f>+H128-H130</f>
        <v>-21388.749999999996</v>
      </c>
      <c r="I132" s="14"/>
      <c r="J132" s="36">
        <f>IF(H$12=0,0,H132/H$12)</f>
        <v>0</v>
      </c>
      <c r="K132" s="15"/>
      <c r="L132" s="35">
        <f>D132-H132</f>
        <v>7960.4899999999889</v>
      </c>
      <c r="M132" s="15"/>
      <c r="N132" s="36">
        <f>IF(H132=0,0,L132/H132)</f>
        <v>-0.37218117000759698</v>
      </c>
      <c r="O132" s="29"/>
      <c r="P132" s="35">
        <f>+P128-P130</f>
        <v>-142377.93000000002</v>
      </c>
      <c r="Q132" s="14"/>
      <c r="R132" s="36">
        <f>IF(P$12=0,0,P132/P$12)</f>
        <v>-0.49780924733804721</v>
      </c>
      <c r="S132" s="14"/>
      <c r="T132" s="35">
        <f>+T128-T130</f>
        <v>-124392.92000000013</v>
      </c>
      <c r="U132" s="14"/>
      <c r="V132" s="36">
        <f>IF(T$12=0,0,T132/T$12)</f>
        <v>-0.28939295604906096</v>
      </c>
      <c r="W132" s="15"/>
      <c r="X132" s="35">
        <f>P132-T132</f>
        <v>-17985.009999999893</v>
      </c>
      <c r="Y132" s="15"/>
      <c r="Z132" s="36">
        <f>IF(T132=0,0,X132/T132)</f>
        <v>0.14458226400666432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ht="15.75" thickBot="1" x14ac:dyDescent="0.3">
      <c r="A135" s="11"/>
      <c r="B135" s="28" t="s">
        <v>293</v>
      </c>
      <c r="C135" s="28"/>
      <c r="D135" s="30">
        <f>SUM(D132:D134)</f>
        <v>-13428.260000000007</v>
      </c>
      <c r="E135" s="14"/>
      <c r="F135" s="31">
        <f>IF(D$12=0,0,D135/D$12)</f>
        <v>-0.3869349455886873</v>
      </c>
      <c r="G135" s="14"/>
      <c r="H135" s="30">
        <f>SUM(H132:H134)</f>
        <v>-21388.749999999996</v>
      </c>
      <c r="I135" s="14"/>
      <c r="J135" s="31">
        <f>IF(H$12=0,0,H135/H$12)</f>
        <v>0</v>
      </c>
      <c r="K135" s="15"/>
      <c r="L135" s="30">
        <f>+D135-H135</f>
        <v>7960.4899999999889</v>
      </c>
      <c r="M135" s="15"/>
      <c r="N135" s="31">
        <f>IF(H135=0,0,L135/H135)</f>
        <v>-0.37218117000759698</v>
      </c>
      <c r="O135" s="29"/>
      <c r="P135" s="30">
        <f>SUM(P132:P134)</f>
        <v>-142377.93000000002</v>
      </c>
      <c r="Q135" s="14"/>
      <c r="R135" s="31">
        <f>IF(P$12=0,0,P135/P$12)</f>
        <v>-0.49780924733804721</v>
      </c>
      <c r="S135" s="14"/>
      <c r="T135" s="30">
        <f>SUM(T132:T134)</f>
        <v>-124392.92000000013</v>
      </c>
      <c r="U135" s="14"/>
      <c r="V135" s="31">
        <f>IF(T$12=0,0,T135/T$12)</f>
        <v>-0.28939295604906096</v>
      </c>
      <c r="W135" s="15"/>
      <c r="X135" s="30">
        <f>+P135-T135</f>
        <v>-17985.009999999893</v>
      </c>
      <c r="Y135" s="15"/>
      <c r="Z135" s="31">
        <f>IF(T135=0,0,X135/T135)</f>
        <v>0.14458226400666432</v>
      </c>
    </row>
    <row r="136" spans="1:26" ht="15.75" thickTop="1" x14ac:dyDescent="0.25">
      <c r="A136" s="9"/>
      <c r="C136" s="9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9">
        <v>44356.893348032405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2" t="s">
        <v>56</v>
      </c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4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12105.54</v>
      </c>
      <c r="E12" s="4"/>
      <c r="F12" s="13"/>
      <c r="G12" s="4"/>
      <c r="H12" s="4">
        <f>SUM(OSRRefH13x_0)</f>
        <v>22240.239999999998</v>
      </c>
      <c r="I12" s="4"/>
      <c r="J12" s="13"/>
      <c r="K12" s="4"/>
      <c r="L12" s="4">
        <f t="shared" ref="L12:L15" si="0">+D12-H12</f>
        <v>-10134.699999999997</v>
      </c>
      <c r="M12" s="4"/>
      <c r="N12" s="13">
        <f t="shared" ref="N12:N15" si="1">IF(H12=0,0,L12/H12)</f>
        <v>-0.45569202490620597</v>
      </c>
      <c r="O12" s="11"/>
      <c r="P12" s="4">
        <f>SUM(OSRRefP13x_0)</f>
        <v>777185.35</v>
      </c>
      <c r="Q12" s="4"/>
      <c r="R12" s="13"/>
      <c r="S12" s="4"/>
      <c r="T12" s="4">
        <f>SUM(OSRRefT13x_0)</f>
        <v>1597839.76</v>
      </c>
      <c r="U12" s="4"/>
      <c r="V12" s="13"/>
      <c r="W12" s="4"/>
      <c r="X12" s="4">
        <f t="shared" ref="X12:X15" si="2">+P12-T12</f>
        <v>-820654.41</v>
      </c>
      <c r="Y12" s="4"/>
      <c r="Z12" s="13">
        <f t="shared" ref="Z12:Z15" si="3">IF(T12=0,0,X12/T12)</f>
        <v>-0.51360244659326793</v>
      </c>
    </row>
    <row r="13" spans="1:26" s="23" customFormat="1" hidden="1" outlineLevel="1" x14ac:dyDescent="0.25">
      <c r="A13" s="44"/>
      <c r="B13" s="10" t="str">
        <f>CONCATENATE("          ", "4001", " - ", "TAXABLE SALES-NEW TEXT")</f>
        <v xml:space="preserve">          4001 - TAXABLE SALES-NEW TEXT</v>
      </c>
      <c r="C13" s="10"/>
      <c r="D13" s="2">
        <f>--5841.29</f>
        <v>5841.29</v>
      </c>
      <c r="E13" s="2"/>
      <c r="F13" s="19"/>
      <c r="G13" s="2"/>
      <c r="H13" s="2">
        <f>--12829.74</f>
        <v>12829.74</v>
      </c>
      <c r="I13" s="2"/>
      <c r="J13" s="19"/>
      <c r="K13" s="2"/>
      <c r="L13" s="2">
        <f t="shared" si="0"/>
        <v>-6988.45</v>
      </c>
      <c r="M13" s="2"/>
      <c r="N13" s="19">
        <f t="shared" si="1"/>
        <v>-0.54470706343230646</v>
      </c>
      <c r="O13" s="10"/>
      <c r="P13" s="2">
        <f>--269846.67</f>
        <v>269846.67</v>
      </c>
      <c r="Q13" s="2"/>
      <c r="R13" s="19"/>
      <c r="S13" s="2"/>
      <c r="T13" s="2">
        <f>--421229.85</f>
        <v>421229.85</v>
      </c>
      <c r="U13" s="2"/>
      <c r="V13" s="19"/>
      <c r="W13" s="2"/>
      <c r="X13" s="2">
        <f t="shared" si="2"/>
        <v>-151383.18</v>
      </c>
      <c r="Y13" s="2"/>
      <c r="Z13" s="19">
        <f t="shared" si="3"/>
        <v>-0.35938379010889188</v>
      </c>
    </row>
    <row r="14" spans="1:26" s="23" customFormat="1" hidden="1" outlineLevel="1" x14ac:dyDescent="0.25">
      <c r="A14" s="44"/>
      <c r="B14" s="10" t="str">
        <f>CONCATENATE("          ", "4002", " - ", "TAXABLE SALES-USED TEXT")</f>
        <v xml:space="preserve">          4002 - TAXABLE SALES-USED TEXT</v>
      </c>
      <c r="C14" s="10"/>
      <c r="D14" s="2">
        <f>--2718.04</f>
        <v>2718.04</v>
      </c>
      <c r="E14" s="2"/>
      <c r="F14" s="19"/>
      <c r="G14" s="2"/>
      <c r="H14" s="2">
        <f>--4199.95</f>
        <v>4199.95</v>
      </c>
      <c r="I14" s="2"/>
      <c r="J14" s="19"/>
      <c r="K14" s="2"/>
      <c r="L14" s="2">
        <f t="shared" si="0"/>
        <v>-1481.9099999999999</v>
      </c>
      <c r="M14" s="2"/>
      <c r="N14" s="19">
        <f t="shared" si="1"/>
        <v>-0.35283991476088999</v>
      </c>
      <c r="O14" s="10"/>
      <c r="P14" s="2">
        <f>--229953.7</f>
        <v>229953.7</v>
      </c>
      <c r="Q14" s="2"/>
      <c r="R14" s="19"/>
      <c r="S14" s="2"/>
      <c r="T14" s="2">
        <f>--569162.89</f>
        <v>569162.89</v>
      </c>
      <c r="U14" s="2"/>
      <c r="V14" s="19"/>
      <c r="W14" s="2"/>
      <c r="X14" s="2">
        <f t="shared" si="2"/>
        <v>-339209.19</v>
      </c>
      <c r="Y14" s="2"/>
      <c r="Z14" s="19">
        <f t="shared" si="3"/>
        <v>-0.59597910538404919</v>
      </c>
    </row>
    <row r="15" spans="1:26" s="23" customFormat="1" hidden="1" outlineLevel="1" x14ac:dyDescent="0.25">
      <c r="A15" s="44"/>
      <c r="B15" s="10" t="str">
        <f>CONCATENATE("          ", "4100", " - ", "NON-TAXABLE SALES")</f>
        <v xml:space="preserve">          4100 - NON-TAXABLE SALES</v>
      </c>
      <c r="C15" s="10"/>
      <c r="D15" s="2">
        <f>--3546.21</f>
        <v>3546.21</v>
      </c>
      <c r="E15" s="2"/>
      <c r="F15" s="19"/>
      <c r="G15" s="2"/>
      <c r="H15" s="2">
        <f>--5210.55</f>
        <v>5210.55</v>
      </c>
      <c r="I15" s="2"/>
      <c r="J15" s="19"/>
      <c r="K15" s="2"/>
      <c r="L15" s="2">
        <f t="shared" si="0"/>
        <v>-1664.3400000000001</v>
      </c>
      <c r="M15" s="2"/>
      <c r="N15" s="19">
        <f t="shared" si="1"/>
        <v>-0.31941733598180616</v>
      </c>
      <c r="O15" s="10"/>
      <c r="P15" s="2">
        <f>--277384.98</f>
        <v>277384.98</v>
      </c>
      <c r="Q15" s="2"/>
      <c r="R15" s="19"/>
      <c r="S15" s="2"/>
      <c r="T15" s="2">
        <f>--607447.02</f>
        <v>607447.02</v>
      </c>
      <c r="U15" s="2"/>
      <c r="V15" s="19"/>
      <c r="W15" s="2"/>
      <c r="X15" s="2">
        <f t="shared" si="2"/>
        <v>-330062.04000000004</v>
      </c>
      <c r="Y15" s="2"/>
      <c r="Z15" s="19">
        <f t="shared" si="3"/>
        <v>-0.54335938630499825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7358.5399999999991</v>
      </c>
      <c r="E17" s="4"/>
      <c r="F17" s="13">
        <f t="shared" ref="F17:F19" si="4">IF(D$12=0,0,D17/D$12)</f>
        <v>0.60786548968488796</v>
      </c>
      <c r="G17" s="4"/>
      <c r="H17" s="4">
        <f>SUM(OSRRefH16x_0)</f>
        <v>8022.05</v>
      </c>
      <c r="I17" s="4"/>
      <c r="J17" s="13">
        <f t="shared" ref="J17:J19" si="5">IF(H$12=0,0,H17/H$12)</f>
        <v>0.36069979460653306</v>
      </c>
      <c r="K17" s="4"/>
      <c r="L17" s="4">
        <f t="shared" ref="L17:L19" si="6">+D17-H17</f>
        <v>-663.51000000000113</v>
      </c>
      <c r="M17" s="4"/>
      <c r="N17" s="13">
        <f t="shared" ref="N17:N19" si="7">IF(H17=0,0,L17/H17)</f>
        <v>-8.2710778416988318E-2</v>
      </c>
      <c r="O17" s="11"/>
      <c r="P17" s="4">
        <f>SUM(OSRRefP16x_0)</f>
        <v>550555.76</v>
      </c>
      <c r="Q17" s="4"/>
      <c r="R17" s="13">
        <f t="shared" ref="R17:R19" si="8">IF(P$12=0,0,P17/P$12)</f>
        <v>0.70839698663903017</v>
      </c>
      <c r="S17" s="4"/>
      <c r="T17" s="4">
        <f>SUM(OSRRefT16x_0)</f>
        <v>1174500.6200000001</v>
      </c>
      <c r="U17" s="4"/>
      <c r="V17" s="13">
        <f t="shared" ref="V17:V19" si="9">IF(T$12=0,0,T17/T$12)</f>
        <v>0.73505532244359728</v>
      </c>
      <c r="W17" s="4"/>
      <c r="X17" s="4">
        <f t="shared" ref="X17:X19" si="10">+P17-T17</f>
        <v>-623944.8600000001</v>
      </c>
      <c r="Y17" s="4"/>
      <c r="Z17" s="13">
        <f t="shared" ref="Z17:Z19" si="11">IF(T17=0,0,X17/T17)</f>
        <v>-0.53124268252834128</v>
      </c>
    </row>
    <row r="18" spans="1:26" s="23" customFormat="1" hidden="1" outlineLevel="1" x14ac:dyDescent="0.25">
      <c r="A18" s="44"/>
      <c r="B18" s="10" t="str">
        <f>CONCATENATE("          ", "5001", " - ", "PURCHASES @ COST-NEW TEXT")</f>
        <v xml:space="preserve">          5001 - PURCHASES @ COST-NEW TEXT</v>
      </c>
      <c r="C18" s="10"/>
      <c r="D18" s="2">
        <v>4785.9399999999996</v>
      </c>
      <c r="E18" s="2"/>
      <c r="F18" s="19">
        <f t="shared" si="4"/>
        <v>0.39535121935907025</v>
      </c>
      <c r="G18" s="2"/>
      <c r="H18" s="2">
        <v>2111.7399999999998</v>
      </c>
      <c r="I18" s="2"/>
      <c r="J18" s="19">
        <f t="shared" si="5"/>
        <v>9.4951313475034438E-2</v>
      </c>
      <c r="K18" s="2"/>
      <c r="L18" s="2">
        <f t="shared" si="6"/>
        <v>2674.2</v>
      </c>
      <c r="M18" s="2"/>
      <c r="N18" s="19">
        <f t="shared" si="7"/>
        <v>1.2663490770644115</v>
      </c>
      <c r="O18" s="10"/>
      <c r="P18" s="2">
        <v>305344.96999999997</v>
      </c>
      <c r="Q18" s="2"/>
      <c r="R18" s="19">
        <f t="shared" si="8"/>
        <v>0.39288564819190169</v>
      </c>
      <c r="S18" s="2"/>
      <c r="T18" s="2">
        <v>487384.2</v>
      </c>
      <c r="U18" s="2"/>
      <c r="V18" s="19">
        <f t="shared" si="9"/>
        <v>0.30502695714619094</v>
      </c>
      <c r="W18" s="2"/>
      <c r="X18" s="2">
        <f t="shared" si="10"/>
        <v>-182039.23000000004</v>
      </c>
      <c r="Y18" s="2"/>
      <c r="Z18" s="19">
        <f t="shared" si="11"/>
        <v>-0.37350252634369363</v>
      </c>
    </row>
    <row r="19" spans="1:26" s="23" customFormat="1" hidden="1" outlineLevel="1" x14ac:dyDescent="0.25">
      <c r="A19" s="44"/>
      <c r="B19" s="10" t="str">
        <f>CONCATENATE("          ", "5002", " - ", "PURCHASES @ COST-USED TEXT")</f>
        <v xml:space="preserve">          5002 - PURCHASES @ COST-USED TEXT</v>
      </c>
      <c r="C19" s="10"/>
      <c r="D19" s="2">
        <v>2572.6</v>
      </c>
      <c r="E19" s="2"/>
      <c r="F19" s="19">
        <f t="shared" si="4"/>
        <v>0.21251427032581774</v>
      </c>
      <c r="G19" s="2"/>
      <c r="H19" s="2">
        <v>5910.31</v>
      </c>
      <c r="I19" s="2"/>
      <c r="J19" s="19">
        <f t="shared" si="5"/>
        <v>0.26574848113149863</v>
      </c>
      <c r="K19" s="2"/>
      <c r="L19" s="2">
        <f t="shared" si="6"/>
        <v>-3337.7100000000005</v>
      </c>
      <c r="M19" s="2"/>
      <c r="N19" s="19">
        <f t="shared" si="7"/>
        <v>-0.56472672330216189</v>
      </c>
      <c r="O19" s="10"/>
      <c r="P19" s="2">
        <v>245210.79</v>
      </c>
      <c r="Q19" s="2"/>
      <c r="R19" s="19">
        <f t="shared" si="8"/>
        <v>0.31551133844712848</v>
      </c>
      <c r="S19" s="2"/>
      <c r="T19" s="2">
        <v>687116.42</v>
      </c>
      <c r="U19" s="2"/>
      <c r="V19" s="19">
        <f t="shared" si="9"/>
        <v>0.43002836529740629</v>
      </c>
      <c r="W19" s="2"/>
      <c r="X19" s="2">
        <f t="shared" si="10"/>
        <v>-441905.63</v>
      </c>
      <c r="Y19" s="2"/>
      <c r="Z19" s="19">
        <f t="shared" si="11"/>
        <v>-0.64313065026156702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0">
        <f>D12-D17</f>
        <v>4747.0000000000018</v>
      </c>
      <c r="E21" s="14"/>
      <c r="F21" s="21">
        <f>IF(D$12=0,0,D21/D$12)</f>
        <v>0.39213451031511204</v>
      </c>
      <c r="G21" s="14"/>
      <c r="H21" s="20">
        <f>H12-H17</f>
        <v>14218.189999999999</v>
      </c>
      <c r="I21" s="14"/>
      <c r="J21" s="21">
        <f>IF(H$12=0,0,H21/H$12)</f>
        <v>0.63930020539346699</v>
      </c>
      <c r="K21" s="15"/>
      <c r="L21" s="20">
        <f>+D21-H21</f>
        <v>-9471.1899999999969</v>
      </c>
      <c r="M21" s="15"/>
      <c r="N21" s="21">
        <f>IF(H21=0,0,L21/H21)</f>
        <v>-0.66613190567857072</v>
      </c>
      <c r="O21" s="29"/>
      <c r="P21" s="20">
        <f>P12-P17</f>
        <v>226629.58999999997</v>
      </c>
      <c r="Q21" s="14"/>
      <c r="R21" s="21">
        <f>IF(P$12=0,0,P21/P$12)</f>
        <v>0.29160301336096978</v>
      </c>
      <c r="S21" s="14"/>
      <c r="T21" s="20">
        <f>T12-T17</f>
        <v>423339.1399999999</v>
      </c>
      <c r="U21" s="14"/>
      <c r="V21" s="21">
        <f>IF(T$12=0,0,T21/T$12)</f>
        <v>0.26494467755640272</v>
      </c>
      <c r="W21" s="15"/>
      <c r="X21" s="20">
        <f>+P21-T21</f>
        <v>-196709.54999999993</v>
      </c>
      <c r="Y21" s="15"/>
      <c r="Z21" s="21">
        <f>IF(T21=0,0,X21/T21)</f>
        <v>-0.46466185479566097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2">
        <f>SUM(0)</f>
        <v>0</v>
      </c>
      <c r="E23" s="22"/>
      <c r="F23" s="32">
        <f>IF(D$12=0,0,D23/D$12)</f>
        <v>0</v>
      </c>
      <c r="G23" s="22"/>
      <c r="H23" s="22">
        <f>SUM(0)</f>
        <v>0</v>
      </c>
      <c r="I23" s="22"/>
      <c r="J23" s="32">
        <f>IF(H$12=0,0,H23/H$12)</f>
        <v>0</v>
      </c>
      <c r="K23" s="4"/>
      <c r="L23" s="22">
        <f>+D23-H23</f>
        <v>0</v>
      </c>
      <c r="M23" s="4"/>
      <c r="N23" s="32">
        <f>IF(H23=0,0,L23/H23)</f>
        <v>0</v>
      </c>
      <c r="O23" s="11"/>
      <c r="P23" s="22">
        <f>SUM(0)</f>
        <v>0</v>
      </c>
      <c r="Q23" s="22"/>
      <c r="R23" s="32">
        <f>IF(P$12=0,0,P23/P$12)</f>
        <v>0</v>
      </c>
      <c r="S23" s="22"/>
      <c r="T23" s="22">
        <f>SUM(0)</f>
        <v>0</v>
      </c>
      <c r="U23" s="22"/>
      <c r="V23" s="32">
        <f>IF(T$12=0,0,T23/T$12)</f>
        <v>0</v>
      </c>
      <c r="W23" s="4"/>
      <c r="X23" s="22">
        <f>+P23-T23</f>
        <v>0</v>
      </c>
      <c r="Y23" s="4"/>
      <c r="Z23" s="32">
        <f>IF(T23=0,0,X23/T23)</f>
        <v>0</v>
      </c>
    </row>
    <row r="24" spans="1:26" s="57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9" t="s">
        <v>292</v>
      </c>
      <c r="C25" s="11"/>
      <c r="D25" s="4">
        <f>SUM(0)</f>
        <v>0</v>
      </c>
      <c r="E25" s="4"/>
      <c r="F25" s="13">
        <f>IF(D$12=0,0,D25/D$12)</f>
        <v>0</v>
      </c>
      <c r="G25" s="4"/>
      <c r="H25" s="4">
        <f>SUM(0)</f>
        <v>0</v>
      </c>
      <c r="I25" s="4"/>
      <c r="J25" s="13">
        <f>IF(H$12=0,0,H25/H$12)</f>
        <v>0</v>
      </c>
      <c r="K25" s="4"/>
      <c r="L25" s="4">
        <f>+D25-H25</f>
        <v>0</v>
      </c>
      <c r="M25" s="4"/>
      <c r="N25" s="13">
        <f>IF(H25=0,0,L25/H25)</f>
        <v>0</v>
      </c>
      <c r="O25" s="11"/>
      <c r="P25" s="4">
        <f>SUM(0)</f>
        <v>0</v>
      </c>
      <c r="Q25" s="4"/>
      <c r="R25" s="13">
        <f>IF(P$12=0,0,P25/P$12)</f>
        <v>0</v>
      </c>
      <c r="S25" s="4"/>
      <c r="T25" s="4">
        <f>SUM(0)</f>
        <v>0</v>
      </c>
      <c r="U25" s="4"/>
      <c r="V25" s="13">
        <f>IF(T$12=0,0,T25/T$12)</f>
        <v>0</v>
      </c>
      <c r="W25" s="4"/>
      <c r="X25" s="4">
        <f>+P25-T25</f>
        <v>0</v>
      </c>
      <c r="Y25" s="4"/>
      <c r="Z25" s="13">
        <f>IF(T25=0,0,X25/T25)</f>
        <v>0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>
        <f>+D21-D23+D25</f>
        <v>4747.0000000000018</v>
      </c>
      <c r="E27" s="14"/>
      <c r="F27" s="21">
        <f>IF(D$12=0,0,D27/D$12)</f>
        <v>0.39213451031511204</v>
      </c>
      <c r="G27" s="14"/>
      <c r="H27" s="20">
        <f>+H21-H23+H25</f>
        <v>14218.189999999999</v>
      </c>
      <c r="I27" s="14"/>
      <c r="J27" s="21">
        <f>IF(H$12=0,0,H27/H$12)</f>
        <v>0.63930020539346699</v>
      </c>
      <c r="K27" s="15"/>
      <c r="L27" s="20">
        <f>+D27-H27</f>
        <v>-9471.1899999999969</v>
      </c>
      <c r="M27" s="15"/>
      <c r="N27" s="21">
        <f>IF(H27=0,0,L27/H27)</f>
        <v>-0.66613190567857072</v>
      </c>
      <c r="O27" s="29"/>
      <c r="P27" s="20">
        <f>+P21-P23+P25</f>
        <v>226629.58999999997</v>
      </c>
      <c r="Q27" s="14"/>
      <c r="R27" s="21">
        <f>IF(P$12=0,0,P27/P$12)</f>
        <v>0.29160301336096978</v>
      </c>
      <c r="S27" s="14"/>
      <c r="T27" s="20">
        <f>+T21-T23+T25</f>
        <v>423339.1399999999</v>
      </c>
      <c r="U27" s="14"/>
      <c r="V27" s="21">
        <f>IF(T$12=0,0,T27/T$12)</f>
        <v>0.26494467755640272</v>
      </c>
      <c r="W27" s="15"/>
      <c r="X27" s="20">
        <f>+P27-T27</f>
        <v>-196709.54999999993</v>
      </c>
      <c r="Y27" s="15"/>
      <c r="Z27" s="21">
        <f>IF(T27=0,0,X27/T27)</f>
        <v>-0.46466185479566097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>
        <v>6019.34</v>
      </c>
      <c r="E29" s="4"/>
      <c r="F29" s="13">
        <f>IF(D$12=0,0,D29/D$12)</f>
        <v>0.49723845445969361</v>
      </c>
      <c r="G29" s="4"/>
      <c r="H29" s="4">
        <v>10319.049999999999</v>
      </c>
      <c r="I29" s="4"/>
      <c r="J29" s="13">
        <f>IF(H$12=0,0,H29/H$12)</f>
        <v>0.46398105416128604</v>
      </c>
      <c r="K29" s="4"/>
      <c r="L29" s="4">
        <f>+D29-H29</f>
        <v>-4299.7099999999991</v>
      </c>
      <c r="M29" s="4"/>
      <c r="N29" s="13">
        <f>IF(H29=0,0,L29/H29)</f>
        <v>-0.41667692277874413</v>
      </c>
      <c r="O29" s="11"/>
      <c r="P29" s="4">
        <v>166077.14000000001</v>
      </c>
      <c r="Q29" s="4"/>
      <c r="R29" s="13">
        <f>IF(P$12=0,0,P29/P$12)</f>
        <v>0.21369051796974817</v>
      </c>
      <c r="S29" s="4"/>
      <c r="T29" s="4">
        <v>189217.1</v>
      </c>
      <c r="U29" s="4"/>
      <c r="V29" s="13">
        <f>IF(T$12=0,0,T29/T$12)</f>
        <v>0.11842057303668549</v>
      </c>
      <c r="W29" s="4"/>
      <c r="X29" s="4">
        <f>+P29-T29</f>
        <v>-23139.959999999992</v>
      </c>
      <c r="Y29" s="4"/>
      <c r="Z29" s="13">
        <f>IF(T29=0,0,X29/T29)</f>
        <v>-0.12229317540539407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>
        <f>+D27-D29</f>
        <v>-1272.3399999999983</v>
      </c>
      <c r="E31" s="14"/>
      <c r="F31" s="36">
        <f>IF(D$12=0,0,D31/D$12)</f>
        <v>-0.10510394414458159</v>
      </c>
      <c r="G31" s="14"/>
      <c r="H31" s="35">
        <f>+H27-H29</f>
        <v>3899.1399999999994</v>
      </c>
      <c r="I31" s="14"/>
      <c r="J31" s="36">
        <f>IF(H$12=0,0,H31/H$12)</f>
        <v>0.17531915123218095</v>
      </c>
      <c r="K31" s="15"/>
      <c r="L31" s="35">
        <f>D31-H31</f>
        <v>-5171.4799999999977</v>
      </c>
      <c r="M31" s="15"/>
      <c r="N31" s="36">
        <f>IF(H31=0,0,L31/H31)</f>
        <v>-1.3263129818370201</v>
      </c>
      <c r="O31" s="29"/>
      <c r="P31" s="35">
        <f>+P27-P29</f>
        <v>60552.449999999953</v>
      </c>
      <c r="Q31" s="14"/>
      <c r="R31" s="36">
        <f>IF(P$12=0,0,P31/P$12)</f>
        <v>7.7912495391221609E-2</v>
      </c>
      <c r="S31" s="14"/>
      <c r="T31" s="35">
        <f>+T27-T29</f>
        <v>234122.03999999989</v>
      </c>
      <c r="U31" s="14"/>
      <c r="V31" s="36">
        <f>IF(T$12=0,0,T31/T$12)</f>
        <v>0.14652410451971723</v>
      </c>
      <c r="W31" s="15"/>
      <c r="X31" s="35">
        <f>P31-T31</f>
        <v>-173569.58999999994</v>
      </c>
      <c r="Y31" s="15"/>
      <c r="Z31" s="36">
        <f>IF(T31=0,0,X31/T31)</f>
        <v>-0.74136373491363738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8" t="s">
        <v>293</v>
      </c>
      <c r="C34" s="28"/>
      <c r="D34" s="30">
        <f>SUM(D31:D33)</f>
        <v>-1272.3399999999983</v>
      </c>
      <c r="E34" s="14"/>
      <c r="F34" s="31">
        <f>IF(D$12=0,0,D34/D$12)</f>
        <v>-0.10510394414458159</v>
      </c>
      <c r="G34" s="14"/>
      <c r="H34" s="30">
        <f>SUM(H31:H33)</f>
        <v>3899.1399999999994</v>
      </c>
      <c r="I34" s="14"/>
      <c r="J34" s="31">
        <f>IF(H$12=0,0,H34/H$12)</f>
        <v>0.17531915123218095</v>
      </c>
      <c r="K34" s="15"/>
      <c r="L34" s="30">
        <f>+D34-H34</f>
        <v>-5171.4799999999977</v>
      </c>
      <c r="M34" s="15"/>
      <c r="N34" s="31">
        <f>IF(H34=0,0,L34/H34)</f>
        <v>-1.3263129818370201</v>
      </c>
      <c r="O34" s="29"/>
      <c r="P34" s="30">
        <f>SUM(P31:P33)</f>
        <v>60552.449999999953</v>
      </c>
      <c r="Q34" s="14"/>
      <c r="R34" s="31">
        <f>IF(P$12=0,0,P34/P$12)</f>
        <v>7.7912495391221609E-2</v>
      </c>
      <c r="S34" s="14"/>
      <c r="T34" s="30">
        <f>SUM(T31:T33)</f>
        <v>234122.03999999989</v>
      </c>
      <c r="U34" s="14"/>
      <c r="V34" s="31">
        <f>IF(T$12=0,0,T34/T$12)</f>
        <v>0.14652410451971723</v>
      </c>
      <c r="W34" s="15"/>
      <c r="X34" s="30">
        <f>+P34-T34</f>
        <v>-173569.58999999994</v>
      </c>
      <c r="Y34" s="15"/>
      <c r="Z34" s="31">
        <f>IF(T34=0,0,X34/T34)</f>
        <v>-0.74136373491363738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59">
        <v>44356.893348032405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2" t="s">
        <v>56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6982.2300000000014</v>
      </c>
      <c r="I12" s="4"/>
      <c r="J12" s="13"/>
      <c r="K12" s="4"/>
      <c r="L12" s="4">
        <f t="shared" ref="L12:L33" si="0">+D12-H12</f>
        <v>-6982.2300000000014</v>
      </c>
      <c r="M12" s="4"/>
      <c r="N12" s="13">
        <f t="shared" ref="N12:N33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411132.75000000006</v>
      </c>
      <c r="U12" s="4"/>
      <c r="V12" s="13"/>
      <c r="W12" s="4"/>
      <c r="X12" s="4">
        <f t="shared" ref="X12:X33" si="2">+P12-T12</f>
        <v>-411132.75000000006</v>
      </c>
      <c r="Y12" s="4"/>
      <c r="Z12" s="13">
        <f t="shared" ref="Z12:Z33" si="3">IF(T12=0,0,X12/T12)</f>
        <v>-1</v>
      </c>
    </row>
    <row r="13" spans="1:26" s="23" customFormat="1" hidden="1" outlineLevel="1" x14ac:dyDescent="0.25">
      <c r="A13" s="44"/>
      <c r="B13" s="10" t="str">
        <f>CONCATENATE("          ", "4017", " - ", "TAXABLE SALES-DORM/HOUSEWARES")</f>
        <v xml:space="preserve">          4017 - TAXABLE SALES-DORM/HOUSEWARES</v>
      </c>
      <c r="C13" s="10"/>
      <c r="D13" s="2">
        <f t="shared" ref="D13:D33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33" si="6">0</f>
        <v>0</v>
      </c>
      <c r="Q13" s="2"/>
      <c r="R13" s="19"/>
      <c r="S13" s="2"/>
      <c r="T13" s="2">
        <f>--276.15</f>
        <v>276.14999999999998</v>
      </c>
      <c r="U13" s="2"/>
      <c r="V13" s="19"/>
      <c r="W13" s="2"/>
      <c r="X13" s="2">
        <f t="shared" si="2"/>
        <v>-276.14999999999998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"4019", " - ", "TAXABLE SALES-BOOK RELATED")</f>
        <v xml:space="preserve">          4019 - TAXABLE SALES-BOOK RELATED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--42.85</f>
        <v>42.85</v>
      </c>
      <c r="U14" s="2"/>
      <c r="V14" s="19"/>
      <c r="W14" s="2"/>
      <c r="X14" s="2">
        <f t="shared" si="2"/>
        <v>-42.85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>--17.25</f>
        <v>17.25</v>
      </c>
      <c r="I15" s="2"/>
      <c r="J15" s="19"/>
      <c r="K15" s="2"/>
      <c r="L15" s="2">
        <f t="shared" si="0"/>
        <v>-17.25</v>
      </c>
      <c r="M15" s="2"/>
      <c r="N15" s="19">
        <f t="shared" si="1"/>
        <v>-1</v>
      </c>
      <c r="O15" s="10"/>
      <c r="P15" s="2">
        <f t="shared" si="6"/>
        <v>0</v>
      </c>
      <c r="Q15" s="2"/>
      <c r="R15" s="19"/>
      <c r="S15" s="2"/>
      <c r="T15" s="2">
        <f>--52443.55</f>
        <v>52443.55</v>
      </c>
      <c r="U15" s="2"/>
      <c r="V15" s="19"/>
      <c r="W15" s="2"/>
      <c r="X15" s="2">
        <f t="shared" si="2"/>
        <v>-52443.55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>--859.78</f>
        <v>859.78</v>
      </c>
      <c r="I16" s="2"/>
      <c r="J16" s="19"/>
      <c r="K16" s="2"/>
      <c r="L16" s="2">
        <f t="shared" si="0"/>
        <v>-859.78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--73916.6</f>
        <v>73916.600000000006</v>
      </c>
      <c r="U16" s="2"/>
      <c r="V16" s="19"/>
      <c r="W16" s="2"/>
      <c r="X16" s="2">
        <f t="shared" si="2"/>
        <v>-73916.600000000006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>--5530.51</f>
        <v>5530.51</v>
      </c>
      <c r="I17" s="2"/>
      <c r="J17" s="19"/>
      <c r="K17" s="2"/>
      <c r="L17" s="2">
        <f t="shared" si="0"/>
        <v>-5530.51</v>
      </c>
      <c r="M17" s="2"/>
      <c r="N17" s="19">
        <f t="shared" si="1"/>
        <v>-1</v>
      </c>
      <c r="O17" s="10"/>
      <c r="P17" s="2">
        <f t="shared" si="6"/>
        <v>0</v>
      </c>
      <c r="Q17" s="2"/>
      <c r="R17" s="19"/>
      <c r="S17" s="2"/>
      <c r="T17" s="2">
        <f>--267384.35</f>
        <v>267384.34999999998</v>
      </c>
      <c r="U17" s="2"/>
      <c r="V17" s="19"/>
      <c r="W17" s="2"/>
      <c r="X17" s="2">
        <f t="shared" si="2"/>
        <v>-267384.34999999998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>--425.18</f>
        <v>425.18</v>
      </c>
      <c r="I18" s="2"/>
      <c r="J18" s="19"/>
      <c r="K18" s="2"/>
      <c r="L18" s="2">
        <f t="shared" si="0"/>
        <v>-425.18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--12697.33</f>
        <v>12697.33</v>
      </c>
      <c r="U18" s="2"/>
      <c r="V18" s="19"/>
      <c r="W18" s="2"/>
      <c r="X18" s="2">
        <f t="shared" si="2"/>
        <v>-12697.33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ref="H19:H21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 t="shared" si="6"/>
        <v>0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"4035", " - ", "TAXABLE SALES-HEALTH &amp; BEAUTY")</f>
        <v xml:space="preserve">          4035 - TAXABLE SALES-HEALTH &amp; BEAUTY</v>
      </c>
      <c r="C20" s="10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6"/>
        <v>0</v>
      </c>
      <c r="Q20" s="2"/>
      <c r="R20" s="19"/>
      <c r="S20" s="2"/>
      <c r="T20" s="2">
        <f>--20.15</f>
        <v>20.149999999999999</v>
      </c>
      <c r="U20" s="2"/>
      <c r="V20" s="19"/>
      <c r="W20" s="2"/>
      <c r="X20" s="2">
        <f t="shared" si="2"/>
        <v>-20.149999999999999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"4125", " - ", "NON-TAXABLE SALES-TEST FORMS")</f>
        <v xml:space="preserve">          4125 - NON-TAXABLE SALES-TEST FORMS</v>
      </c>
      <c r="C21" s="10"/>
      <c r="D21" s="2">
        <f t="shared" si="4"/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6"/>
        <v>0</v>
      </c>
      <c r="Q21" s="2"/>
      <c r="R21" s="19"/>
      <c r="S21" s="2"/>
      <c r="T21" s="2">
        <f>--267.61</f>
        <v>267.61</v>
      </c>
      <c r="U21" s="2"/>
      <c r="V21" s="19"/>
      <c r="W21" s="2"/>
      <c r="X21" s="2">
        <f t="shared" si="2"/>
        <v>-267.61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"4126", " - ", "NON-TAXABLE SALES-WRITING INST")</f>
        <v xml:space="preserve">          4126 - NON-TAXABLE SALES-WRITING INST</v>
      </c>
      <c r="C22" s="10"/>
      <c r="D22" s="2">
        <f t="shared" si="4"/>
        <v>0</v>
      </c>
      <c r="E22" s="2"/>
      <c r="F22" s="19"/>
      <c r="G22" s="2"/>
      <c r="H22" s="2">
        <f>--110.56</f>
        <v>110.56</v>
      </c>
      <c r="I22" s="2"/>
      <c r="J22" s="19"/>
      <c r="K22" s="2"/>
      <c r="L22" s="2">
        <f t="shared" si="0"/>
        <v>-110.56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--3130.93</f>
        <v>3130.93</v>
      </c>
      <c r="U22" s="2"/>
      <c r="V22" s="19"/>
      <c r="W22" s="2"/>
      <c r="X22" s="2">
        <f t="shared" si="2"/>
        <v>-3130.93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"4127", " - ", "NON-TAXABLE SALES-SCHOOL SUPPL")</f>
        <v xml:space="preserve">          4127 - NON-TAXABLE SALES-SCHOOL SUPPL</v>
      </c>
      <c r="C23" s="10"/>
      <c r="D23" s="2">
        <f t="shared" si="4"/>
        <v>0</v>
      </c>
      <c r="E23" s="2"/>
      <c r="F23" s="19"/>
      <c r="G23" s="2"/>
      <c r="H23" s="2">
        <f>--226.84</f>
        <v>226.84</v>
      </c>
      <c r="I23" s="2"/>
      <c r="J23" s="19"/>
      <c r="K23" s="2"/>
      <c r="L23" s="2">
        <f t="shared" si="0"/>
        <v>-226.84</v>
      </c>
      <c r="M23" s="2"/>
      <c r="N23" s="19">
        <f t="shared" si="1"/>
        <v>-1</v>
      </c>
      <c r="O23" s="10"/>
      <c r="P23" s="2">
        <f t="shared" si="6"/>
        <v>0</v>
      </c>
      <c r="Q23" s="2"/>
      <c r="R23" s="19"/>
      <c r="S23" s="2"/>
      <c r="T23" s="2">
        <f>--6357.26</f>
        <v>6357.26</v>
      </c>
      <c r="U23" s="2"/>
      <c r="V23" s="19"/>
      <c r="W23" s="2"/>
      <c r="X23" s="2">
        <f t="shared" si="2"/>
        <v>-6357.26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"4128", " - ", "NON-TAXABLE SALES-ART/TECH")</f>
        <v xml:space="preserve">          4128 - NON-TAXABLE SALES-ART/TECH</v>
      </c>
      <c r="C24" s="10"/>
      <c r="D24" s="2">
        <f t="shared" si="4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6"/>
        <v>0</v>
      </c>
      <c r="Q24" s="2"/>
      <c r="R24" s="19"/>
      <c r="S24" s="2"/>
      <c r="T24" s="2">
        <f>--488.53</f>
        <v>488.53</v>
      </c>
      <c r="U24" s="2"/>
      <c r="V24" s="19"/>
      <c r="W24" s="2"/>
      <c r="X24" s="2">
        <f t="shared" si="2"/>
        <v>-488.53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"4131", " - ", "NON-TAXABLE SALES-FOOD")</f>
        <v xml:space="preserve">          4131 - NON-TAXABLE SALES-FOOD</v>
      </c>
      <c r="C25" s="10"/>
      <c r="D25" s="2">
        <f t="shared" si="4"/>
        <v>0</v>
      </c>
      <c r="E25" s="2"/>
      <c r="F25" s="19"/>
      <c r="G25" s="2"/>
      <c r="H25" s="2">
        <f>--6.16</f>
        <v>6.16</v>
      </c>
      <c r="I25" s="2"/>
      <c r="J25" s="19"/>
      <c r="K25" s="2"/>
      <c r="L25" s="2">
        <f t="shared" si="0"/>
        <v>-6.16</v>
      </c>
      <c r="M25" s="2"/>
      <c r="N25" s="19">
        <f t="shared" si="1"/>
        <v>-1</v>
      </c>
      <c r="O25" s="10"/>
      <c r="P25" s="2">
        <f t="shared" si="6"/>
        <v>0</v>
      </c>
      <c r="Q25" s="2"/>
      <c r="R25" s="19"/>
      <c r="S25" s="2"/>
      <c r="T25" s="2">
        <f>--1583.56</f>
        <v>1583.56</v>
      </c>
      <c r="U25" s="2"/>
      <c r="V25" s="19"/>
      <c r="W25" s="2"/>
      <c r="X25" s="2">
        <f t="shared" si="2"/>
        <v>-1583.56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"4133", " - ", "NON-TAXABLE SALES-CANDY")</f>
        <v xml:space="preserve">          4133 - NON-TAXABLE SALES-CANDY</v>
      </c>
      <c r="C26" s="10"/>
      <c r="D26" s="2">
        <f t="shared" si="4"/>
        <v>0</v>
      </c>
      <c r="E26" s="2"/>
      <c r="F26" s="19"/>
      <c r="G26" s="2"/>
      <c r="H26" s="2">
        <f>--48.27</f>
        <v>48.27</v>
      </c>
      <c r="I26" s="2"/>
      <c r="J26" s="19"/>
      <c r="K26" s="2"/>
      <c r="L26" s="2">
        <f t="shared" si="0"/>
        <v>-48.27</v>
      </c>
      <c r="M26" s="2"/>
      <c r="N26" s="19">
        <f t="shared" si="1"/>
        <v>-1</v>
      </c>
      <c r="O26" s="10"/>
      <c r="P26" s="2">
        <f t="shared" si="6"/>
        <v>0</v>
      </c>
      <c r="Q26" s="2"/>
      <c r="R26" s="19"/>
      <c r="S26" s="2"/>
      <c r="T26" s="2">
        <f>--2312.89</f>
        <v>2312.89</v>
      </c>
      <c r="U26" s="2"/>
      <c r="V26" s="19"/>
      <c r="W26" s="2"/>
      <c r="X26" s="2">
        <f t="shared" si="2"/>
        <v>-2312.89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"4135", " - ", "NON-TAXABLE SALES")</f>
        <v xml:space="preserve">          4135 - NON-TAXABLE SALES</v>
      </c>
      <c r="C27" s="10"/>
      <c r="D27" s="2">
        <f t="shared" si="4"/>
        <v>0</v>
      </c>
      <c r="E27" s="2"/>
      <c r="F27" s="19"/>
      <c r="G27" s="2"/>
      <c r="H27" s="2">
        <f t="shared" ref="H27:H28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6"/>
        <v>0</v>
      </c>
      <c r="Q27" s="2"/>
      <c r="R27" s="19"/>
      <c r="S27" s="2"/>
      <c r="T27" s="2">
        <f>--50.16</f>
        <v>50.16</v>
      </c>
      <c r="U27" s="2"/>
      <c r="V27" s="19"/>
      <c r="W27" s="2"/>
      <c r="X27" s="2">
        <f t="shared" si="2"/>
        <v>-50.16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"4217", " - ", "NON-TAXABLE SALES-DORM/HOUSEWA")</f>
        <v xml:space="preserve">          4217 - NON-TAXABLE SALES-DORM/HOUSEWA</v>
      </c>
      <c r="C28" s="10"/>
      <c r="D28" s="2">
        <f t="shared" si="4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6"/>
        <v>0</v>
      </c>
      <c r="Q28" s="2"/>
      <c r="R28" s="19"/>
      <c r="S28" s="2"/>
      <c r="T28" s="2">
        <f>-2.98</f>
        <v>-2.98</v>
      </c>
      <c r="U28" s="2"/>
      <c r="V28" s="19"/>
      <c r="W28" s="2"/>
      <c r="X28" s="2">
        <f t="shared" si="2"/>
        <v>2.98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"4225", " - ", "SALES RETURN TAXABLE-TEST FORM")</f>
        <v xml:space="preserve">          4225 - SALES RETURN TAXABLE-TEST FORM</v>
      </c>
      <c r="C29" s="10"/>
      <c r="D29" s="2">
        <f t="shared" si="4"/>
        <v>0</v>
      </c>
      <c r="E29" s="2"/>
      <c r="F29" s="19"/>
      <c r="G29" s="2"/>
      <c r="H29" s="2">
        <f>-29.5</f>
        <v>-29.5</v>
      </c>
      <c r="I29" s="2"/>
      <c r="J29" s="19"/>
      <c r="K29" s="2"/>
      <c r="L29" s="2">
        <f t="shared" si="0"/>
        <v>29.5</v>
      </c>
      <c r="M29" s="2"/>
      <c r="N29" s="19">
        <f t="shared" si="1"/>
        <v>-1</v>
      </c>
      <c r="O29" s="10"/>
      <c r="P29" s="2">
        <f t="shared" si="6"/>
        <v>0</v>
      </c>
      <c r="Q29" s="2"/>
      <c r="R29" s="19"/>
      <c r="S29" s="2"/>
      <c r="T29" s="2">
        <f>-170.78</f>
        <v>-170.78</v>
      </c>
      <c r="U29" s="2"/>
      <c r="V29" s="19"/>
      <c r="W29" s="2"/>
      <c r="X29" s="2">
        <f t="shared" si="2"/>
        <v>170.78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"4226", " - ", "SALES RETURN TAXABLE-WRITING I")</f>
        <v xml:space="preserve">          4226 - SALES RETURN TAXABLE-WRITING I</v>
      </c>
      <c r="C30" s="10"/>
      <c r="D30" s="2">
        <f t="shared" si="4"/>
        <v>0</v>
      </c>
      <c r="E30" s="2"/>
      <c r="F30" s="19"/>
      <c r="G30" s="2"/>
      <c r="H30" s="2">
        <f>-159.4</f>
        <v>-159.4</v>
      </c>
      <c r="I30" s="2"/>
      <c r="J30" s="19"/>
      <c r="K30" s="2"/>
      <c r="L30" s="2">
        <f t="shared" si="0"/>
        <v>159.4</v>
      </c>
      <c r="M30" s="2"/>
      <c r="N30" s="19">
        <f t="shared" si="1"/>
        <v>-1</v>
      </c>
      <c r="O30" s="10"/>
      <c r="P30" s="2">
        <f t="shared" si="6"/>
        <v>0</v>
      </c>
      <c r="Q30" s="2"/>
      <c r="R30" s="19"/>
      <c r="S30" s="2"/>
      <c r="T30" s="2">
        <f>-778.59</f>
        <v>-778.59</v>
      </c>
      <c r="U30" s="2"/>
      <c r="V30" s="19"/>
      <c r="W30" s="2"/>
      <c r="X30" s="2">
        <f t="shared" si="2"/>
        <v>778.59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"4227", " - ", "SALES RETURN TAXABLE-SCHOOL SU")</f>
        <v xml:space="preserve">          4227 - SALES RETURN TAXABLE-SCHOOL SU</v>
      </c>
      <c r="C31" s="10"/>
      <c r="D31" s="2">
        <f t="shared" si="4"/>
        <v>0</v>
      </c>
      <c r="E31" s="2"/>
      <c r="F31" s="19"/>
      <c r="G31" s="2"/>
      <c r="H31" s="2">
        <f>-53.42</f>
        <v>-53.42</v>
      </c>
      <c r="I31" s="2"/>
      <c r="J31" s="19"/>
      <c r="K31" s="2"/>
      <c r="L31" s="2">
        <f t="shared" si="0"/>
        <v>53.42</v>
      </c>
      <c r="M31" s="2"/>
      <c r="N31" s="19">
        <f t="shared" si="1"/>
        <v>-1</v>
      </c>
      <c r="O31" s="10"/>
      <c r="P31" s="2">
        <f t="shared" si="6"/>
        <v>0</v>
      </c>
      <c r="Q31" s="2"/>
      <c r="R31" s="19"/>
      <c r="S31" s="2"/>
      <c r="T31" s="2">
        <f>-8604.97</f>
        <v>-8604.9699999999993</v>
      </c>
      <c r="U31" s="2"/>
      <c r="V31" s="19"/>
      <c r="W31" s="2"/>
      <c r="X31" s="2">
        <f t="shared" si="2"/>
        <v>8604.9699999999993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"4228", " - ", "SALES RETURN TAXABLE-ART/TECH")</f>
        <v xml:space="preserve">          4228 - SALES RETURN TAXABLE-ART/TECH</v>
      </c>
      <c r="C32" s="10"/>
      <c r="D32" s="2">
        <f t="shared" si="4"/>
        <v>0</v>
      </c>
      <c r="E32" s="2"/>
      <c r="F32" s="19"/>
      <c r="G32" s="2"/>
      <c r="H32" s="2">
        <f t="shared" ref="H32:H33" si="9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6"/>
        <v>0</v>
      </c>
      <c r="Q32" s="2"/>
      <c r="R32" s="19"/>
      <c r="S32" s="2"/>
      <c r="T32" s="2">
        <f>-259.98</f>
        <v>-259.98</v>
      </c>
      <c r="U32" s="2"/>
      <c r="V32" s="19"/>
      <c r="W32" s="2"/>
      <c r="X32" s="2">
        <f t="shared" si="2"/>
        <v>259.98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"4327", " - ", "SALES RETURN NON TAXABLE-SCHOO")</f>
        <v xml:space="preserve">          4327 - SALES RETURN NON TAXABLE-SCHOO</v>
      </c>
      <c r="C33" s="10"/>
      <c r="D33" s="2">
        <f t="shared" si="4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6"/>
        <v>0</v>
      </c>
      <c r="Q33" s="2"/>
      <c r="R33" s="19"/>
      <c r="S33" s="2"/>
      <c r="T33" s="2">
        <f>-21.87</f>
        <v>-21.87</v>
      </c>
      <c r="U33" s="2"/>
      <c r="V33" s="19"/>
      <c r="W33" s="2"/>
      <c r="X33" s="2">
        <f t="shared" si="2"/>
        <v>21.87</v>
      </c>
      <c r="Y33" s="2"/>
      <c r="Z33" s="19">
        <f t="shared" si="3"/>
        <v>-1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collapsed="1" x14ac:dyDescent="0.25">
      <c r="A35" s="11"/>
      <c r="B35" s="29" t="s">
        <v>256</v>
      </c>
      <c r="C35" s="11"/>
      <c r="D35" s="4">
        <f>SUM(OSRRefD16x_0)</f>
        <v>0</v>
      </c>
      <c r="E35" s="4"/>
      <c r="F35" s="13">
        <f t="shared" ref="F35:F50" si="10">IF(D$12=0,0,D35/D$12)</f>
        <v>0</v>
      </c>
      <c r="G35" s="4"/>
      <c r="H35" s="4">
        <f>SUM(OSRRefH16x_0)</f>
        <v>6103.1799999999994</v>
      </c>
      <c r="I35" s="4"/>
      <c r="J35" s="13">
        <f t="shared" ref="J35:J50" si="11">IF(H$12=0,0,H35/H$12)</f>
        <v>0.87410182706671047</v>
      </c>
      <c r="K35" s="4"/>
      <c r="L35" s="4">
        <f t="shared" ref="L35:L50" si="12">+D35-H35</f>
        <v>-6103.1799999999994</v>
      </c>
      <c r="M35" s="4"/>
      <c r="N35" s="13">
        <f t="shared" ref="N35:N50" si="13">IF(H35=0,0,L35/H35)</f>
        <v>-1</v>
      </c>
      <c r="O35" s="11"/>
      <c r="P35" s="4">
        <f>SUM(OSRRefP16x_0)</f>
        <v>0</v>
      </c>
      <c r="Q35" s="4"/>
      <c r="R35" s="13">
        <f t="shared" ref="R35:R50" si="14">IF(P$12=0,0,P35/P$12)</f>
        <v>0</v>
      </c>
      <c r="S35" s="4"/>
      <c r="T35" s="4">
        <f>SUM(OSRRefT16x_0)</f>
        <v>198323.69</v>
      </c>
      <c r="U35" s="4"/>
      <c r="V35" s="13">
        <f t="shared" ref="V35:V50" si="15">IF(T$12=0,0,T35/T$12)</f>
        <v>0.48238358535047371</v>
      </c>
      <c r="W35" s="4"/>
      <c r="X35" s="4">
        <f t="shared" ref="X35:X50" si="16">+P35-T35</f>
        <v>-198323.69</v>
      </c>
      <c r="Y35" s="4"/>
      <c r="Z35" s="13">
        <f t="shared" ref="Z35:Z50" si="17">IF(T35=0,0,X35/T35)</f>
        <v>-1</v>
      </c>
    </row>
    <row r="36" spans="1:26" s="23" customFormat="1" hidden="1" outlineLevel="1" x14ac:dyDescent="0.25">
      <c r="A36" s="44"/>
      <c r="B36" s="10" t="str">
        <f>CONCATENATE("          ", "5017", " - ", "PURCHASES @ COST-DORM/HOUSEWAR")</f>
        <v xml:space="preserve">          5017 - PURCHASES @ COST-DORM/HOUSEWAR</v>
      </c>
      <c r="C36" s="10"/>
      <c r="D36" s="2"/>
      <c r="E36" s="2"/>
      <c r="F36" s="19">
        <f t="shared" si="10"/>
        <v>0</v>
      </c>
      <c r="G36" s="2"/>
      <c r="H36" s="2"/>
      <c r="I36" s="2"/>
      <c r="J36" s="19">
        <f t="shared" si="11"/>
        <v>0</v>
      </c>
      <c r="K36" s="2"/>
      <c r="L36" s="2">
        <f t="shared" si="12"/>
        <v>0</v>
      </c>
      <c r="M36" s="2"/>
      <c r="N36" s="19">
        <f t="shared" si="13"/>
        <v>0</v>
      </c>
      <c r="O36" s="10"/>
      <c r="P36" s="2"/>
      <c r="Q36" s="2"/>
      <c r="R36" s="19">
        <f t="shared" si="14"/>
        <v>0</v>
      </c>
      <c r="S36" s="2"/>
      <c r="T36" s="2">
        <v>14.46</v>
      </c>
      <c r="U36" s="2"/>
      <c r="V36" s="19">
        <f t="shared" si="15"/>
        <v>3.5171121736227529E-5</v>
      </c>
      <c r="W36" s="2"/>
      <c r="X36" s="2">
        <f t="shared" si="16"/>
        <v>-14.46</v>
      </c>
      <c r="Y36" s="2"/>
      <c r="Z36" s="19">
        <f t="shared" si="17"/>
        <v>-1</v>
      </c>
    </row>
    <row r="37" spans="1:26" s="23" customFormat="1" hidden="1" outlineLevel="1" x14ac:dyDescent="0.25">
      <c r="A37" s="44"/>
      <c r="B37" s="10" t="str">
        <f>CONCATENATE("          ", "5025", " - ", "PURCHASES @ COST-TEST FORMS")</f>
        <v xml:space="preserve">          5025 - PURCHASES @ COST-TEST FORMS</v>
      </c>
      <c r="C37" s="10"/>
      <c r="D37" s="2"/>
      <c r="E37" s="2"/>
      <c r="F37" s="19">
        <f t="shared" si="10"/>
        <v>0</v>
      </c>
      <c r="G37" s="2"/>
      <c r="H37" s="2"/>
      <c r="I37" s="2"/>
      <c r="J37" s="19">
        <f t="shared" si="11"/>
        <v>0</v>
      </c>
      <c r="K37" s="2"/>
      <c r="L37" s="2">
        <f t="shared" si="12"/>
        <v>0</v>
      </c>
      <c r="M37" s="2"/>
      <c r="N37" s="19">
        <f t="shared" si="13"/>
        <v>0</v>
      </c>
      <c r="O37" s="10"/>
      <c r="P37" s="2"/>
      <c r="Q37" s="2"/>
      <c r="R37" s="19">
        <f t="shared" si="14"/>
        <v>0</v>
      </c>
      <c r="S37" s="2"/>
      <c r="T37" s="2">
        <v>25706.15</v>
      </c>
      <c r="U37" s="2"/>
      <c r="V37" s="19">
        <f t="shared" si="15"/>
        <v>6.2525181951571598E-2</v>
      </c>
      <c r="W37" s="2"/>
      <c r="X37" s="2">
        <f t="shared" si="16"/>
        <v>-25706.15</v>
      </c>
      <c r="Y37" s="2"/>
      <c r="Z37" s="19">
        <f t="shared" si="17"/>
        <v>-1</v>
      </c>
    </row>
    <row r="38" spans="1:26" s="23" customFormat="1" hidden="1" outlineLevel="1" x14ac:dyDescent="0.25">
      <c r="A38" s="44"/>
      <c r="B38" s="10" t="str">
        <f>CONCATENATE("          ", "5026", " - ", "PURCHASES @ COST-WRITING INSTR")</f>
        <v xml:space="preserve">          5026 - PURCHASES @ COST-WRITING INSTR</v>
      </c>
      <c r="C38" s="10"/>
      <c r="D38" s="2"/>
      <c r="E38" s="2"/>
      <c r="F38" s="19">
        <f t="shared" si="10"/>
        <v>0</v>
      </c>
      <c r="G38" s="2"/>
      <c r="H38" s="2">
        <v>-6087.14</v>
      </c>
      <c r="I38" s="2"/>
      <c r="J38" s="19">
        <f t="shared" si="11"/>
        <v>-0.87180456673584217</v>
      </c>
      <c r="K38" s="2"/>
      <c r="L38" s="2">
        <f t="shared" si="12"/>
        <v>6087.14</v>
      </c>
      <c r="M38" s="2"/>
      <c r="N38" s="19">
        <f t="shared" si="13"/>
        <v>-1</v>
      </c>
      <c r="O38" s="10"/>
      <c r="P38" s="2">
        <v>0</v>
      </c>
      <c r="Q38" s="2"/>
      <c r="R38" s="19">
        <f t="shared" si="14"/>
        <v>0</v>
      </c>
      <c r="S38" s="2"/>
      <c r="T38" s="2">
        <v>39626.85</v>
      </c>
      <c r="U38" s="2"/>
      <c r="V38" s="19">
        <f t="shared" si="15"/>
        <v>9.6384561920693487E-2</v>
      </c>
      <c r="W38" s="2"/>
      <c r="X38" s="2">
        <f t="shared" si="16"/>
        <v>-39626.85</v>
      </c>
      <c r="Y38" s="2"/>
      <c r="Z38" s="19">
        <f t="shared" si="17"/>
        <v>-1</v>
      </c>
    </row>
    <row r="39" spans="1:26" s="23" customFormat="1" hidden="1" outlineLevel="1" x14ac:dyDescent="0.25">
      <c r="A39" s="44"/>
      <c r="B39" s="10" t="str">
        <f>CONCATENATE("          ", "5027", " - ", "PURCHASES @ COST-SCHOOL SUPPLI")</f>
        <v xml:space="preserve">          5027 - PURCHASES @ COST-SCHOOL SUPPLI</v>
      </c>
      <c r="C39" s="10"/>
      <c r="D39" s="2"/>
      <c r="E39" s="2"/>
      <c r="F39" s="19">
        <f t="shared" si="10"/>
        <v>0</v>
      </c>
      <c r="G39" s="2"/>
      <c r="H39" s="2">
        <v>-2165.11</v>
      </c>
      <c r="I39" s="2"/>
      <c r="J39" s="19">
        <f t="shared" si="11"/>
        <v>-0.3100886106587723</v>
      </c>
      <c r="K39" s="2"/>
      <c r="L39" s="2">
        <f t="shared" si="12"/>
        <v>2165.11</v>
      </c>
      <c r="M39" s="2"/>
      <c r="N39" s="19">
        <f t="shared" si="13"/>
        <v>-1</v>
      </c>
      <c r="O39" s="10"/>
      <c r="P39" s="2">
        <v>0</v>
      </c>
      <c r="Q39" s="2"/>
      <c r="R39" s="19">
        <f t="shared" si="14"/>
        <v>0</v>
      </c>
      <c r="S39" s="2"/>
      <c r="T39" s="2">
        <v>137053.04</v>
      </c>
      <c r="U39" s="2"/>
      <c r="V39" s="19">
        <f t="shared" si="15"/>
        <v>0.33335471328907751</v>
      </c>
      <c r="W39" s="2"/>
      <c r="X39" s="2">
        <f t="shared" si="16"/>
        <v>-137053.04</v>
      </c>
      <c r="Y39" s="2"/>
      <c r="Z39" s="19">
        <f t="shared" si="17"/>
        <v>-1</v>
      </c>
    </row>
    <row r="40" spans="1:26" s="23" customFormat="1" hidden="1" outlineLevel="1" x14ac:dyDescent="0.25">
      <c r="A40" s="44"/>
      <c r="B40" s="10" t="str">
        <f>CONCATENATE("          ", "5028", " - ", "PURCHASES @ COST-ART/TECH")</f>
        <v xml:space="preserve">          5028 - PURCHASES @ COST-ART/TECH</v>
      </c>
      <c r="C40" s="10"/>
      <c r="D40" s="2"/>
      <c r="E40" s="2"/>
      <c r="F40" s="19">
        <f t="shared" si="10"/>
        <v>0</v>
      </c>
      <c r="G40" s="2"/>
      <c r="H40" s="2">
        <v>12.49</v>
      </c>
      <c r="I40" s="2"/>
      <c r="J40" s="19">
        <f t="shared" si="11"/>
        <v>1.7888267788371333E-3</v>
      </c>
      <c r="K40" s="2"/>
      <c r="L40" s="2">
        <f t="shared" si="12"/>
        <v>-12.49</v>
      </c>
      <c r="M40" s="2"/>
      <c r="N40" s="19">
        <f t="shared" si="13"/>
        <v>-1</v>
      </c>
      <c r="O40" s="10"/>
      <c r="P40" s="2">
        <v>0</v>
      </c>
      <c r="Q40" s="2"/>
      <c r="R40" s="19">
        <f t="shared" si="14"/>
        <v>0</v>
      </c>
      <c r="S40" s="2"/>
      <c r="T40" s="2">
        <v>7662.01</v>
      </c>
      <c r="U40" s="2"/>
      <c r="V40" s="19">
        <f t="shared" si="15"/>
        <v>1.8636340695310699E-2</v>
      </c>
      <c r="W40" s="2"/>
      <c r="X40" s="2">
        <f t="shared" si="16"/>
        <v>-7662.01</v>
      </c>
      <c r="Y40" s="2"/>
      <c r="Z40" s="19">
        <f t="shared" si="17"/>
        <v>-1</v>
      </c>
    </row>
    <row r="41" spans="1:26" s="23" customFormat="1" hidden="1" outlineLevel="1" x14ac:dyDescent="0.25">
      <c r="A41" s="44"/>
      <c r="B41" s="10" t="str">
        <f>CONCATENATE("          ", "5031", " - ", "PURCHASES @ COST-FOOD")</f>
        <v xml:space="preserve">          5031 - PURCHASES @ COST-FOOD</v>
      </c>
      <c r="C41" s="10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0"/>
      <c r="P41" s="2"/>
      <c r="Q41" s="2"/>
      <c r="R41" s="19">
        <f t="shared" si="14"/>
        <v>0</v>
      </c>
      <c r="S41" s="2"/>
      <c r="T41" s="2">
        <v>780.53</v>
      </c>
      <c r="U41" s="2"/>
      <c r="V41" s="19">
        <f t="shared" si="15"/>
        <v>1.8984865593898803E-3</v>
      </c>
      <c r="W41" s="2"/>
      <c r="X41" s="2">
        <f t="shared" si="16"/>
        <v>-780.53</v>
      </c>
      <c r="Y41" s="2"/>
      <c r="Z41" s="19">
        <f t="shared" si="17"/>
        <v>-1</v>
      </c>
    </row>
    <row r="42" spans="1:26" s="23" customFormat="1" hidden="1" outlineLevel="1" x14ac:dyDescent="0.25">
      <c r="A42" s="44"/>
      <c r="B42" s="10" t="str">
        <f>CONCATENATE("          ", "5033", " - ", "PURCHASES @ COST-CANDY")</f>
        <v xml:space="preserve">          5033 - PURCHASES @ COST-CANDY</v>
      </c>
      <c r="C42" s="10"/>
      <c r="D42" s="2"/>
      <c r="E42" s="2"/>
      <c r="F42" s="19">
        <f t="shared" si="10"/>
        <v>0</v>
      </c>
      <c r="G42" s="2"/>
      <c r="H42" s="2"/>
      <c r="I42" s="2"/>
      <c r="J42" s="19">
        <f t="shared" si="11"/>
        <v>0</v>
      </c>
      <c r="K42" s="2"/>
      <c r="L42" s="2">
        <f t="shared" si="12"/>
        <v>0</v>
      </c>
      <c r="M42" s="2"/>
      <c r="N42" s="19">
        <f t="shared" si="13"/>
        <v>0</v>
      </c>
      <c r="O42" s="10"/>
      <c r="P42" s="2"/>
      <c r="Q42" s="2"/>
      <c r="R42" s="19">
        <f t="shared" si="14"/>
        <v>0</v>
      </c>
      <c r="S42" s="2"/>
      <c r="T42" s="2">
        <v>1119.08</v>
      </c>
      <c r="U42" s="2"/>
      <c r="V42" s="19">
        <f t="shared" si="15"/>
        <v>2.7219432166374481E-3</v>
      </c>
      <c r="W42" s="2"/>
      <c r="X42" s="2">
        <f t="shared" si="16"/>
        <v>-1119.08</v>
      </c>
      <c r="Y42" s="2"/>
      <c r="Z42" s="19">
        <f t="shared" si="17"/>
        <v>-1</v>
      </c>
    </row>
    <row r="43" spans="1:26" s="23" customFormat="1" hidden="1" outlineLevel="1" x14ac:dyDescent="0.25">
      <c r="A43" s="44"/>
      <c r="B43" s="10" t="str">
        <f>CONCATENATE("          ", "5035", " - ", "PURCHASES @ COST-HEALTH &amp; BEAU")</f>
        <v xml:space="preserve">          5035 - PURCHASES @ COST-HEALTH &amp; BEAU</v>
      </c>
      <c r="C43" s="10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0"/>
      <c r="P43" s="2"/>
      <c r="Q43" s="2"/>
      <c r="R43" s="19">
        <f t="shared" si="14"/>
        <v>0</v>
      </c>
      <c r="S43" s="2"/>
      <c r="T43" s="2">
        <v>36.25</v>
      </c>
      <c r="U43" s="2"/>
      <c r="V43" s="19">
        <f t="shared" si="15"/>
        <v>8.8171034781344939E-5</v>
      </c>
      <c r="W43" s="2"/>
      <c r="X43" s="2">
        <f t="shared" si="16"/>
        <v>-36.25</v>
      </c>
      <c r="Y43" s="2"/>
      <c r="Z43" s="19">
        <f t="shared" si="17"/>
        <v>-1</v>
      </c>
    </row>
    <row r="44" spans="1:26" s="23" customFormat="1" hidden="1" outlineLevel="1" x14ac:dyDescent="0.25">
      <c r="A44" s="44"/>
      <c r="B44" s="10" t="str">
        <f>CONCATENATE("          ", "5200", " - ", "PURCHASES OFFSET")</f>
        <v xml:space="preserve">          5200 - PURCHASES OFFSET</v>
      </c>
      <c r="C44" s="10"/>
      <c r="D44" s="2"/>
      <c r="E44" s="2"/>
      <c r="F44" s="19">
        <f t="shared" si="10"/>
        <v>0</v>
      </c>
      <c r="G44" s="2"/>
      <c r="H44" s="2">
        <v>8031</v>
      </c>
      <c r="I44" s="2"/>
      <c r="J44" s="19">
        <f t="shared" si="11"/>
        <v>1.150205593341955</v>
      </c>
      <c r="K44" s="2"/>
      <c r="L44" s="2">
        <f t="shared" si="12"/>
        <v>-8031</v>
      </c>
      <c r="M44" s="2"/>
      <c r="N44" s="19">
        <f t="shared" si="13"/>
        <v>-1</v>
      </c>
      <c r="O44" s="10"/>
      <c r="P44" s="2"/>
      <c r="Q44" s="2"/>
      <c r="R44" s="19">
        <f t="shared" si="14"/>
        <v>0</v>
      </c>
      <c r="S44" s="2"/>
      <c r="T44" s="2">
        <v>-215427</v>
      </c>
      <c r="U44" s="2"/>
      <c r="V44" s="19">
        <f t="shared" si="15"/>
        <v>-0.52398404165078061</v>
      </c>
      <c r="W44" s="2"/>
      <c r="X44" s="2">
        <f t="shared" si="16"/>
        <v>215427</v>
      </c>
      <c r="Y44" s="2"/>
      <c r="Z44" s="19">
        <f t="shared" si="17"/>
        <v>-1</v>
      </c>
    </row>
    <row r="45" spans="1:26" s="23" customFormat="1" hidden="1" outlineLevel="1" x14ac:dyDescent="0.25">
      <c r="A45" s="44"/>
      <c r="B45" s="10" t="str">
        <f>CONCATENATE("          ", "5300", " - ", "COG$ OFFSET")</f>
        <v xml:space="preserve">          5300 - COG$ OFFSET</v>
      </c>
      <c r="C45" s="10"/>
      <c r="D45" s="2"/>
      <c r="E45" s="2"/>
      <c r="F45" s="19">
        <f t="shared" si="10"/>
        <v>0</v>
      </c>
      <c r="G45" s="2"/>
      <c r="H45" s="2">
        <v>6103</v>
      </c>
      <c r="I45" s="2"/>
      <c r="J45" s="19">
        <f t="shared" si="11"/>
        <v>0.87407604733731181</v>
      </c>
      <c r="K45" s="2"/>
      <c r="L45" s="2">
        <f t="shared" si="12"/>
        <v>-6103</v>
      </c>
      <c r="M45" s="2"/>
      <c r="N45" s="19">
        <f t="shared" si="13"/>
        <v>-1</v>
      </c>
      <c r="O45" s="10"/>
      <c r="P45" s="2"/>
      <c r="Q45" s="2"/>
      <c r="R45" s="19">
        <f t="shared" si="14"/>
        <v>0</v>
      </c>
      <c r="S45" s="2"/>
      <c r="T45" s="2">
        <v>198318</v>
      </c>
      <c r="U45" s="2"/>
      <c r="V45" s="19">
        <f t="shared" si="15"/>
        <v>0.48236974553839357</v>
      </c>
      <c r="W45" s="2"/>
      <c r="X45" s="2">
        <f t="shared" si="16"/>
        <v>-198318</v>
      </c>
      <c r="Y45" s="2"/>
      <c r="Z45" s="19">
        <f t="shared" si="17"/>
        <v>-1</v>
      </c>
    </row>
    <row r="46" spans="1:26" s="23" customFormat="1" hidden="1" outlineLevel="1" x14ac:dyDescent="0.25">
      <c r="A46" s="44"/>
      <c r="B46" s="10" t="str">
        <f>CONCATENATE("          ", "5500", " - ", "FREIGHT-IN")</f>
        <v xml:space="preserve">          5500 - FREIGHT-IN</v>
      </c>
      <c r="C46" s="10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0"/>
      <c r="P46" s="2"/>
      <c r="Q46" s="2"/>
      <c r="R46" s="19">
        <f t="shared" si="14"/>
        <v>0</v>
      </c>
      <c r="S46" s="2"/>
      <c r="T46" s="2">
        <v>6</v>
      </c>
      <c r="U46" s="2"/>
      <c r="V46" s="19">
        <f t="shared" si="15"/>
        <v>1.4593826446567439E-5</v>
      </c>
      <c r="W46" s="2"/>
      <c r="X46" s="2">
        <f t="shared" si="16"/>
        <v>-6</v>
      </c>
      <c r="Y46" s="2"/>
      <c r="Z46" s="19">
        <f t="shared" si="17"/>
        <v>-1</v>
      </c>
    </row>
    <row r="47" spans="1:26" s="23" customFormat="1" hidden="1" outlineLevel="1" x14ac:dyDescent="0.25">
      <c r="A47" s="44"/>
      <c r="B47" s="10" t="str">
        <f>CONCATENATE("          ", "5525", " - ", "FREIGHT-IN-TEST FORMS")</f>
        <v xml:space="preserve">          5525 - FREIGHT-IN-TEST FORMS</v>
      </c>
      <c r="C47" s="10"/>
      <c r="D47" s="2"/>
      <c r="E47" s="2"/>
      <c r="F47" s="19">
        <f t="shared" si="10"/>
        <v>0</v>
      </c>
      <c r="G47" s="2"/>
      <c r="H47" s="2">
        <v>377.1</v>
      </c>
      <c r="I47" s="2"/>
      <c r="J47" s="19">
        <f t="shared" si="11"/>
        <v>5.4008533090430987E-2</v>
      </c>
      <c r="K47" s="2"/>
      <c r="L47" s="2">
        <f t="shared" si="12"/>
        <v>-377.1</v>
      </c>
      <c r="M47" s="2"/>
      <c r="N47" s="19">
        <f t="shared" si="13"/>
        <v>-1</v>
      </c>
      <c r="O47" s="10"/>
      <c r="P47" s="2"/>
      <c r="Q47" s="2"/>
      <c r="R47" s="19">
        <f t="shared" si="14"/>
        <v>0</v>
      </c>
      <c r="S47" s="2"/>
      <c r="T47" s="2">
        <v>1614.32</v>
      </c>
      <c r="U47" s="2"/>
      <c r="V47" s="19">
        <f t="shared" si="15"/>
        <v>3.9265176515371246E-3</v>
      </c>
      <c r="W47" s="2"/>
      <c r="X47" s="2">
        <f t="shared" si="16"/>
        <v>-1614.32</v>
      </c>
      <c r="Y47" s="2"/>
      <c r="Z47" s="19">
        <f t="shared" si="17"/>
        <v>-1</v>
      </c>
    </row>
    <row r="48" spans="1:26" s="23" customFormat="1" hidden="1" outlineLevel="1" x14ac:dyDescent="0.25">
      <c r="A48" s="44"/>
      <c r="B48" s="10" t="str">
        <f>CONCATENATE("          ", "5526", " - ", "FREIGHT-IN-WRITING INSTRUMENTS")</f>
        <v xml:space="preserve">          5526 - FREIGHT-IN-WRITING INSTRUMENTS</v>
      </c>
      <c r="C48" s="10"/>
      <c r="D48" s="2"/>
      <c r="E48" s="2"/>
      <c r="F48" s="19">
        <f t="shared" si="10"/>
        <v>0</v>
      </c>
      <c r="G48" s="2"/>
      <c r="H48" s="2">
        <v>14.15</v>
      </c>
      <c r="I48" s="2"/>
      <c r="J48" s="19">
        <f t="shared" si="11"/>
        <v>2.0265731721813801E-3</v>
      </c>
      <c r="K48" s="2"/>
      <c r="L48" s="2">
        <f t="shared" si="12"/>
        <v>-14.15</v>
      </c>
      <c r="M48" s="2"/>
      <c r="N48" s="19">
        <f t="shared" si="13"/>
        <v>-1</v>
      </c>
      <c r="O48" s="10"/>
      <c r="P48" s="2"/>
      <c r="Q48" s="2"/>
      <c r="R48" s="19">
        <f t="shared" si="14"/>
        <v>0</v>
      </c>
      <c r="S48" s="2"/>
      <c r="T48" s="2">
        <v>274.5</v>
      </c>
      <c r="U48" s="2"/>
      <c r="V48" s="19">
        <f t="shared" si="15"/>
        <v>6.6766755993046033E-4</v>
      </c>
      <c r="W48" s="2"/>
      <c r="X48" s="2">
        <f t="shared" si="16"/>
        <v>-274.5</v>
      </c>
      <c r="Y48" s="2"/>
      <c r="Z48" s="19">
        <f t="shared" si="17"/>
        <v>-1</v>
      </c>
    </row>
    <row r="49" spans="1:26" s="23" customFormat="1" hidden="1" outlineLevel="1" x14ac:dyDescent="0.25">
      <c r="A49" s="44"/>
      <c r="B49" s="10" t="str">
        <f>CONCATENATE("          ", "5527", " - ", "FREIGHT-IN-SCHOOL SUPPLIES")</f>
        <v xml:space="preserve">          5527 - FREIGHT-IN-SCHOOL SUPPLIES</v>
      </c>
      <c r="C49" s="10"/>
      <c r="D49" s="2"/>
      <c r="E49" s="2"/>
      <c r="F49" s="19">
        <f t="shared" si="10"/>
        <v>0</v>
      </c>
      <c r="G49" s="2"/>
      <c r="H49" s="2">
        <v>-155.31</v>
      </c>
      <c r="I49" s="2"/>
      <c r="J49" s="19">
        <f t="shared" si="11"/>
        <v>-2.2243609849575276E-2</v>
      </c>
      <c r="K49" s="2"/>
      <c r="L49" s="2">
        <f t="shared" si="12"/>
        <v>155.31</v>
      </c>
      <c r="M49" s="2"/>
      <c r="N49" s="19">
        <f t="shared" si="13"/>
        <v>-1</v>
      </c>
      <c r="O49" s="10"/>
      <c r="P49" s="2"/>
      <c r="Q49" s="2"/>
      <c r="R49" s="19">
        <f t="shared" si="14"/>
        <v>0</v>
      </c>
      <c r="S49" s="2"/>
      <c r="T49" s="2">
        <v>1438.72</v>
      </c>
      <c r="U49" s="2"/>
      <c r="V49" s="19">
        <f t="shared" si="15"/>
        <v>3.4994049975342512E-3</v>
      </c>
      <c r="W49" s="2"/>
      <c r="X49" s="2">
        <f t="shared" si="16"/>
        <v>-1438.72</v>
      </c>
      <c r="Y49" s="2"/>
      <c r="Z49" s="19">
        <f t="shared" si="17"/>
        <v>-1</v>
      </c>
    </row>
    <row r="50" spans="1:26" s="23" customFormat="1" hidden="1" outlineLevel="1" x14ac:dyDescent="0.25">
      <c r="A50" s="44"/>
      <c r="B50" s="10" t="str">
        <f>CONCATENATE("          ", "5528", " - ", "FREIGHT-IN-ART/TECH")</f>
        <v xml:space="preserve">          5528 - FREIGHT-IN-ART/TECH</v>
      </c>
      <c r="C50" s="10"/>
      <c r="D50" s="2"/>
      <c r="E50" s="2"/>
      <c r="F50" s="19">
        <f t="shared" si="10"/>
        <v>0</v>
      </c>
      <c r="G50" s="2"/>
      <c r="H50" s="2">
        <v>-27</v>
      </c>
      <c r="I50" s="2"/>
      <c r="J50" s="19">
        <f t="shared" si="11"/>
        <v>-3.866959409816061E-3</v>
      </c>
      <c r="K50" s="2"/>
      <c r="L50" s="2">
        <f t="shared" si="12"/>
        <v>27</v>
      </c>
      <c r="M50" s="2"/>
      <c r="N50" s="19">
        <f t="shared" si="13"/>
        <v>-1</v>
      </c>
      <c r="O50" s="10"/>
      <c r="P50" s="2"/>
      <c r="Q50" s="2"/>
      <c r="R50" s="19">
        <f t="shared" si="14"/>
        <v>0</v>
      </c>
      <c r="S50" s="2"/>
      <c r="T50" s="2">
        <v>100.78</v>
      </c>
      <c r="U50" s="2"/>
      <c r="V50" s="19">
        <f t="shared" si="15"/>
        <v>2.4512763821417773E-4</v>
      </c>
      <c r="W50" s="2"/>
      <c r="X50" s="2">
        <f t="shared" si="16"/>
        <v>-100.78</v>
      </c>
      <c r="Y50" s="2"/>
      <c r="Z50" s="19">
        <f t="shared" si="17"/>
        <v>-1</v>
      </c>
    </row>
    <row r="51" spans="1:26" x14ac:dyDescent="0.25">
      <c r="A51" s="9"/>
      <c r="B51" s="11"/>
      <c r="C51" s="11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1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x14ac:dyDescent="0.25">
      <c r="A52" s="11"/>
      <c r="B52" s="28" t="s">
        <v>107</v>
      </c>
      <c r="C52" s="28"/>
      <c r="D52" s="20">
        <f>D12-D35</f>
        <v>0</v>
      </c>
      <c r="E52" s="14"/>
      <c r="F52" s="21">
        <f>IF(D$12=0,0,D52/D$12)</f>
        <v>0</v>
      </c>
      <c r="G52" s="14"/>
      <c r="H52" s="20">
        <f>H12-H35</f>
        <v>879.050000000002</v>
      </c>
      <c r="I52" s="14"/>
      <c r="J52" s="21">
        <f>IF(H$12=0,0,H52/H$12)</f>
        <v>0.12589817293328948</v>
      </c>
      <c r="K52" s="15"/>
      <c r="L52" s="20">
        <f>+D52-H52</f>
        <v>-879.050000000002</v>
      </c>
      <c r="M52" s="15"/>
      <c r="N52" s="21">
        <f>IF(H52=0,0,L52/H52)</f>
        <v>-1</v>
      </c>
      <c r="O52" s="29"/>
      <c r="P52" s="20">
        <f>P12-P35</f>
        <v>0</v>
      </c>
      <c r="Q52" s="14"/>
      <c r="R52" s="21">
        <f>IF(P$12=0,0,P52/P$12)</f>
        <v>0</v>
      </c>
      <c r="S52" s="14"/>
      <c r="T52" s="20">
        <f>T12-T35</f>
        <v>212809.06000000006</v>
      </c>
      <c r="U52" s="14"/>
      <c r="V52" s="21">
        <f>IF(T$12=0,0,T52/T$12)</f>
        <v>0.51761641464952624</v>
      </c>
      <c r="W52" s="15"/>
      <c r="X52" s="20">
        <f>+P52-T52</f>
        <v>-212809.06000000006</v>
      </c>
      <c r="Y52" s="15"/>
      <c r="Z52" s="21">
        <f>IF(T52=0,0,X52/T52)</f>
        <v>-1</v>
      </c>
    </row>
    <row r="53" spans="1:26" x14ac:dyDescent="0.25">
      <c r="A53" s="9"/>
      <c r="B53" s="11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4" customFormat="1" x14ac:dyDescent="0.25">
      <c r="A54" s="11"/>
      <c r="B54" s="29" t="s">
        <v>294</v>
      </c>
      <c r="C54" s="11"/>
      <c r="D54" s="22">
        <f>SUM(OSRRefD22x_0)</f>
        <v>0</v>
      </c>
      <c r="E54" s="22"/>
      <c r="F54" s="32">
        <f t="shared" ref="F54:F64" si="18">IF(D$12=0,0,D54/D$12)</f>
        <v>0</v>
      </c>
      <c r="G54" s="22"/>
      <c r="H54" s="22">
        <f>SUM(OSRRefH22x_0)</f>
        <v>8541.9599999999991</v>
      </c>
      <c r="I54" s="22"/>
      <c r="J54" s="32">
        <f t="shared" ref="J54:J64" si="19">IF(H$12=0,0,H54/H$12)</f>
        <v>1.2233856518619406</v>
      </c>
      <c r="K54" s="4"/>
      <c r="L54" s="22">
        <f t="shared" ref="L54:L64" si="20">+D54-H54</f>
        <v>-8541.9599999999991</v>
      </c>
      <c r="M54" s="4"/>
      <c r="N54" s="32">
        <f t="shared" ref="N54:N64" si="21">IF(H54=0,0,L54/H54)</f>
        <v>-1</v>
      </c>
      <c r="O54" s="11"/>
      <c r="P54" s="22">
        <f>SUM(OSRRefP22x_0)</f>
        <v>0</v>
      </c>
      <c r="Q54" s="22"/>
      <c r="R54" s="32">
        <f t="shared" ref="R54:R64" si="22">IF(P$12=0,0,P54/P$12)</f>
        <v>0</v>
      </c>
      <c r="S54" s="22"/>
      <c r="T54" s="22">
        <f>SUM(OSRRefT22x_0)</f>
        <v>108242.78999999998</v>
      </c>
      <c r="U54" s="22"/>
      <c r="V54" s="32">
        <f t="shared" ref="V54:V64" si="23">IF(T$12=0,0,T54/T$12)</f>
        <v>0.26327941522537418</v>
      </c>
      <c r="W54" s="4"/>
      <c r="X54" s="22">
        <f t="shared" ref="X54:X64" si="24">+P54-T54</f>
        <v>-108242.78999999998</v>
      </c>
      <c r="Y54" s="4"/>
      <c r="Z54" s="32">
        <f t="shared" ref="Z54:Z64" si="25">IF(T54=0,0,X54/T54)</f>
        <v>-1</v>
      </c>
    </row>
    <row r="55" spans="1:26" s="26" customFormat="1" outlineLevel="1" collapsed="1" x14ac:dyDescent="0.25">
      <c r="A55" s="25"/>
      <c r="B55" s="12" t="str">
        <f>CONCATENATE("     ","*Benefits                                         ")</f>
        <v xml:space="preserve">     *Benefits                                         </v>
      </c>
      <c r="C55" s="12"/>
      <c r="D55" s="1">
        <f>SUM(OSRRefD22_0x_0)</f>
        <v>0</v>
      </c>
      <c r="E55" s="1"/>
      <c r="F55" s="5">
        <f t="shared" si="18"/>
        <v>0</v>
      </c>
      <c r="G55" s="1"/>
      <c r="H55" s="1">
        <f>SUM(OSRRefH22_0x_0)</f>
        <v>2869.59</v>
      </c>
      <c r="I55" s="1"/>
      <c r="J55" s="5">
        <f t="shared" si="19"/>
        <v>0.41098474269681745</v>
      </c>
      <c r="K55" s="1"/>
      <c r="L55" s="1">
        <f t="shared" si="20"/>
        <v>-2869.59</v>
      </c>
      <c r="M55" s="1"/>
      <c r="N55" s="5">
        <f t="shared" si="21"/>
        <v>-1</v>
      </c>
      <c r="O55" s="12"/>
      <c r="P55" s="1">
        <f>SUM(OSRRefP22_0x_0)</f>
        <v>0</v>
      </c>
      <c r="Q55" s="1"/>
      <c r="R55" s="5">
        <f t="shared" si="22"/>
        <v>0</v>
      </c>
      <c r="S55" s="1"/>
      <c r="T55" s="1">
        <f>SUM(OSRRefT22_0x_0)</f>
        <v>15927.260000000002</v>
      </c>
      <c r="U55" s="1"/>
      <c r="V55" s="5">
        <f t="shared" si="23"/>
        <v>3.8739944701559288E-2</v>
      </c>
      <c r="W55" s="1"/>
      <c r="X55" s="1">
        <f t="shared" si="24"/>
        <v>-15927.260000000002</v>
      </c>
      <c r="Y55" s="1"/>
      <c r="Z55" s="5">
        <f t="shared" si="25"/>
        <v>-1</v>
      </c>
    </row>
    <row r="56" spans="1:26" s="23" customFormat="1" hidden="1" outlineLevel="2" x14ac:dyDescent="0.25">
      <c r="A56" s="27"/>
      <c r="B56" s="10" t="str">
        <f>CONCATENATE("          ", "6111", " - ", "F.I.C.A.")</f>
        <v xml:space="preserve">          6111 - F.I.C.A.</v>
      </c>
      <c r="C56" s="10"/>
      <c r="D56" s="6"/>
      <c r="E56" s="2"/>
      <c r="F56" s="7">
        <f t="shared" si="18"/>
        <v>0</v>
      </c>
      <c r="G56" s="2"/>
      <c r="H56" s="6">
        <v>318.24</v>
      </c>
      <c r="I56" s="2"/>
      <c r="J56" s="7">
        <f t="shared" si="19"/>
        <v>4.5578561577031974E-2</v>
      </c>
      <c r="K56" s="2"/>
      <c r="L56" s="6">
        <f t="shared" si="20"/>
        <v>-318.24</v>
      </c>
      <c r="M56" s="2"/>
      <c r="N56" s="7">
        <f t="shared" si="21"/>
        <v>-1</v>
      </c>
      <c r="O56" s="10"/>
      <c r="P56" s="6"/>
      <c r="Q56" s="2"/>
      <c r="R56" s="7">
        <f t="shared" si="22"/>
        <v>0</v>
      </c>
      <c r="S56" s="2"/>
      <c r="T56" s="6">
        <v>3575.9</v>
      </c>
      <c r="U56" s="2"/>
      <c r="V56" s="7">
        <f t="shared" si="23"/>
        <v>8.697677331713418E-3</v>
      </c>
      <c r="W56" s="2"/>
      <c r="X56" s="6">
        <f t="shared" si="24"/>
        <v>-3575.9</v>
      </c>
      <c r="Y56" s="2"/>
      <c r="Z56" s="7">
        <f t="shared" si="25"/>
        <v>-1</v>
      </c>
    </row>
    <row r="57" spans="1:26" s="23" customFormat="1" hidden="1" outlineLevel="2" x14ac:dyDescent="0.25">
      <c r="A57" s="27"/>
      <c r="B57" s="10" t="str">
        <f>CONCATENATE("          ", "6112", " - ", "COMPENSATION INSURANCE")</f>
        <v xml:space="preserve">          6112 - COMPENSATION INSURANCE</v>
      </c>
      <c r="C57" s="10"/>
      <c r="D57" s="6"/>
      <c r="E57" s="2"/>
      <c r="F57" s="7">
        <f t="shared" si="18"/>
        <v>0</v>
      </c>
      <c r="G57" s="2"/>
      <c r="H57" s="6">
        <v>118.56</v>
      </c>
      <c r="I57" s="2"/>
      <c r="J57" s="7">
        <f t="shared" si="19"/>
        <v>1.698024843065897E-2</v>
      </c>
      <c r="K57" s="2"/>
      <c r="L57" s="6">
        <f t="shared" si="20"/>
        <v>-118.56</v>
      </c>
      <c r="M57" s="2"/>
      <c r="N57" s="7">
        <f t="shared" si="21"/>
        <v>-1</v>
      </c>
      <c r="O57" s="10"/>
      <c r="P57" s="6"/>
      <c r="Q57" s="2"/>
      <c r="R57" s="7">
        <f t="shared" si="22"/>
        <v>0</v>
      </c>
      <c r="S57" s="2"/>
      <c r="T57" s="6">
        <v>1429.37</v>
      </c>
      <c r="U57" s="2"/>
      <c r="V57" s="7">
        <f t="shared" si="23"/>
        <v>3.476662951321683E-3</v>
      </c>
      <c r="W57" s="2"/>
      <c r="X57" s="6">
        <f t="shared" si="24"/>
        <v>-1429.37</v>
      </c>
      <c r="Y57" s="2"/>
      <c r="Z57" s="7">
        <f t="shared" si="25"/>
        <v>-1</v>
      </c>
    </row>
    <row r="58" spans="1:26" s="23" customFormat="1" hidden="1" outlineLevel="2" x14ac:dyDescent="0.25">
      <c r="A58" s="27"/>
      <c r="B58" s="10" t="str">
        <f>CONCATENATE("          ", "6113", " - ", "GROUP INSURANCE")</f>
        <v xml:space="preserve">          6113 - GROUP INSURANCE</v>
      </c>
      <c r="C58" s="10"/>
      <c r="D58" s="6"/>
      <c r="E58" s="2"/>
      <c r="F58" s="7">
        <f t="shared" si="18"/>
        <v>0</v>
      </c>
      <c r="G58" s="2"/>
      <c r="H58" s="6">
        <v>1367.58</v>
      </c>
      <c r="I58" s="2"/>
      <c r="J58" s="7">
        <f t="shared" si="19"/>
        <v>0.19586579072874993</v>
      </c>
      <c r="K58" s="2"/>
      <c r="L58" s="6">
        <f t="shared" si="20"/>
        <v>-1367.58</v>
      </c>
      <c r="M58" s="2"/>
      <c r="N58" s="7">
        <f t="shared" si="21"/>
        <v>-1</v>
      </c>
      <c r="O58" s="10"/>
      <c r="P58" s="6">
        <v>0</v>
      </c>
      <c r="Q58" s="2"/>
      <c r="R58" s="7">
        <f t="shared" si="22"/>
        <v>0</v>
      </c>
      <c r="S58" s="2"/>
      <c r="T58" s="6">
        <v>11397.86</v>
      </c>
      <c r="U58" s="2"/>
      <c r="V58" s="7">
        <f t="shared" si="23"/>
        <v>2.7723065117045528E-2</v>
      </c>
      <c r="W58" s="2"/>
      <c r="X58" s="6">
        <f t="shared" si="24"/>
        <v>-11397.86</v>
      </c>
      <c r="Y58" s="2"/>
      <c r="Z58" s="7">
        <f t="shared" si="25"/>
        <v>-1</v>
      </c>
    </row>
    <row r="59" spans="1:26" s="23" customFormat="1" hidden="1" outlineLevel="2" x14ac:dyDescent="0.25">
      <c r="A59" s="27"/>
      <c r="B59" s="10" t="str">
        <f>CONCATENATE("          ", "6114", " - ", "STATE UNEMPLOYMENT INSURANCE")</f>
        <v xml:space="preserve">          6114 - STATE UNEMPLOYMENT INSURANCE</v>
      </c>
      <c r="C59" s="10"/>
      <c r="D59" s="6"/>
      <c r="E59" s="2"/>
      <c r="F59" s="7">
        <f t="shared" si="18"/>
        <v>0</v>
      </c>
      <c r="G59" s="2"/>
      <c r="H59" s="6">
        <v>16.22</v>
      </c>
      <c r="I59" s="2"/>
      <c r="J59" s="7">
        <f t="shared" si="19"/>
        <v>2.3230400602672779E-3</v>
      </c>
      <c r="K59" s="2"/>
      <c r="L59" s="6">
        <f t="shared" si="20"/>
        <v>-16.22</v>
      </c>
      <c r="M59" s="2"/>
      <c r="N59" s="7">
        <f t="shared" si="21"/>
        <v>-1</v>
      </c>
      <c r="O59" s="10"/>
      <c r="P59" s="6"/>
      <c r="Q59" s="2"/>
      <c r="R59" s="7">
        <f t="shared" si="22"/>
        <v>0</v>
      </c>
      <c r="S59" s="2"/>
      <c r="T59" s="6">
        <v>215.17</v>
      </c>
      <c r="U59" s="2"/>
      <c r="V59" s="7">
        <f t="shared" si="23"/>
        <v>5.2335893941798592E-4</v>
      </c>
      <c r="W59" s="2"/>
      <c r="X59" s="6">
        <f t="shared" si="24"/>
        <v>-215.17</v>
      </c>
      <c r="Y59" s="2"/>
      <c r="Z59" s="7">
        <f t="shared" si="25"/>
        <v>-1</v>
      </c>
    </row>
    <row r="60" spans="1:26" s="23" customFormat="1" hidden="1" outlineLevel="2" x14ac:dyDescent="0.25">
      <c r="A60" s="27"/>
      <c r="B60" s="10" t="str">
        <f>CONCATENATE("          ", "6115", " - ", "P.E.R.S.")</f>
        <v xml:space="preserve">          6115 - P.E.R.S.</v>
      </c>
      <c r="C60" s="10"/>
      <c r="D60" s="6"/>
      <c r="E60" s="2"/>
      <c r="F60" s="7">
        <f t="shared" si="18"/>
        <v>0</v>
      </c>
      <c r="G60" s="2"/>
      <c r="H60" s="6">
        <v>425.19</v>
      </c>
      <c r="I60" s="2"/>
      <c r="J60" s="7">
        <f t="shared" si="19"/>
        <v>6.0896017461470033E-2</v>
      </c>
      <c r="K60" s="2"/>
      <c r="L60" s="6">
        <f t="shared" si="20"/>
        <v>-425.19</v>
      </c>
      <c r="M60" s="2"/>
      <c r="N60" s="7">
        <f t="shared" si="21"/>
        <v>-1</v>
      </c>
      <c r="O60" s="10"/>
      <c r="P60" s="6"/>
      <c r="Q60" s="2"/>
      <c r="R60" s="7">
        <f t="shared" si="22"/>
        <v>0</v>
      </c>
      <c r="S60" s="2"/>
      <c r="T60" s="6">
        <v>2838.73</v>
      </c>
      <c r="U60" s="2"/>
      <c r="V60" s="7">
        <f t="shared" si="23"/>
        <v>6.9046554914440643E-3</v>
      </c>
      <c r="W60" s="2"/>
      <c r="X60" s="6">
        <f t="shared" si="24"/>
        <v>-2838.73</v>
      </c>
      <c r="Y60" s="2"/>
      <c r="Z60" s="7">
        <f t="shared" si="25"/>
        <v>-1</v>
      </c>
    </row>
    <row r="61" spans="1:26" s="23" customFormat="1" hidden="1" outlineLevel="2" x14ac:dyDescent="0.25">
      <c r="A61" s="27"/>
      <c r="B61" s="10" t="str">
        <f>CONCATENATE("          ", "6117", " - ", "RETIREMENT STAFF HOURLY")</f>
        <v xml:space="preserve">          6117 - RETIREMENT STAFF HOURLY</v>
      </c>
      <c r="C61" s="10"/>
      <c r="D61" s="6"/>
      <c r="E61" s="2"/>
      <c r="F61" s="7">
        <f t="shared" si="18"/>
        <v>0</v>
      </c>
      <c r="G61" s="2"/>
      <c r="H61" s="6"/>
      <c r="I61" s="2"/>
      <c r="J61" s="7">
        <f t="shared" si="19"/>
        <v>0</v>
      </c>
      <c r="K61" s="2"/>
      <c r="L61" s="6">
        <f t="shared" si="20"/>
        <v>0</v>
      </c>
      <c r="M61" s="2"/>
      <c r="N61" s="7">
        <f t="shared" si="21"/>
        <v>0</v>
      </c>
      <c r="O61" s="10"/>
      <c r="P61" s="6">
        <v>0</v>
      </c>
      <c r="Q61" s="2"/>
      <c r="R61" s="7">
        <f t="shared" si="22"/>
        <v>0</v>
      </c>
      <c r="S61" s="2"/>
      <c r="T61" s="6">
        <v>46.65</v>
      </c>
      <c r="U61" s="2"/>
      <c r="V61" s="7">
        <f t="shared" si="23"/>
        <v>1.1346700062206183E-4</v>
      </c>
      <c r="W61" s="2"/>
      <c r="X61" s="6">
        <f t="shared" si="24"/>
        <v>-46.65</v>
      </c>
      <c r="Y61" s="2"/>
      <c r="Z61" s="7">
        <f t="shared" si="25"/>
        <v>-1</v>
      </c>
    </row>
    <row r="62" spans="1:26" s="23" customFormat="1" hidden="1" outlineLevel="2" x14ac:dyDescent="0.25">
      <c r="A62" s="27"/>
      <c r="B62" s="10" t="str">
        <f>CONCATENATE("          ", "6118", " - ", "VACATION")</f>
        <v xml:space="preserve">          6118 - VACATION</v>
      </c>
      <c r="C62" s="10"/>
      <c r="D62" s="6"/>
      <c r="E62" s="2"/>
      <c r="F62" s="7">
        <f t="shared" si="18"/>
        <v>0</v>
      </c>
      <c r="G62" s="2"/>
      <c r="H62" s="6">
        <v>335.92</v>
      </c>
      <c r="I62" s="2"/>
      <c r="J62" s="7">
        <f t="shared" si="19"/>
        <v>4.8110703886867084E-2</v>
      </c>
      <c r="K62" s="2"/>
      <c r="L62" s="6">
        <f t="shared" si="20"/>
        <v>-335.92</v>
      </c>
      <c r="M62" s="2"/>
      <c r="N62" s="7">
        <f t="shared" si="21"/>
        <v>-1</v>
      </c>
      <c r="O62" s="10"/>
      <c r="P62" s="6"/>
      <c r="Q62" s="2"/>
      <c r="R62" s="7">
        <f t="shared" si="22"/>
        <v>0</v>
      </c>
      <c r="S62" s="2"/>
      <c r="T62" s="6">
        <v>2413.56</v>
      </c>
      <c r="U62" s="2"/>
      <c r="V62" s="7">
        <f t="shared" si="23"/>
        <v>5.8705126263962175E-3</v>
      </c>
      <c r="W62" s="2"/>
      <c r="X62" s="6">
        <f t="shared" si="24"/>
        <v>-2413.56</v>
      </c>
      <c r="Y62" s="2"/>
      <c r="Z62" s="7">
        <f t="shared" si="25"/>
        <v>-1</v>
      </c>
    </row>
    <row r="63" spans="1:26" s="23" customFormat="1" hidden="1" outlineLevel="2" x14ac:dyDescent="0.25">
      <c r="A63" s="27"/>
      <c r="B63" s="10" t="str">
        <f>CONCATENATE("          ", "6119", " - ", "SICK LEAVE")</f>
        <v xml:space="preserve">          6119 - SICK LEAVE</v>
      </c>
      <c r="C63" s="10"/>
      <c r="D63" s="6"/>
      <c r="E63" s="2"/>
      <c r="F63" s="7">
        <f t="shared" si="18"/>
        <v>0</v>
      </c>
      <c r="G63" s="2"/>
      <c r="H63" s="6">
        <v>191.88</v>
      </c>
      <c r="I63" s="2"/>
      <c r="J63" s="7">
        <f t="shared" si="19"/>
        <v>2.7481191539092804E-2</v>
      </c>
      <c r="K63" s="2"/>
      <c r="L63" s="6">
        <f t="shared" si="20"/>
        <v>-191.88</v>
      </c>
      <c r="M63" s="2"/>
      <c r="N63" s="7">
        <f t="shared" si="21"/>
        <v>-1</v>
      </c>
      <c r="O63" s="10"/>
      <c r="P63" s="6"/>
      <c r="Q63" s="2"/>
      <c r="R63" s="7">
        <f t="shared" si="22"/>
        <v>0</v>
      </c>
      <c r="S63" s="2"/>
      <c r="T63" s="6">
        <v>-6474.83</v>
      </c>
      <c r="U63" s="2"/>
      <c r="V63" s="7">
        <f t="shared" si="23"/>
        <v>-1.5748757548504709E-2</v>
      </c>
      <c r="W63" s="2"/>
      <c r="X63" s="6">
        <f t="shared" si="24"/>
        <v>6474.83</v>
      </c>
      <c r="Y63" s="2"/>
      <c r="Z63" s="7">
        <f t="shared" si="25"/>
        <v>-1</v>
      </c>
    </row>
    <row r="64" spans="1:26" s="23" customFormat="1" hidden="1" outlineLevel="2" x14ac:dyDescent="0.25">
      <c r="A64" s="27"/>
      <c r="B64" s="10" t="str">
        <f>CONCATENATE("          ", "6156", " - ", "EMPLOYEE MEALS")</f>
        <v xml:space="preserve">          6156 - EMPLOYEE MEALS</v>
      </c>
      <c r="C64" s="10"/>
      <c r="D64" s="6"/>
      <c r="E64" s="2"/>
      <c r="F64" s="7">
        <f t="shared" si="18"/>
        <v>0</v>
      </c>
      <c r="G64" s="2"/>
      <c r="H64" s="6">
        <v>96</v>
      </c>
      <c r="I64" s="2"/>
      <c r="J64" s="7">
        <f t="shared" si="19"/>
        <v>1.3749189012679328E-2</v>
      </c>
      <c r="K64" s="2"/>
      <c r="L64" s="6">
        <f t="shared" si="20"/>
        <v>-96</v>
      </c>
      <c r="M64" s="2"/>
      <c r="N64" s="7">
        <f t="shared" si="21"/>
        <v>-1</v>
      </c>
      <c r="O64" s="10"/>
      <c r="P64" s="6"/>
      <c r="Q64" s="2"/>
      <c r="R64" s="7">
        <f t="shared" si="22"/>
        <v>0</v>
      </c>
      <c r="S64" s="2"/>
      <c r="T64" s="6">
        <v>484.85</v>
      </c>
      <c r="U64" s="2"/>
      <c r="V64" s="7">
        <f t="shared" si="23"/>
        <v>1.1793027921030372E-3</v>
      </c>
      <c r="W64" s="2"/>
      <c r="X64" s="6">
        <f t="shared" si="24"/>
        <v>-484.85</v>
      </c>
      <c r="Y64" s="2"/>
      <c r="Z64" s="7">
        <f t="shared" si="25"/>
        <v>-1</v>
      </c>
    </row>
    <row r="65" spans="1:26" s="26" customFormat="1" outlineLevel="1" collapsed="1" x14ac:dyDescent="0.25">
      <c r="A65" s="25"/>
      <c r="B65" s="12" t="str">
        <f>CONCATENATE("     ","*Payroll                                          ")</f>
        <v xml:space="preserve">     *Payroll                                          </v>
      </c>
      <c r="C65" s="12"/>
      <c r="D65" s="1">
        <f>SUM(OSRRefD22_1x_0)</f>
        <v>0</v>
      </c>
      <c r="E65" s="1"/>
      <c r="F65" s="5">
        <f t="shared" ref="F65:F68" si="26">IF(D$12=0,0,D65/D$12)</f>
        <v>0</v>
      </c>
      <c r="G65" s="1"/>
      <c r="H65" s="1">
        <f>SUM(OSRRefH22_1x_0)</f>
        <v>3952</v>
      </c>
      <c r="I65" s="1"/>
      <c r="J65" s="5">
        <f t="shared" ref="J65:J68" si="27">IF(H$12=0,0,H65/H$12)</f>
        <v>0.56600828102196565</v>
      </c>
      <c r="K65" s="1"/>
      <c r="L65" s="1">
        <f t="shared" ref="L65:L68" si="28">+D65-H65</f>
        <v>-3952</v>
      </c>
      <c r="M65" s="1"/>
      <c r="N65" s="5">
        <f t="shared" ref="N65:N68" si="29">IF(H65=0,0,L65/H65)</f>
        <v>-1</v>
      </c>
      <c r="O65" s="12"/>
      <c r="P65" s="1">
        <f>SUM(OSRRefP22_1x_0)</f>
        <v>0</v>
      </c>
      <c r="Q65" s="1"/>
      <c r="R65" s="5">
        <f t="shared" ref="R65:R68" si="30">IF(P$12=0,0,P65/P$12)</f>
        <v>0</v>
      </c>
      <c r="S65" s="1"/>
      <c r="T65" s="1">
        <f>SUM(OSRRefT22_1x_0)</f>
        <v>78978.86</v>
      </c>
      <c r="U65" s="1"/>
      <c r="V65" s="5">
        <f t="shared" ref="V65:V68" si="31">IF(T$12=0,0,T65/T$12)</f>
        <v>0.19210062929795788</v>
      </c>
      <c r="W65" s="1"/>
      <c r="X65" s="1">
        <f t="shared" ref="X65:X68" si="32">+P65-T65</f>
        <v>-78978.86</v>
      </c>
      <c r="Y65" s="1"/>
      <c r="Z65" s="5">
        <f t="shared" ref="Z65:Z68" si="33">IF(T65=0,0,X65/T65)</f>
        <v>-1</v>
      </c>
    </row>
    <row r="66" spans="1:26" s="23" customFormat="1" hidden="1" outlineLevel="2" x14ac:dyDescent="0.25">
      <c r="A66" s="27"/>
      <c r="B66" s="10" t="str">
        <f>CONCATENATE("          ", "6002", " - ", "STAFF SALARIES")</f>
        <v xml:space="preserve">          6002 - STAFF SALARIES</v>
      </c>
      <c r="C66" s="10"/>
      <c r="D66" s="6"/>
      <c r="E66" s="2"/>
      <c r="F66" s="7">
        <f t="shared" si="26"/>
        <v>0</v>
      </c>
      <c r="G66" s="2"/>
      <c r="H66" s="6">
        <v>3952</v>
      </c>
      <c r="I66" s="2"/>
      <c r="J66" s="7">
        <f t="shared" si="27"/>
        <v>0.56600828102196565</v>
      </c>
      <c r="K66" s="2"/>
      <c r="L66" s="6">
        <f t="shared" si="28"/>
        <v>-3952</v>
      </c>
      <c r="M66" s="2"/>
      <c r="N66" s="7">
        <f t="shared" si="29"/>
        <v>-1</v>
      </c>
      <c r="O66" s="10"/>
      <c r="P66" s="6"/>
      <c r="Q66" s="2"/>
      <c r="R66" s="7">
        <f t="shared" si="30"/>
        <v>0</v>
      </c>
      <c r="S66" s="2"/>
      <c r="T66" s="6">
        <v>34777.01</v>
      </c>
      <c r="U66" s="2"/>
      <c r="V66" s="7">
        <f t="shared" si="31"/>
        <v>8.4588274711756714E-2</v>
      </c>
      <c r="W66" s="2"/>
      <c r="X66" s="6">
        <f t="shared" si="32"/>
        <v>-34777.01</v>
      </c>
      <c r="Y66" s="2"/>
      <c r="Z66" s="7">
        <f t="shared" si="33"/>
        <v>-1</v>
      </c>
    </row>
    <row r="67" spans="1:26" s="23" customFormat="1" hidden="1" outlineLevel="2" x14ac:dyDescent="0.25">
      <c r="A67" s="27"/>
      <c r="B67" s="10" t="str">
        <f>CONCATENATE("          ", "6004", " - ", "STAFF HOURLY")</f>
        <v xml:space="preserve">          6004 - STAFF HOURLY</v>
      </c>
      <c r="C67" s="10"/>
      <c r="D67" s="6"/>
      <c r="E67" s="2"/>
      <c r="F67" s="7">
        <f t="shared" si="26"/>
        <v>0</v>
      </c>
      <c r="G67" s="2"/>
      <c r="H67" s="6"/>
      <c r="I67" s="2"/>
      <c r="J67" s="7">
        <f t="shared" si="27"/>
        <v>0</v>
      </c>
      <c r="K67" s="2"/>
      <c r="L67" s="6">
        <f t="shared" si="28"/>
        <v>0</v>
      </c>
      <c r="M67" s="2"/>
      <c r="N67" s="7">
        <f t="shared" si="29"/>
        <v>0</v>
      </c>
      <c r="O67" s="10"/>
      <c r="P67" s="6"/>
      <c r="Q67" s="2"/>
      <c r="R67" s="7">
        <f t="shared" si="30"/>
        <v>0</v>
      </c>
      <c r="S67" s="2"/>
      <c r="T67" s="6">
        <v>-48</v>
      </c>
      <c r="U67" s="2"/>
      <c r="V67" s="7">
        <f t="shared" si="31"/>
        <v>-1.1675061157253951E-4</v>
      </c>
      <c r="W67" s="2"/>
      <c r="X67" s="6">
        <f t="shared" si="32"/>
        <v>48</v>
      </c>
      <c r="Y67" s="2"/>
      <c r="Z67" s="7">
        <f t="shared" si="33"/>
        <v>-1</v>
      </c>
    </row>
    <row r="68" spans="1:26" s="23" customFormat="1" hidden="1" outlineLevel="2" x14ac:dyDescent="0.25">
      <c r="A68" s="27"/>
      <c r="B68" s="10" t="str">
        <f>CONCATENATE("          ", "6007", " - ", "STUDENT HOURLY")</f>
        <v xml:space="preserve">          6007 - STUDENT HOURLY</v>
      </c>
      <c r="C68" s="10"/>
      <c r="D68" s="6"/>
      <c r="E68" s="2"/>
      <c r="F68" s="7">
        <f t="shared" si="26"/>
        <v>0</v>
      </c>
      <c r="G68" s="2"/>
      <c r="H68" s="6"/>
      <c r="I68" s="2"/>
      <c r="J68" s="7">
        <f t="shared" si="27"/>
        <v>0</v>
      </c>
      <c r="K68" s="2"/>
      <c r="L68" s="6">
        <f t="shared" si="28"/>
        <v>0</v>
      </c>
      <c r="M68" s="2"/>
      <c r="N68" s="7">
        <f t="shared" si="29"/>
        <v>0</v>
      </c>
      <c r="O68" s="10"/>
      <c r="P68" s="6"/>
      <c r="Q68" s="2"/>
      <c r="R68" s="7">
        <f t="shared" si="30"/>
        <v>0</v>
      </c>
      <c r="S68" s="2"/>
      <c r="T68" s="6">
        <v>44249.85</v>
      </c>
      <c r="U68" s="2"/>
      <c r="V68" s="7">
        <f t="shared" si="31"/>
        <v>0.10762910519777369</v>
      </c>
      <c r="W68" s="2"/>
      <c r="X68" s="6">
        <f t="shared" si="32"/>
        <v>-44249.85</v>
      </c>
      <c r="Y68" s="2"/>
      <c r="Z68" s="7">
        <f t="shared" si="33"/>
        <v>-1</v>
      </c>
    </row>
    <row r="69" spans="1:26" s="26" customFormat="1" outlineLevel="1" collapsed="1" x14ac:dyDescent="0.25">
      <c r="A69" s="25"/>
      <c r="B69" s="12" t="str">
        <f>CONCATENATE("     ","Advertising/Promo                                 ")</f>
        <v xml:space="preserve">     Advertising/Promo                                 </v>
      </c>
      <c r="C69" s="12"/>
      <c r="D69" s="1">
        <f>SUM(OSRRefD22_2x_0)</f>
        <v>0</v>
      </c>
      <c r="E69" s="1"/>
      <c r="F69" s="5">
        <f t="shared" ref="F69:F73" si="34">IF(D$12=0,0,D69/D$12)</f>
        <v>0</v>
      </c>
      <c r="G69" s="1"/>
      <c r="H69" s="1">
        <f>SUM(OSRRefH22_2x_0)</f>
        <v>0</v>
      </c>
      <c r="I69" s="1"/>
      <c r="J69" s="5">
        <f t="shared" ref="J69:J73" si="35">IF(H$12=0,0,H69/H$12)</f>
        <v>0</v>
      </c>
      <c r="K69" s="1"/>
      <c r="L69" s="1">
        <f t="shared" ref="L69:L73" si="36">+D69-H69</f>
        <v>0</v>
      </c>
      <c r="M69" s="1"/>
      <c r="N69" s="5">
        <f t="shared" ref="N69:N73" si="37">IF(H69=0,0,L69/H69)</f>
        <v>0</v>
      </c>
      <c r="O69" s="12"/>
      <c r="P69" s="1">
        <f>SUM(OSRRefP22_2x_0)</f>
        <v>0</v>
      </c>
      <c r="Q69" s="1"/>
      <c r="R69" s="5">
        <f t="shared" ref="R69:R73" si="38">IF(P$12=0,0,P69/P$12)</f>
        <v>0</v>
      </c>
      <c r="S69" s="1"/>
      <c r="T69" s="1">
        <f>SUM(OSRRefT22_2x_0)</f>
        <v>1181.76</v>
      </c>
      <c r="U69" s="1"/>
      <c r="V69" s="5">
        <f t="shared" ref="V69:V73" si="39">IF(T$12=0,0,T69/T$12)</f>
        <v>2.8744000569159225E-3</v>
      </c>
      <c r="W69" s="1"/>
      <c r="X69" s="1">
        <f t="shared" ref="X69:X73" si="40">+P69-T69</f>
        <v>-1181.76</v>
      </c>
      <c r="Y69" s="1"/>
      <c r="Z69" s="5">
        <f t="shared" ref="Z69:Z73" si="41">IF(T69=0,0,X69/T69)</f>
        <v>-1</v>
      </c>
    </row>
    <row r="70" spans="1:26" s="23" customFormat="1" hidden="1" outlineLevel="2" x14ac:dyDescent="0.25">
      <c r="A70" s="27"/>
      <c r="B70" s="10" t="str">
        <f>CONCATENATE("          ", "6362", " - ", "ADVERTISING EXPENSE")</f>
        <v xml:space="preserve">          6362 - ADVERTISING EXPENSE</v>
      </c>
      <c r="C70" s="10"/>
      <c r="D70" s="6"/>
      <c r="E70" s="2"/>
      <c r="F70" s="7">
        <f t="shared" si="34"/>
        <v>0</v>
      </c>
      <c r="G70" s="2"/>
      <c r="H70" s="6"/>
      <c r="I70" s="2"/>
      <c r="J70" s="7">
        <f t="shared" si="35"/>
        <v>0</v>
      </c>
      <c r="K70" s="2"/>
      <c r="L70" s="6">
        <f t="shared" si="36"/>
        <v>0</v>
      </c>
      <c r="M70" s="2"/>
      <c r="N70" s="7">
        <f t="shared" si="37"/>
        <v>0</v>
      </c>
      <c r="O70" s="10"/>
      <c r="P70" s="6"/>
      <c r="Q70" s="2"/>
      <c r="R70" s="7">
        <f t="shared" si="38"/>
        <v>0</v>
      </c>
      <c r="S70" s="2"/>
      <c r="T70" s="6">
        <v>1181.76</v>
      </c>
      <c r="U70" s="2"/>
      <c r="V70" s="7">
        <f t="shared" si="39"/>
        <v>2.8744000569159225E-3</v>
      </c>
      <c r="W70" s="2"/>
      <c r="X70" s="6">
        <f t="shared" si="40"/>
        <v>-1181.76</v>
      </c>
      <c r="Y70" s="2"/>
      <c r="Z70" s="7">
        <f t="shared" si="41"/>
        <v>-1</v>
      </c>
    </row>
    <row r="71" spans="1:26" s="26" customFormat="1" outlineLevel="1" collapsed="1" x14ac:dyDescent="0.25">
      <c r="A71" s="25"/>
      <c r="B71" s="12" t="str">
        <f>CONCATENATE("     ","Discounts and Markdowns                           ")</f>
        <v xml:space="preserve">     Discounts and Markdowns                           </v>
      </c>
      <c r="C71" s="12"/>
      <c r="D71" s="1">
        <f>SUM(OSRRefD22_3x_0)</f>
        <v>0</v>
      </c>
      <c r="E71" s="1"/>
      <c r="F71" s="5">
        <f t="shared" si="34"/>
        <v>0</v>
      </c>
      <c r="G71" s="1"/>
      <c r="H71" s="1">
        <f>SUM(OSRRefH22_3x_0)</f>
        <v>1720.37</v>
      </c>
      <c r="I71" s="1"/>
      <c r="J71" s="5">
        <f t="shared" si="35"/>
        <v>0.24639262814315763</v>
      </c>
      <c r="K71" s="1"/>
      <c r="L71" s="1">
        <f t="shared" si="36"/>
        <v>-1720.37</v>
      </c>
      <c r="M71" s="1"/>
      <c r="N71" s="5">
        <f t="shared" si="37"/>
        <v>-1</v>
      </c>
      <c r="O71" s="12"/>
      <c r="P71" s="1">
        <f>SUM(OSRRefP22_3x_0)</f>
        <v>0</v>
      </c>
      <c r="Q71" s="1"/>
      <c r="R71" s="5">
        <f t="shared" si="38"/>
        <v>0</v>
      </c>
      <c r="S71" s="1"/>
      <c r="T71" s="1">
        <f>SUM(OSRRefT22_3x_0)</f>
        <v>11926.59</v>
      </c>
      <c r="U71" s="1"/>
      <c r="V71" s="5">
        <f t="shared" si="39"/>
        <v>2.9009097426561124E-2</v>
      </c>
      <c r="W71" s="1"/>
      <c r="X71" s="1">
        <f t="shared" si="40"/>
        <v>-11926.59</v>
      </c>
      <c r="Y71" s="1"/>
      <c r="Z71" s="5">
        <f t="shared" si="41"/>
        <v>-1</v>
      </c>
    </row>
    <row r="72" spans="1:26" s="23" customFormat="1" hidden="1" outlineLevel="2" x14ac:dyDescent="0.25">
      <c r="A72" s="27"/>
      <c r="B72" s="10" t="str">
        <f>CONCATENATE("          ", "6382", " - ", "DISCOUNTS/MARK DOWNS")</f>
        <v xml:space="preserve">          6382 - DISCOUNTS/MARK DOWNS</v>
      </c>
      <c r="C72" s="10"/>
      <c r="D72" s="6"/>
      <c r="E72" s="2"/>
      <c r="F72" s="7">
        <f t="shared" si="34"/>
        <v>0</v>
      </c>
      <c r="G72" s="2"/>
      <c r="H72" s="6">
        <v>1720.37</v>
      </c>
      <c r="I72" s="2"/>
      <c r="J72" s="7">
        <f t="shared" si="35"/>
        <v>0.24639262814315763</v>
      </c>
      <c r="K72" s="2"/>
      <c r="L72" s="6">
        <f t="shared" si="36"/>
        <v>-1720.37</v>
      </c>
      <c r="M72" s="2"/>
      <c r="N72" s="7">
        <f t="shared" si="37"/>
        <v>-1</v>
      </c>
      <c r="O72" s="10"/>
      <c r="P72" s="6">
        <v>0</v>
      </c>
      <c r="Q72" s="2"/>
      <c r="R72" s="7">
        <f t="shared" si="38"/>
        <v>0</v>
      </c>
      <c r="S72" s="2"/>
      <c r="T72" s="6">
        <v>11926.59</v>
      </c>
      <c r="U72" s="2"/>
      <c r="V72" s="7">
        <f t="shared" si="39"/>
        <v>2.9009097426561124E-2</v>
      </c>
      <c r="W72" s="2"/>
      <c r="X72" s="6">
        <f t="shared" si="40"/>
        <v>-11926.59</v>
      </c>
      <c r="Y72" s="2"/>
      <c r="Z72" s="7">
        <f t="shared" si="41"/>
        <v>-1</v>
      </c>
    </row>
    <row r="73" spans="1:26" s="23" customFormat="1" hidden="1" outlineLevel="2" x14ac:dyDescent="0.25">
      <c r="A73" s="27"/>
      <c r="B73" s="10" t="str">
        <f>CONCATENATE("          ", "9175", " - ", "EARNED DISCOUNTS")</f>
        <v xml:space="preserve">          9175 - EARNED DISCOUNTS</v>
      </c>
      <c r="C73" s="10"/>
      <c r="D73" s="6">
        <v>0</v>
      </c>
      <c r="E73" s="2"/>
      <c r="F73" s="7">
        <f t="shared" si="34"/>
        <v>0</v>
      </c>
      <c r="G73" s="2"/>
      <c r="H73" s="6"/>
      <c r="I73" s="2"/>
      <c r="J73" s="7">
        <f t="shared" si="35"/>
        <v>0</v>
      </c>
      <c r="K73" s="2"/>
      <c r="L73" s="6">
        <f t="shared" si="36"/>
        <v>0</v>
      </c>
      <c r="M73" s="2"/>
      <c r="N73" s="7">
        <f t="shared" si="37"/>
        <v>0</v>
      </c>
      <c r="O73" s="10"/>
      <c r="P73" s="6">
        <v>0</v>
      </c>
      <c r="Q73" s="2"/>
      <c r="R73" s="7">
        <f t="shared" si="38"/>
        <v>0</v>
      </c>
      <c r="S73" s="2"/>
      <c r="T73" s="6">
        <v>0</v>
      </c>
      <c r="U73" s="2"/>
      <c r="V73" s="7">
        <f t="shared" si="39"/>
        <v>0</v>
      </c>
      <c r="W73" s="2"/>
      <c r="X73" s="6">
        <f t="shared" si="40"/>
        <v>0</v>
      </c>
      <c r="Y73" s="2"/>
      <c r="Z73" s="7">
        <f t="shared" si="41"/>
        <v>0</v>
      </c>
    </row>
    <row r="74" spans="1:26" s="26" customFormat="1" outlineLevel="1" collapsed="1" x14ac:dyDescent="0.25">
      <c r="A74" s="25"/>
      <c r="B74" s="12" t="str">
        <f>CONCATENATE("     ","Freight out/Postage                               ")</f>
        <v xml:space="preserve">     Freight out/Postage                               </v>
      </c>
      <c r="C74" s="12"/>
      <c r="D74" s="1">
        <f>SUM(OSRRefD22_4x_0)</f>
        <v>0</v>
      </c>
      <c r="E74" s="1"/>
      <c r="F74" s="5">
        <f t="shared" ref="F74:F80" si="42">IF(D$12=0,0,D74/D$12)</f>
        <v>0</v>
      </c>
      <c r="G74" s="1"/>
      <c r="H74" s="1">
        <f>SUM(OSRRefH22_4x_0)</f>
        <v>0</v>
      </c>
      <c r="I74" s="1"/>
      <c r="J74" s="5">
        <f t="shared" ref="J74:J80" si="43">IF(H$12=0,0,H74/H$12)</f>
        <v>0</v>
      </c>
      <c r="K74" s="1"/>
      <c r="L74" s="1">
        <f t="shared" ref="L74:L80" si="44">+D74-H74</f>
        <v>0</v>
      </c>
      <c r="M74" s="1"/>
      <c r="N74" s="5">
        <f t="shared" ref="N74:N80" si="45">IF(H74=0,0,L74/H74)</f>
        <v>0</v>
      </c>
      <c r="O74" s="12"/>
      <c r="P74" s="1">
        <f>SUM(OSRRefP22_4x_0)</f>
        <v>0</v>
      </c>
      <c r="Q74" s="1"/>
      <c r="R74" s="5">
        <f t="shared" ref="R74:R80" si="46">IF(P$12=0,0,P74/P$12)</f>
        <v>0</v>
      </c>
      <c r="S74" s="1"/>
      <c r="T74" s="1">
        <f>SUM(OSRRefT22_4x_0)</f>
        <v>15.81</v>
      </c>
      <c r="U74" s="1"/>
      <c r="V74" s="5">
        <f t="shared" ref="V74:V80" si="47">IF(T$12=0,0,T74/T$12)</f>
        <v>3.84547326867052E-5</v>
      </c>
      <c r="W74" s="1"/>
      <c r="X74" s="1">
        <f t="shared" ref="X74:X80" si="48">+P74-T74</f>
        <v>-15.81</v>
      </c>
      <c r="Y74" s="1"/>
      <c r="Z74" s="5">
        <f t="shared" ref="Z74:Z80" si="49">IF(T74=0,0,X74/T74)</f>
        <v>-1</v>
      </c>
    </row>
    <row r="75" spans="1:26" s="23" customFormat="1" hidden="1" outlineLevel="2" x14ac:dyDescent="0.25">
      <c r="A75" s="27"/>
      <c r="B75" s="10" t="str">
        <f>CONCATENATE("          ", "6305", " - ", "FREIGHT OUT")</f>
        <v xml:space="preserve">          6305 - FREIGHT OUT</v>
      </c>
      <c r="C75" s="10"/>
      <c r="D75" s="6"/>
      <c r="E75" s="2"/>
      <c r="F75" s="7">
        <f t="shared" si="42"/>
        <v>0</v>
      </c>
      <c r="G75" s="2"/>
      <c r="H75" s="6"/>
      <c r="I75" s="2"/>
      <c r="J75" s="7">
        <f t="shared" si="43"/>
        <v>0</v>
      </c>
      <c r="K75" s="2"/>
      <c r="L75" s="6">
        <f t="shared" si="44"/>
        <v>0</v>
      </c>
      <c r="M75" s="2"/>
      <c r="N75" s="7">
        <f t="shared" si="45"/>
        <v>0</v>
      </c>
      <c r="O75" s="10"/>
      <c r="P75" s="6">
        <v>0</v>
      </c>
      <c r="Q75" s="2"/>
      <c r="R75" s="7">
        <f t="shared" si="46"/>
        <v>0</v>
      </c>
      <c r="S75" s="2"/>
      <c r="T75" s="6">
        <v>15.81</v>
      </c>
      <c r="U75" s="2"/>
      <c r="V75" s="7">
        <f t="shared" si="47"/>
        <v>3.84547326867052E-5</v>
      </c>
      <c r="W75" s="2"/>
      <c r="X75" s="6">
        <f t="shared" si="48"/>
        <v>-15.81</v>
      </c>
      <c r="Y75" s="2"/>
      <c r="Z75" s="7">
        <f t="shared" si="49"/>
        <v>-1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SUM(OSRRefD22_5x_0)</f>
        <v>0</v>
      </c>
      <c r="E76" s="1"/>
      <c r="F76" s="5">
        <f t="shared" si="42"/>
        <v>0</v>
      </c>
      <c r="G76" s="1"/>
      <c r="H76" s="1">
        <f>SUM(OSRRefH22_5x_0)</f>
        <v>0</v>
      </c>
      <c r="I76" s="1"/>
      <c r="J76" s="5">
        <f t="shared" si="43"/>
        <v>0</v>
      </c>
      <c r="K76" s="1"/>
      <c r="L76" s="1">
        <f t="shared" si="44"/>
        <v>0</v>
      </c>
      <c r="M76" s="1"/>
      <c r="N76" s="5">
        <f t="shared" si="45"/>
        <v>0</v>
      </c>
      <c r="O76" s="12"/>
      <c r="P76" s="1">
        <f>SUM(OSRRefP22_5x_0)</f>
        <v>0</v>
      </c>
      <c r="Q76" s="1"/>
      <c r="R76" s="5">
        <f t="shared" si="46"/>
        <v>0</v>
      </c>
      <c r="S76" s="1"/>
      <c r="T76" s="1">
        <f>SUM(OSRRefT22_5x_0)</f>
        <v>120</v>
      </c>
      <c r="U76" s="1"/>
      <c r="V76" s="5">
        <f t="shared" si="47"/>
        <v>2.9187652893134875E-4</v>
      </c>
      <c r="W76" s="1"/>
      <c r="X76" s="1">
        <f t="shared" si="48"/>
        <v>-120</v>
      </c>
      <c r="Y76" s="1"/>
      <c r="Z76" s="5">
        <f t="shared" si="49"/>
        <v>-1</v>
      </c>
    </row>
    <row r="77" spans="1:26" s="23" customFormat="1" hidden="1" outlineLevel="2" x14ac:dyDescent="0.25">
      <c r="A77" s="27"/>
      <c r="B77" s="10" t="str">
        <f>CONCATENATE("          ", "6258", " - ", "MEMBERSHIP DUES")</f>
        <v xml:space="preserve">          6258 - MEMBERSHIP DUES</v>
      </c>
      <c r="C77" s="10"/>
      <c r="D77" s="6"/>
      <c r="E77" s="2"/>
      <c r="F77" s="7">
        <f t="shared" si="42"/>
        <v>0</v>
      </c>
      <c r="G77" s="2"/>
      <c r="H77" s="6"/>
      <c r="I77" s="2"/>
      <c r="J77" s="7">
        <f t="shared" si="43"/>
        <v>0</v>
      </c>
      <c r="K77" s="2"/>
      <c r="L77" s="6">
        <f t="shared" si="44"/>
        <v>0</v>
      </c>
      <c r="M77" s="2"/>
      <c r="N77" s="7">
        <f t="shared" si="45"/>
        <v>0</v>
      </c>
      <c r="O77" s="10"/>
      <c r="P77" s="6"/>
      <c r="Q77" s="2"/>
      <c r="R77" s="7">
        <f t="shared" si="46"/>
        <v>0</v>
      </c>
      <c r="S77" s="2"/>
      <c r="T77" s="6">
        <v>120</v>
      </c>
      <c r="U77" s="2"/>
      <c r="V77" s="7">
        <f t="shared" si="47"/>
        <v>2.9187652893134875E-4</v>
      </c>
      <c r="W77" s="2"/>
      <c r="X77" s="6">
        <f t="shared" si="48"/>
        <v>-120</v>
      </c>
      <c r="Y77" s="2"/>
      <c r="Z77" s="7">
        <f t="shared" si="49"/>
        <v>-1</v>
      </c>
    </row>
    <row r="78" spans="1:26" s="26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SUM(OSRRefD22_6x_0)</f>
        <v>0</v>
      </c>
      <c r="E78" s="1"/>
      <c r="F78" s="5">
        <f t="shared" si="42"/>
        <v>0</v>
      </c>
      <c r="G78" s="1"/>
      <c r="H78" s="1">
        <f>SUM(OSRRefH22_6x_0)</f>
        <v>0</v>
      </c>
      <c r="I78" s="1"/>
      <c r="J78" s="5">
        <f t="shared" si="43"/>
        <v>0</v>
      </c>
      <c r="K78" s="1"/>
      <c r="L78" s="1">
        <f t="shared" si="44"/>
        <v>0</v>
      </c>
      <c r="M78" s="1"/>
      <c r="N78" s="5">
        <f t="shared" si="45"/>
        <v>0</v>
      </c>
      <c r="O78" s="12"/>
      <c r="P78" s="1">
        <f>SUM(OSRRefP22_6x_0)</f>
        <v>0</v>
      </c>
      <c r="Q78" s="1"/>
      <c r="R78" s="5">
        <f t="shared" si="46"/>
        <v>0</v>
      </c>
      <c r="S78" s="1"/>
      <c r="T78" s="1">
        <f>SUM(OSRRefT22_6x_0)</f>
        <v>355.52</v>
      </c>
      <c r="U78" s="1"/>
      <c r="V78" s="5">
        <f t="shared" si="47"/>
        <v>8.647328630472759E-4</v>
      </c>
      <c r="W78" s="1"/>
      <c r="X78" s="1">
        <f t="shared" si="48"/>
        <v>-355.52</v>
      </c>
      <c r="Y78" s="1"/>
      <c r="Z78" s="5">
        <f t="shared" si="49"/>
        <v>-1</v>
      </c>
    </row>
    <row r="79" spans="1:26" s="23" customFormat="1" hidden="1" outlineLevel="2" x14ac:dyDescent="0.25">
      <c r="A79" s="27"/>
      <c r="B79" s="10" t="str">
        <f>CONCATENATE("          ", "6241", " - ", "OFFICE EXPENSE")</f>
        <v xml:space="preserve">          6241 - OFFICE EXPENSE</v>
      </c>
      <c r="C79" s="10"/>
      <c r="D79" s="6"/>
      <c r="E79" s="2"/>
      <c r="F79" s="7">
        <f t="shared" si="42"/>
        <v>0</v>
      </c>
      <c r="G79" s="2"/>
      <c r="H79" s="6"/>
      <c r="I79" s="2"/>
      <c r="J79" s="7">
        <f t="shared" si="43"/>
        <v>0</v>
      </c>
      <c r="K79" s="2"/>
      <c r="L79" s="6">
        <f t="shared" si="44"/>
        <v>0</v>
      </c>
      <c r="M79" s="2"/>
      <c r="N79" s="7">
        <f t="shared" si="45"/>
        <v>0</v>
      </c>
      <c r="O79" s="10"/>
      <c r="P79" s="6"/>
      <c r="Q79" s="2"/>
      <c r="R79" s="7">
        <f t="shared" si="46"/>
        <v>0</v>
      </c>
      <c r="S79" s="2"/>
      <c r="T79" s="6">
        <v>252.29</v>
      </c>
      <c r="U79" s="2"/>
      <c r="V79" s="7">
        <f t="shared" si="47"/>
        <v>6.1364607903408312E-4</v>
      </c>
      <c r="W79" s="2"/>
      <c r="X79" s="6">
        <f t="shared" si="48"/>
        <v>-252.29</v>
      </c>
      <c r="Y79" s="2"/>
      <c r="Z79" s="7">
        <f t="shared" si="49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2"/>
        <v>0</v>
      </c>
      <c r="G80" s="2"/>
      <c r="H80" s="6"/>
      <c r="I80" s="2"/>
      <c r="J80" s="7">
        <f t="shared" si="43"/>
        <v>0</v>
      </c>
      <c r="K80" s="2"/>
      <c r="L80" s="6">
        <f t="shared" si="44"/>
        <v>0</v>
      </c>
      <c r="M80" s="2"/>
      <c r="N80" s="7">
        <f t="shared" si="45"/>
        <v>0</v>
      </c>
      <c r="O80" s="10"/>
      <c r="P80" s="6"/>
      <c r="Q80" s="2"/>
      <c r="R80" s="7">
        <f t="shared" si="46"/>
        <v>0</v>
      </c>
      <c r="S80" s="2"/>
      <c r="T80" s="6">
        <v>103.23</v>
      </c>
      <c r="U80" s="2"/>
      <c r="V80" s="7">
        <f t="shared" si="47"/>
        <v>2.5108678401319277E-4</v>
      </c>
      <c r="W80" s="2"/>
      <c r="X80" s="6">
        <f t="shared" si="48"/>
        <v>-103.23</v>
      </c>
      <c r="Y80" s="2"/>
      <c r="Z80" s="7">
        <f t="shared" si="49"/>
        <v>-1</v>
      </c>
    </row>
    <row r="81" spans="1:26" s="26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SUM(OSRRefD22_7x_0)</f>
        <v>0</v>
      </c>
      <c r="E81" s="1"/>
      <c r="F81" s="5">
        <f t="shared" ref="F81:F84" si="50">IF(D$12=0,0,D81/D$12)</f>
        <v>0</v>
      </c>
      <c r="G81" s="1"/>
      <c r="H81" s="1">
        <f>SUM(OSRRefH22_7x_0)</f>
        <v>0</v>
      </c>
      <c r="I81" s="1"/>
      <c r="J81" s="5">
        <f t="shared" ref="J81:J84" si="51">IF(H$12=0,0,H81/H$12)</f>
        <v>0</v>
      </c>
      <c r="K81" s="1"/>
      <c r="L81" s="1">
        <f t="shared" ref="L81:L84" si="52">+D81-H81</f>
        <v>0</v>
      </c>
      <c r="M81" s="1"/>
      <c r="N81" s="5">
        <f t="shared" ref="N81:N84" si="53">IF(H81=0,0,L81/H81)</f>
        <v>0</v>
      </c>
      <c r="O81" s="12"/>
      <c r="P81" s="1">
        <f>SUM(OSRRefP22_7x_0)</f>
        <v>0</v>
      </c>
      <c r="Q81" s="1"/>
      <c r="R81" s="5">
        <f t="shared" ref="R81:R84" si="54">IF(P$12=0,0,P81/P$12)</f>
        <v>0</v>
      </c>
      <c r="S81" s="1"/>
      <c r="T81" s="1">
        <f>SUM(OSRRefT22_7x_0)</f>
        <v>60</v>
      </c>
      <c r="U81" s="1"/>
      <c r="V81" s="5">
        <f t="shared" ref="V81:V84" si="55">IF(T$12=0,0,T81/T$12)</f>
        <v>1.4593826446567437E-4</v>
      </c>
      <c r="W81" s="1"/>
      <c r="X81" s="1">
        <f t="shared" ref="X81:X84" si="56">+P81-T81</f>
        <v>-60</v>
      </c>
      <c r="Y81" s="1"/>
      <c r="Z81" s="5">
        <f t="shared" ref="Z81:Z84" si="57">IF(T81=0,0,X81/T81)</f>
        <v>-1</v>
      </c>
    </row>
    <row r="82" spans="1:26" s="23" customFormat="1" hidden="1" outlineLevel="2" x14ac:dyDescent="0.25">
      <c r="A82" s="27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50"/>
        <v>0</v>
      </c>
      <c r="G82" s="2"/>
      <c r="H82" s="6"/>
      <c r="I82" s="2"/>
      <c r="J82" s="7">
        <f t="shared" si="51"/>
        <v>0</v>
      </c>
      <c r="K82" s="2"/>
      <c r="L82" s="6">
        <f t="shared" si="52"/>
        <v>0</v>
      </c>
      <c r="M82" s="2"/>
      <c r="N82" s="7">
        <f t="shared" si="53"/>
        <v>0</v>
      </c>
      <c r="O82" s="10"/>
      <c r="P82" s="6"/>
      <c r="Q82" s="2"/>
      <c r="R82" s="7">
        <f t="shared" si="54"/>
        <v>0</v>
      </c>
      <c r="S82" s="2"/>
      <c r="T82" s="6">
        <v>60</v>
      </c>
      <c r="U82" s="2"/>
      <c r="V82" s="7">
        <f t="shared" si="55"/>
        <v>1.4593826446567437E-4</v>
      </c>
      <c r="W82" s="2"/>
      <c r="X82" s="6">
        <f t="shared" si="56"/>
        <v>-60</v>
      </c>
      <c r="Y82" s="2"/>
      <c r="Z82" s="7">
        <f t="shared" si="57"/>
        <v>-1</v>
      </c>
    </row>
    <row r="83" spans="1:26" s="26" customFormat="1" outlineLevel="1" collapsed="1" x14ac:dyDescent="0.25">
      <c r="A83" s="25"/>
      <c r="B83" s="12" t="str">
        <f>CONCATENATE("     ","Travel                                            ")</f>
        <v xml:space="preserve">     Travel                                            </v>
      </c>
      <c r="C83" s="12"/>
      <c r="D83" s="1">
        <f>SUM(OSRRefD22_8x_0)</f>
        <v>0</v>
      </c>
      <c r="E83" s="1"/>
      <c r="F83" s="5">
        <f t="shared" si="50"/>
        <v>0</v>
      </c>
      <c r="G83" s="1"/>
      <c r="H83" s="1">
        <f>SUM(OSRRefH22_8x_0)</f>
        <v>0</v>
      </c>
      <c r="I83" s="1"/>
      <c r="J83" s="5">
        <f t="shared" si="51"/>
        <v>0</v>
      </c>
      <c r="K83" s="1"/>
      <c r="L83" s="1">
        <f t="shared" si="52"/>
        <v>0</v>
      </c>
      <c r="M83" s="1"/>
      <c r="N83" s="5">
        <f t="shared" si="53"/>
        <v>0</v>
      </c>
      <c r="O83" s="12"/>
      <c r="P83" s="1">
        <f>SUM(OSRRefP22_8x_0)</f>
        <v>0</v>
      </c>
      <c r="Q83" s="1"/>
      <c r="R83" s="5">
        <f t="shared" si="54"/>
        <v>0</v>
      </c>
      <c r="S83" s="1"/>
      <c r="T83" s="1">
        <f>SUM(OSRRefT22_8x_0)</f>
        <v>-323.01</v>
      </c>
      <c r="U83" s="1"/>
      <c r="V83" s="5">
        <f t="shared" si="55"/>
        <v>-7.8565864675095808E-4</v>
      </c>
      <c r="W83" s="1"/>
      <c r="X83" s="1">
        <f t="shared" si="56"/>
        <v>323.01</v>
      </c>
      <c r="Y83" s="1"/>
      <c r="Z83" s="5">
        <f t="shared" si="57"/>
        <v>-1</v>
      </c>
    </row>
    <row r="84" spans="1:26" s="23" customFormat="1" hidden="1" outlineLevel="2" x14ac:dyDescent="0.25">
      <c r="A84" s="27"/>
      <c r="B84" s="10" t="str">
        <f>CONCATENATE("          ", "6292", " - ", "TRAVEL/CONFERENCE")</f>
        <v xml:space="preserve">          6292 - TRAVEL/CONFERENCE</v>
      </c>
      <c r="C84" s="10"/>
      <c r="D84" s="6"/>
      <c r="E84" s="2"/>
      <c r="F84" s="7">
        <f t="shared" si="50"/>
        <v>0</v>
      </c>
      <c r="G84" s="2"/>
      <c r="H84" s="6"/>
      <c r="I84" s="2"/>
      <c r="J84" s="7">
        <f t="shared" si="51"/>
        <v>0</v>
      </c>
      <c r="K84" s="2"/>
      <c r="L84" s="6">
        <f t="shared" si="52"/>
        <v>0</v>
      </c>
      <c r="M84" s="2"/>
      <c r="N84" s="7">
        <f t="shared" si="53"/>
        <v>0</v>
      </c>
      <c r="O84" s="10"/>
      <c r="P84" s="6"/>
      <c r="Q84" s="2"/>
      <c r="R84" s="7">
        <f t="shared" si="54"/>
        <v>0</v>
      </c>
      <c r="S84" s="2"/>
      <c r="T84" s="6">
        <v>-323.01</v>
      </c>
      <c r="U84" s="2"/>
      <c r="V84" s="7">
        <f t="shared" si="55"/>
        <v>-7.8565864675095808E-4</v>
      </c>
      <c r="W84" s="2"/>
      <c r="X84" s="6">
        <f t="shared" si="56"/>
        <v>323.01</v>
      </c>
      <c r="Y84" s="2"/>
      <c r="Z84" s="7">
        <f t="shared" si="57"/>
        <v>-1</v>
      </c>
    </row>
    <row r="85" spans="1:26" s="57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4" customFormat="1" x14ac:dyDescent="0.25">
      <c r="A86" s="11"/>
      <c r="B86" s="29" t="s">
        <v>292</v>
      </c>
      <c r="C86" s="11"/>
      <c r="D86" s="4">
        <f>SUM(0)</f>
        <v>0</v>
      </c>
      <c r="E86" s="4"/>
      <c r="F86" s="13">
        <f>IF(D$12=0,0,D86/D$12)</f>
        <v>0</v>
      </c>
      <c r="G86" s="4"/>
      <c r="H86" s="4">
        <f>SUM(0)</f>
        <v>0</v>
      </c>
      <c r="I86" s="4"/>
      <c r="J86" s="13">
        <f>IF(H$12=0,0,H86/H$12)</f>
        <v>0</v>
      </c>
      <c r="K86" s="4"/>
      <c r="L86" s="4">
        <f>+D86-H86</f>
        <v>0</v>
      </c>
      <c r="M86" s="4"/>
      <c r="N86" s="13">
        <f>IF(H86=0,0,L86/H86)</f>
        <v>0</v>
      </c>
      <c r="O86" s="11"/>
      <c r="P86" s="4">
        <f>SUM(0)</f>
        <v>0</v>
      </c>
      <c r="Q86" s="4"/>
      <c r="R86" s="13">
        <f>IF(P$12=0,0,P86/P$12)</f>
        <v>0</v>
      </c>
      <c r="S86" s="4"/>
      <c r="T86" s="4">
        <f>SUM(0)</f>
        <v>0</v>
      </c>
      <c r="U86" s="4"/>
      <c r="V86" s="13">
        <f>IF(T$12=0,0,T86/T$12)</f>
        <v>0</v>
      </c>
      <c r="W86" s="4"/>
      <c r="X86" s="4">
        <f>+P86-T86</f>
        <v>0</v>
      </c>
      <c r="Y86" s="4"/>
      <c r="Z86" s="13">
        <f>IF(T86=0,0,X86/T86)</f>
        <v>0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8" t="s">
        <v>276</v>
      </c>
      <c r="C88" s="28"/>
      <c r="D88" s="20">
        <f>+D52-D54+D86</f>
        <v>0</v>
      </c>
      <c r="E88" s="14"/>
      <c r="F88" s="21">
        <f>IF(D$12=0,0,D88/D$12)</f>
        <v>0</v>
      </c>
      <c r="G88" s="14"/>
      <c r="H88" s="20">
        <f>+H52-H54+H86</f>
        <v>-7662.9099999999971</v>
      </c>
      <c r="I88" s="14"/>
      <c r="J88" s="21">
        <f>IF(H$12=0,0,H88/H$12)</f>
        <v>-1.0974874789286511</v>
      </c>
      <c r="K88" s="15"/>
      <c r="L88" s="20">
        <f>+D88-H88</f>
        <v>7662.9099999999971</v>
      </c>
      <c r="M88" s="15"/>
      <c r="N88" s="21">
        <f>IF(H88=0,0,L88/H88)</f>
        <v>-1</v>
      </c>
      <c r="O88" s="29"/>
      <c r="P88" s="20">
        <f>+P52-P54+P86</f>
        <v>0</v>
      </c>
      <c r="Q88" s="14"/>
      <c r="R88" s="21">
        <f>IF(P$12=0,0,P88/P$12)</f>
        <v>0</v>
      </c>
      <c r="S88" s="14"/>
      <c r="T88" s="20">
        <f>+T52-T54+T86</f>
        <v>104566.27000000008</v>
      </c>
      <c r="U88" s="14"/>
      <c r="V88" s="21">
        <f>IF(T$12=0,0,T88/T$12)</f>
        <v>0.25433699942415205</v>
      </c>
      <c r="W88" s="15"/>
      <c r="X88" s="20">
        <f>+P88-T88</f>
        <v>-104566.27000000008</v>
      </c>
      <c r="Y88" s="15"/>
      <c r="Z88" s="21">
        <f>IF(T88=0,0,X88/T88)</f>
        <v>-1</v>
      </c>
    </row>
    <row r="89" spans="1:26" x14ac:dyDescent="0.25">
      <c r="A89" s="9"/>
      <c r="B89" s="11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51"/>
      <c r="B90" s="11" t="s">
        <v>127</v>
      </c>
      <c r="C90" s="11"/>
      <c r="D90" s="4"/>
      <c r="E90" s="4"/>
      <c r="F90" s="13">
        <f>IF(D$12=0,0,D90/D$12)</f>
        <v>0</v>
      </c>
      <c r="G90" s="4"/>
      <c r="H90" s="4">
        <v>2798.18</v>
      </c>
      <c r="I90" s="4"/>
      <c r="J90" s="13">
        <f>IF(H$12=0,0,H90/H$12)</f>
        <v>0.40075735116144834</v>
      </c>
      <c r="K90" s="4"/>
      <c r="L90" s="4">
        <f>+D90-H90</f>
        <v>-2798.18</v>
      </c>
      <c r="M90" s="4"/>
      <c r="N90" s="13">
        <f>IF(H90=0,0,L90/H90)</f>
        <v>-1</v>
      </c>
      <c r="O90" s="11"/>
      <c r="P90" s="4"/>
      <c r="Q90" s="4"/>
      <c r="R90" s="13">
        <f>IF(P$12=0,0,P90/P$12)</f>
        <v>0</v>
      </c>
      <c r="S90" s="4"/>
      <c r="T90" s="4">
        <v>48686.58</v>
      </c>
      <c r="U90" s="4"/>
      <c r="V90" s="13">
        <f>IF(T$12=0,0,T90/T$12)</f>
        <v>0.11842058313282022</v>
      </c>
      <c r="W90" s="4"/>
      <c r="X90" s="4">
        <f>+P90-T90</f>
        <v>-48686.58</v>
      </c>
      <c r="Y90" s="4"/>
      <c r="Z90" s="13">
        <f>IF(T90=0,0,X90/T90)</f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8" t="s">
        <v>125</v>
      </c>
      <c r="C92" s="28"/>
      <c r="D92" s="35">
        <f>+D88-D90</f>
        <v>0</v>
      </c>
      <c r="E92" s="14"/>
      <c r="F92" s="36">
        <f>IF(D$12=0,0,D92/D$12)</f>
        <v>0</v>
      </c>
      <c r="G92" s="14"/>
      <c r="H92" s="35">
        <f>+H88-H90</f>
        <v>-10461.089999999997</v>
      </c>
      <c r="I92" s="14"/>
      <c r="J92" s="36">
        <f>IF(H$12=0,0,H92/H$12)</f>
        <v>-1.4982448300900995</v>
      </c>
      <c r="K92" s="15"/>
      <c r="L92" s="35">
        <f>D92-H92</f>
        <v>10461.089999999997</v>
      </c>
      <c r="M92" s="15"/>
      <c r="N92" s="36">
        <f>IF(H92=0,0,L92/H92)</f>
        <v>-1</v>
      </c>
      <c r="O92" s="29"/>
      <c r="P92" s="35">
        <f>+P88-P90</f>
        <v>0</v>
      </c>
      <c r="Q92" s="14"/>
      <c r="R92" s="36">
        <f>IF(P$12=0,0,P92/P$12)</f>
        <v>0</v>
      </c>
      <c r="S92" s="14"/>
      <c r="T92" s="35">
        <f>+T88-T90</f>
        <v>55879.690000000075</v>
      </c>
      <c r="U92" s="14"/>
      <c r="V92" s="36">
        <f>IF(T$12=0,0,T92/T$12)</f>
        <v>0.13591641629133186</v>
      </c>
      <c r="W92" s="15"/>
      <c r="X92" s="35">
        <f>P92-T92</f>
        <v>-55879.690000000075</v>
      </c>
      <c r="Y92" s="15"/>
      <c r="Z92" s="36">
        <f>IF(T92=0,0,X92/T92)</f>
        <v>-1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8" t="s">
        <v>293</v>
      </c>
      <c r="C95" s="28"/>
      <c r="D95" s="30">
        <f>SUM(D92:D94)</f>
        <v>0</v>
      </c>
      <c r="E95" s="14"/>
      <c r="F95" s="31">
        <f>IF(D$12=0,0,D95/D$12)</f>
        <v>0</v>
      </c>
      <c r="G95" s="14"/>
      <c r="H95" s="30">
        <f>SUM(H92:H94)</f>
        <v>-10461.089999999997</v>
      </c>
      <c r="I95" s="14"/>
      <c r="J95" s="31">
        <f>IF(H$12=0,0,H95/H$12)</f>
        <v>-1.4982448300900995</v>
      </c>
      <c r="K95" s="15"/>
      <c r="L95" s="30">
        <f>+D95-H95</f>
        <v>10461.089999999997</v>
      </c>
      <c r="M95" s="15"/>
      <c r="N95" s="31">
        <f>IF(H95=0,0,L95/H95)</f>
        <v>-1</v>
      </c>
      <c r="O95" s="29"/>
      <c r="P95" s="30">
        <f>SUM(P92:P94)</f>
        <v>0</v>
      </c>
      <c r="Q95" s="14"/>
      <c r="R95" s="31">
        <f>IF(P$12=0,0,P95/P$12)</f>
        <v>0</v>
      </c>
      <c r="S95" s="14"/>
      <c r="T95" s="30">
        <f>SUM(T92:T94)</f>
        <v>55879.690000000075</v>
      </c>
      <c r="U95" s="14"/>
      <c r="V95" s="31">
        <f>IF(T$12=0,0,T95/T$12)</f>
        <v>0.13591641629133186</v>
      </c>
      <c r="W95" s="15"/>
      <c r="X95" s="30">
        <f>+P95-T95</f>
        <v>-55879.690000000075</v>
      </c>
      <c r="Y95" s="15"/>
      <c r="Z95" s="31">
        <f>IF(T95=0,0,X95/T95)</f>
        <v>-1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9">
        <v>44356.893348032405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2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4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430122.32000000012</v>
      </c>
      <c r="E12" s="4"/>
      <c r="F12" s="13"/>
      <c r="G12" s="4"/>
      <c r="H12" s="4">
        <f>SUM(OSRRefH13x_0)</f>
        <v>179475.76000000004</v>
      </c>
      <c r="I12" s="4"/>
      <c r="J12" s="13"/>
      <c r="K12" s="4"/>
      <c r="L12" s="4">
        <f t="shared" ref="L12:L55" si="0">+D12-H12</f>
        <v>250646.56000000008</v>
      </c>
      <c r="M12" s="4"/>
      <c r="N12" s="13">
        <f t="shared" ref="N12:N55" si="1">IF(H12=0,0,L12/H12)</f>
        <v>1.3965482581046045</v>
      </c>
      <c r="O12" s="11"/>
      <c r="P12" s="4">
        <f>SUM(OSRRefP13x_0)</f>
        <v>2317115.8200000008</v>
      </c>
      <c r="Q12" s="4"/>
      <c r="R12" s="13"/>
      <c r="S12" s="4"/>
      <c r="T12" s="4">
        <f>SUM(OSRRefT13x_0)</f>
        <v>2767453.9000000004</v>
      </c>
      <c r="U12" s="4"/>
      <c r="V12" s="13"/>
      <c r="W12" s="4"/>
      <c r="X12" s="4">
        <f t="shared" ref="X12:X55" si="2">+P12-T12</f>
        <v>-450338.07999999961</v>
      </c>
      <c r="Y12" s="4"/>
      <c r="Z12" s="13">
        <f t="shared" ref="Z12:Z55" si="3">IF(T12=0,0,X12/T12)</f>
        <v>-0.1627264974495147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-10651.2</f>
        <v>-10651.2</v>
      </c>
      <c r="E13" s="2"/>
      <c r="F13" s="19"/>
      <c r="G13" s="2"/>
      <c r="H13" s="2">
        <f t="shared" ref="H13:H19" si="4">0</f>
        <v>0</v>
      </c>
      <c r="I13" s="2"/>
      <c r="J13" s="19"/>
      <c r="K13" s="2"/>
      <c r="L13" s="2">
        <f t="shared" si="0"/>
        <v>-10651.2</v>
      </c>
      <c r="M13" s="2"/>
      <c r="N13" s="19">
        <f t="shared" si="1"/>
        <v>0</v>
      </c>
      <c r="O13" s="10"/>
      <c r="P13" s="2">
        <f>-134061.95</f>
        <v>-134061.95000000001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-134061.95000000001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--36.37</f>
        <v>36.369999999999997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36.369999999999997</v>
      </c>
      <c r="M15" s="2"/>
      <c r="N15" s="19">
        <f t="shared" si="1"/>
        <v>0</v>
      </c>
      <c r="O15" s="10"/>
      <c r="P15" s="2">
        <f>--505.03</f>
        <v>505.03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275.52</v>
      </c>
      <c r="Y15" s="2"/>
      <c r="Z15" s="19">
        <f t="shared" si="3"/>
        <v>1.2004705677312535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--6033.32</f>
        <v>6033.32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6033.32</v>
      </c>
      <c r="M16" s="2"/>
      <c r="N16" s="19">
        <f t="shared" si="1"/>
        <v>0</v>
      </c>
      <c r="O16" s="10"/>
      <c r="P16" s="2">
        <f>--62113.97</f>
        <v>62113.97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61952.380000000005</v>
      </c>
      <c r="Y16" s="2"/>
      <c r="Z16" s="19">
        <f t="shared" si="3"/>
        <v>383.3924128968377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--1495.15</f>
        <v>1495.15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1495.15</v>
      </c>
      <c r="M17" s="2"/>
      <c r="N17" s="19">
        <f t="shared" si="1"/>
        <v>0</v>
      </c>
      <c r="O17" s="10"/>
      <c r="P17" s="2">
        <f>--35916.27</f>
        <v>35916.269999999997</v>
      </c>
      <c r="Q17" s="2"/>
      <c r="R17" s="19"/>
      <c r="S17" s="2"/>
      <c r="T17" s="2">
        <f t="shared" ref="T17:T19" si="5">0</f>
        <v>0</v>
      </c>
      <c r="U17" s="2"/>
      <c r="V17" s="19"/>
      <c r="W17" s="2"/>
      <c r="X17" s="2">
        <f t="shared" si="2"/>
        <v>35916.269999999997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"4031", " - ", "TAXABLE SALES-FOOD")</f>
        <v xml:space="preserve">          4031 - TAXABLE SALES-FOOD</v>
      </c>
      <c r="C18" s="10"/>
      <c r="D18" s="2">
        <f>--490.12</f>
        <v>490.12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490.12</v>
      </c>
      <c r="M18" s="2"/>
      <c r="N18" s="19">
        <f t="shared" si="1"/>
        <v>0</v>
      </c>
      <c r="O18" s="10"/>
      <c r="P18" s="2">
        <f>--4326.16</f>
        <v>4326.16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4326.16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"4034", " - ", "TAXABLE SALES-SODA")</f>
        <v xml:space="preserve">          4034 - TAXABLE SALES-SODA</v>
      </c>
      <c r="C19" s="10"/>
      <c r="D19" s="2">
        <f>0</f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--6.78</f>
        <v>6.78</v>
      </c>
      <c r="Q19" s="2"/>
      <c r="R19" s="19"/>
      <c r="S19" s="2"/>
      <c r="T19" s="2">
        <f t="shared" si="5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"4040", " - ", "TAXABLE SALES-LOGO CLOTHING")</f>
        <v xml:space="preserve">          4040 - TAXABLE SALES-LOGO CLOTHING</v>
      </c>
      <c r="C20" s="10"/>
      <c r="D20" s="2">
        <f>--187399.42</f>
        <v>187399.42</v>
      </c>
      <c r="E20" s="2"/>
      <c r="F20" s="19"/>
      <c r="G20" s="2"/>
      <c r="H20" s="2">
        <f>--50806.72</f>
        <v>50806.720000000001</v>
      </c>
      <c r="I20" s="2"/>
      <c r="J20" s="19"/>
      <c r="K20" s="2"/>
      <c r="L20" s="2">
        <f t="shared" si="0"/>
        <v>136592.70000000001</v>
      </c>
      <c r="M20" s="2"/>
      <c r="N20" s="19">
        <f t="shared" si="1"/>
        <v>2.6884770361086092</v>
      </c>
      <c r="O20" s="10"/>
      <c r="P20" s="2">
        <f>--1100580.15</f>
        <v>1100580.1499999999</v>
      </c>
      <c r="Q20" s="2"/>
      <c r="R20" s="19"/>
      <c r="S20" s="2"/>
      <c r="T20" s="2">
        <f>--1894910.12</f>
        <v>1894910.12</v>
      </c>
      <c r="U20" s="2"/>
      <c r="V20" s="19"/>
      <c r="W20" s="2"/>
      <c r="X20" s="2">
        <f t="shared" si="2"/>
        <v>-794329.9700000002</v>
      </c>
      <c r="Y20" s="2"/>
      <c r="Z20" s="19">
        <f t="shared" si="3"/>
        <v>-0.41919137040652893</v>
      </c>
    </row>
    <row r="21" spans="1:26" s="23" customFormat="1" hidden="1" outlineLevel="1" x14ac:dyDescent="0.25">
      <c r="A21" s="44"/>
      <c r="B21" s="10" t="str">
        <f>CONCATENATE("          ", "4041", " - ", "TAXABLE SALES-LOGO GIFTS")</f>
        <v xml:space="preserve">          4041 - TAXABLE SALES-LOGO GIFTS</v>
      </c>
      <c r="C21" s="10"/>
      <c r="D21" s="2">
        <f>--190934.06</f>
        <v>190934.06</v>
      </c>
      <c r="E21" s="2"/>
      <c r="F21" s="19"/>
      <c r="G21" s="2"/>
      <c r="H21" s="2">
        <f>--44686.17</f>
        <v>44686.17</v>
      </c>
      <c r="I21" s="2"/>
      <c r="J21" s="19"/>
      <c r="K21" s="2"/>
      <c r="L21" s="2">
        <f t="shared" si="0"/>
        <v>146247.89000000001</v>
      </c>
      <c r="M21" s="2"/>
      <c r="N21" s="19">
        <f t="shared" si="1"/>
        <v>3.2727774611249973</v>
      </c>
      <c r="O21" s="10"/>
      <c r="P21" s="2">
        <f>--538470.87</f>
        <v>538470.87</v>
      </c>
      <c r="Q21" s="2"/>
      <c r="R21" s="19"/>
      <c r="S21" s="2"/>
      <c r="T21" s="2">
        <f>--351118.01</f>
        <v>351118.01</v>
      </c>
      <c r="U21" s="2"/>
      <c r="V21" s="19"/>
      <c r="W21" s="2"/>
      <c r="X21" s="2">
        <f t="shared" si="2"/>
        <v>187352.86</v>
      </c>
      <c r="Y21" s="2"/>
      <c r="Z21" s="19">
        <f t="shared" si="3"/>
        <v>0.53358943336458298</v>
      </c>
    </row>
    <row r="22" spans="1:26" s="23" customFormat="1" hidden="1" outlineLevel="1" x14ac:dyDescent="0.25">
      <c r="A22" s="44"/>
      <c r="B22" s="10" t="str">
        <f>CONCATENATE("          ", "4042", " - ", "TAXABLE SALES-EVERYDAY GIFTS")</f>
        <v xml:space="preserve">          4042 - TAXABLE SALES-EVERYDAY GIFTS</v>
      </c>
      <c r="C22" s="10"/>
      <c r="D22" s="2">
        <f>--7002.2</f>
        <v>7002.2</v>
      </c>
      <c r="E22" s="2"/>
      <c r="F22" s="19"/>
      <c r="G22" s="2"/>
      <c r="H22" s="2">
        <f>--1342.97</f>
        <v>1342.97</v>
      </c>
      <c r="I22" s="2"/>
      <c r="J22" s="19"/>
      <c r="K22" s="2"/>
      <c r="L22" s="2">
        <f t="shared" si="0"/>
        <v>5659.23</v>
      </c>
      <c r="M22" s="2"/>
      <c r="N22" s="19">
        <f t="shared" si="1"/>
        <v>4.2139660602991871</v>
      </c>
      <c r="O22" s="10"/>
      <c r="P22" s="2">
        <f>--90580.88</f>
        <v>90580.88</v>
      </c>
      <c r="Q22" s="2"/>
      <c r="R22" s="19"/>
      <c r="S22" s="2"/>
      <c r="T22" s="2">
        <f>--205614.84</f>
        <v>205614.84</v>
      </c>
      <c r="U22" s="2"/>
      <c r="V22" s="19"/>
      <c r="W22" s="2"/>
      <c r="X22" s="2">
        <f t="shared" si="2"/>
        <v>-115033.95999999999</v>
      </c>
      <c r="Y22" s="2"/>
      <c r="Z22" s="19">
        <f t="shared" si="3"/>
        <v>-0.55946331500197166</v>
      </c>
    </row>
    <row r="23" spans="1:26" s="23" customFormat="1" hidden="1" outlineLevel="1" x14ac:dyDescent="0.25">
      <c r="A23" s="44"/>
      <c r="B23" s="10" t="str">
        <f>CONCATENATE("          ", "4043", " - ", "TAXABLE SALES-CARDS")</f>
        <v xml:space="preserve">          4043 - TAXABLE SALES-CARDS</v>
      </c>
      <c r="C23" s="10"/>
      <c r="D23" s="2">
        <f>--7208.82</f>
        <v>7208.82</v>
      </c>
      <c r="E23" s="2"/>
      <c r="F23" s="19"/>
      <c r="G23" s="2"/>
      <c r="H23" s="2">
        <f>--49.95</f>
        <v>49.95</v>
      </c>
      <c r="I23" s="2"/>
      <c r="J23" s="19"/>
      <c r="K23" s="2"/>
      <c r="L23" s="2">
        <f t="shared" si="0"/>
        <v>7158.87</v>
      </c>
      <c r="M23" s="2"/>
      <c r="N23" s="19">
        <f t="shared" si="1"/>
        <v>143.32072072072071</v>
      </c>
      <c r="O23" s="10"/>
      <c r="P23" s="2">
        <f>--144015.52</f>
        <v>144015.51999999999</v>
      </c>
      <c r="Q23" s="2"/>
      <c r="R23" s="19"/>
      <c r="S23" s="2"/>
      <c r="T23" s="2">
        <f>--76347.46</f>
        <v>76347.460000000006</v>
      </c>
      <c r="U23" s="2"/>
      <c r="V23" s="19"/>
      <c r="W23" s="2"/>
      <c r="X23" s="2">
        <f t="shared" si="2"/>
        <v>67668.059999999983</v>
      </c>
      <c r="Y23" s="2"/>
      <c r="Z23" s="19">
        <f t="shared" si="3"/>
        <v>0.88631710865037261</v>
      </c>
    </row>
    <row r="24" spans="1:26" s="23" customFormat="1" hidden="1" outlineLevel="1" x14ac:dyDescent="0.25">
      <c r="A24" s="44"/>
      <c r="B24" s="10" t="str">
        <f>CONCATENATE("          ", "4044", " - ", "TAXABLE SALES-ACCESSORIES")</f>
        <v xml:space="preserve">          4044 - TAXABLE SALES-ACCESSORIES</v>
      </c>
      <c r="C24" s="10"/>
      <c r="D24" s="2">
        <f>--5024.1</f>
        <v>5024.1000000000004</v>
      </c>
      <c r="E24" s="2"/>
      <c r="F24" s="19"/>
      <c r="G24" s="2"/>
      <c r="H24" s="2">
        <f>--3915.24</f>
        <v>3915.24</v>
      </c>
      <c r="I24" s="2"/>
      <c r="J24" s="19"/>
      <c r="K24" s="2"/>
      <c r="L24" s="2">
        <f t="shared" si="0"/>
        <v>1108.8600000000006</v>
      </c>
      <c r="M24" s="2"/>
      <c r="N24" s="19">
        <f t="shared" si="1"/>
        <v>0.28321635455297778</v>
      </c>
      <c r="O24" s="10"/>
      <c r="P24" s="2">
        <f>--41116.33</f>
        <v>41116.33</v>
      </c>
      <c r="Q24" s="2"/>
      <c r="R24" s="19"/>
      <c r="S24" s="2"/>
      <c r="T24" s="2">
        <f>--70841.08</f>
        <v>70841.08</v>
      </c>
      <c r="U24" s="2"/>
      <c r="V24" s="19"/>
      <c r="W24" s="2"/>
      <c r="X24" s="2">
        <f t="shared" si="2"/>
        <v>-29724.75</v>
      </c>
      <c r="Y24" s="2"/>
      <c r="Z24" s="19">
        <f t="shared" si="3"/>
        <v>-0.419597640239251</v>
      </c>
    </row>
    <row r="25" spans="1:26" s="23" customFormat="1" hidden="1" outlineLevel="1" x14ac:dyDescent="0.25">
      <c r="A25" s="44"/>
      <c r="B25" s="10" t="str">
        <f>CONCATENATE("          ", "4045", " - ", "TAXABLE SALES-SPECIAL ORDERS")</f>
        <v xml:space="preserve">          4045 - TAXABLE SALES-SPECIAL ORDERS</v>
      </c>
      <c r="C25" s="10"/>
      <c r="D25" s="2">
        <f>--26335.59</f>
        <v>26335.59</v>
      </c>
      <c r="E25" s="2"/>
      <c r="F25" s="19"/>
      <c r="G25" s="2"/>
      <c r="H25" s="2">
        <f>--13525.59</f>
        <v>13525.59</v>
      </c>
      <c r="I25" s="2"/>
      <c r="J25" s="19"/>
      <c r="K25" s="2"/>
      <c r="L25" s="2">
        <f t="shared" si="0"/>
        <v>12810</v>
      </c>
      <c r="M25" s="2"/>
      <c r="N25" s="19">
        <f t="shared" si="1"/>
        <v>0.947093620315269</v>
      </c>
      <c r="O25" s="10"/>
      <c r="P25" s="2">
        <f>--233577.93</f>
        <v>233577.93</v>
      </c>
      <c r="Q25" s="2"/>
      <c r="R25" s="19"/>
      <c r="S25" s="2"/>
      <c r="T25" s="2">
        <f>--96839.56</f>
        <v>96839.56</v>
      </c>
      <c r="U25" s="2"/>
      <c r="V25" s="19"/>
      <c r="W25" s="2"/>
      <c r="X25" s="2">
        <f t="shared" si="2"/>
        <v>136738.37</v>
      </c>
      <c r="Y25" s="2"/>
      <c r="Z25" s="19">
        <f t="shared" si="3"/>
        <v>1.4120094102038465</v>
      </c>
    </row>
    <row r="26" spans="1:26" s="23" customFormat="1" hidden="1" outlineLevel="1" x14ac:dyDescent="0.25">
      <c r="A26" s="44"/>
      <c r="B26" s="10" t="str">
        <f>CONCATENATE("          ", "4092", " - ", "TAXABLE SALES-GRAD MERCH")</f>
        <v xml:space="preserve">          4092 - TAXABLE SALES-GRAD MERCH</v>
      </c>
      <c r="C26" s="10"/>
      <c r="D26" s="2">
        <f t="shared" ref="D26:D28" si="6">0</f>
        <v>0</v>
      </c>
      <c r="E26" s="2"/>
      <c r="F26" s="19"/>
      <c r="G26" s="2"/>
      <c r="H26" s="2">
        <f t="shared" ref="H26:H35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ref="P26:P27" si="8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"4095", " - ", "TAXABLE SALES-CUSTOMER SERVICE")</f>
        <v xml:space="preserve">          4095 - TAXABLE SALES-CUSTOMER SERVICE</v>
      </c>
      <c r="C27" s="10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"4126", " - ", "NON-TAXABLE SALES-WRITING INST")</f>
        <v xml:space="preserve">          4126 - NON-TAXABLE SALES-WRITING INST</v>
      </c>
      <c r="C28" s="10"/>
      <c r="D28" s="2">
        <f t="shared" si="6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--52.68</f>
        <v>52.68</v>
      </c>
      <c r="Q28" s="2"/>
      <c r="R28" s="19"/>
      <c r="S28" s="2"/>
      <c r="T28" s="2">
        <f t="shared" ref="T28:T34" si="9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"4127", " - ", "NON-TAXABLE SALES-SCHOOL SUPPL")</f>
        <v xml:space="preserve">          4127 - NON-TAXABLE SALES-SCHOOL SUPPL</v>
      </c>
      <c r="C29" s="10"/>
      <c r="D29" s="2">
        <f>--548.05</f>
        <v>548.04999999999995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548.04999999999995</v>
      </c>
      <c r="M29" s="2"/>
      <c r="N29" s="19">
        <f t="shared" si="1"/>
        <v>0</v>
      </c>
      <c r="O29" s="10"/>
      <c r="P29" s="2">
        <f>--7648.73</f>
        <v>7648.73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7648.73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"4128", " - ", "NON-TAXABLE SALES-ART/TECH")</f>
        <v xml:space="preserve">          4128 - NON-TAXABLE SALES-ART/TECH</v>
      </c>
      <c r="C30" s="10"/>
      <c r="D30" s="2">
        <f>--45.96</f>
        <v>45.96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45.96</v>
      </c>
      <c r="M30" s="2"/>
      <c r="N30" s="19">
        <f t="shared" si="1"/>
        <v>0</v>
      </c>
      <c r="O30" s="10"/>
      <c r="P30" s="2">
        <f>--115.91</f>
        <v>115.91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115.91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"4131", " - ", "NON-TAXABLE SALES-FOOD")</f>
        <v xml:space="preserve">          4131 - NON-TAXABLE SALES-FOOD</v>
      </c>
      <c r="C31" s="10"/>
      <c r="D31" s="2">
        <f>--775.78</f>
        <v>775.78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775.78</v>
      </c>
      <c r="M31" s="2"/>
      <c r="N31" s="19">
        <f t="shared" si="1"/>
        <v>0</v>
      </c>
      <c r="O31" s="10"/>
      <c r="P31" s="2">
        <f>--10308.98</f>
        <v>10308.98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10308.98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"4132", " - ", "NON-TAXABLE SALES-JUICE")</f>
        <v xml:space="preserve">          4132 - NON-TAXABLE SALES-JUICE</v>
      </c>
      <c r="C32" s="10"/>
      <c r="D32" s="2">
        <f t="shared" ref="D32:D35" si="10">0</f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--22.49</f>
        <v>22.49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"4133", " - ", "NON-TAXABLE SALES-CANDY")</f>
        <v xml:space="preserve">          4133 - NON-TAXABLE SALES-CANDY</v>
      </c>
      <c r="C33" s="10"/>
      <c r="D33" s="2">
        <f t="shared" si="10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--80.71</f>
        <v>80.709999999999994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3" customFormat="1" hidden="1" outlineLevel="1" x14ac:dyDescent="0.25">
      <c r="A34" s="44"/>
      <c r="B34" s="10" t="str">
        <f>CONCATENATE("          ", "4134", " - ", "NON-TAXABLE SALES-SODA")</f>
        <v xml:space="preserve">          4134 - NON-TAXABLE SALES-SODA</v>
      </c>
      <c r="C34" s="10"/>
      <c r="D34" s="2">
        <f t="shared" si="10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--45.53</f>
        <v>45.53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3" customFormat="1" hidden="1" outlineLevel="1" x14ac:dyDescent="0.25">
      <c r="A35" s="44"/>
      <c r="B35" s="10" t="str">
        <f>CONCATENATE("          ", "4137", " - ", "NON-TAXABLE SALES-WATER")</f>
        <v xml:space="preserve">          4137 - NON-TAXABLE SALES-WATER</v>
      </c>
      <c r="C35" s="10"/>
      <c r="D35" s="2">
        <f t="shared" si="10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--68.25</f>
        <v>68.25</v>
      </c>
      <c r="Q35" s="2"/>
      <c r="R35" s="19"/>
      <c r="S35" s="2"/>
      <c r="T35" s="2">
        <f>--123</f>
        <v>123</v>
      </c>
      <c r="U35" s="2"/>
      <c r="V35" s="19"/>
      <c r="W35" s="2"/>
      <c r="X35" s="2">
        <f t="shared" si="2"/>
        <v>-54.75</v>
      </c>
      <c r="Y35" s="2"/>
      <c r="Z35" s="19">
        <f t="shared" si="3"/>
        <v>-0.4451219512195122</v>
      </c>
    </row>
    <row r="36" spans="1:26" s="23" customFormat="1" hidden="1" outlineLevel="1" x14ac:dyDescent="0.25">
      <c r="A36" s="44"/>
      <c r="B36" s="10" t="str">
        <f>CONCATENATE("          ", "4140", " - ", "NON-TAXABLE SALES-LOGO CLOTHIN")</f>
        <v xml:space="preserve">          4140 - NON-TAXABLE SALES-LOGO CLOTHIN</v>
      </c>
      <c r="C36" s="10"/>
      <c r="D36" s="2">
        <f>--16733.37</f>
        <v>16733.37</v>
      </c>
      <c r="E36" s="2"/>
      <c r="F36" s="19"/>
      <c r="G36" s="2"/>
      <c r="H36" s="2">
        <f>--56556.05</f>
        <v>56556.05</v>
      </c>
      <c r="I36" s="2"/>
      <c r="J36" s="19"/>
      <c r="K36" s="2"/>
      <c r="L36" s="2">
        <f t="shared" si="0"/>
        <v>-39822.680000000008</v>
      </c>
      <c r="M36" s="2"/>
      <c r="N36" s="19">
        <f t="shared" si="1"/>
        <v>-0.70412767511168139</v>
      </c>
      <c r="O36" s="10"/>
      <c r="P36" s="2">
        <f>--171525.76</f>
        <v>171525.76000000001</v>
      </c>
      <c r="Q36" s="2"/>
      <c r="R36" s="19"/>
      <c r="S36" s="2"/>
      <c r="T36" s="2">
        <f>--135480.76</f>
        <v>135480.76</v>
      </c>
      <c r="U36" s="2"/>
      <c r="V36" s="19"/>
      <c r="W36" s="2"/>
      <c r="X36" s="2">
        <f t="shared" si="2"/>
        <v>36045</v>
      </c>
      <c r="Y36" s="2"/>
      <c r="Z36" s="19">
        <f t="shared" si="3"/>
        <v>0.26605253764445963</v>
      </c>
    </row>
    <row r="37" spans="1:26" s="23" customFormat="1" hidden="1" outlineLevel="1" x14ac:dyDescent="0.25">
      <c r="A37" s="44"/>
      <c r="B37" s="10" t="str">
        <f>CONCATENATE("          ", "4141", " - ", "NON-TAXABLE SALES-LOGO GIFTS")</f>
        <v xml:space="preserve">          4141 - NON-TAXABLE SALES-LOGO GIFTS</v>
      </c>
      <c r="C37" s="10"/>
      <c r="D37" s="2">
        <f>--1882.42</f>
        <v>1882.42</v>
      </c>
      <c r="E37" s="2"/>
      <c r="F37" s="19"/>
      <c r="G37" s="2"/>
      <c r="H37" s="2">
        <f>--4127.98</f>
        <v>4127.9799999999996</v>
      </c>
      <c r="I37" s="2"/>
      <c r="J37" s="19"/>
      <c r="K37" s="2"/>
      <c r="L37" s="2">
        <f t="shared" si="0"/>
        <v>-2245.5599999999995</v>
      </c>
      <c r="M37" s="2"/>
      <c r="N37" s="19">
        <f t="shared" si="1"/>
        <v>-0.54398519372671372</v>
      </c>
      <c r="O37" s="10"/>
      <c r="P37" s="2">
        <f>--37399.99</f>
        <v>37399.99</v>
      </c>
      <c r="Q37" s="2"/>
      <c r="R37" s="19"/>
      <c r="S37" s="2"/>
      <c r="T37" s="2">
        <f>--16038.71</f>
        <v>16038.71</v>
      </c>
      <c r="U37" s="2"/>
      <c r="V37" s="19"/>
      <c r="W37" s="2"/>
      <c r="X37" s="2">
        <f t="shared" si="2"/>
        <v>21361.279999999999</v>
      </c>
      <c r="Y37" s="2"/>
      <c r="Z37" s="19">
        <f t="shared" si="3"/>
        <v>1.3318577366882998</v>
      </c>
    </row>
    <row r="38" spans="1:26" s="23" customFormat="1" hidden="1" outlineLevel="1" x14ac:dyDescent="0.25">
      <c r="A38" s="44"/>
      <c r="B38" s="10" t="str">
        <f>CONCATENATE("          ", "4142", " - ", "NON-TAXABLE SALES-EVERYDAY GIF")</f>
        <v xml:space="preserve">          4142 - NON-TAXABLE SALES-EVERYDAY GIF</v>
      </c>
      <c r="C38" s="10"/>
      <c r="D38" s="2">
        <f>--11.96</f>
        <v>11.96</v>
      </c>
      <c r="E38" s="2"/>
      <c r="F38" s="19"/>
      <c r="G38" s="2"/>
      <c r="H38" s="2">
        <f>--1204.14</f>
        <v>1204.1400000000001</v>
      </c>
      <c r="I38" s="2"/>
      <c r="J38" s="19"/>
      <c r="K38" s="2"/>
      <c r="L38" s="2">
        <f t="shared" si="0"/>
        <v>-1192.18</v>
      </c>
      <c r="M38" s="2"/>
      <c r="N38" s="19">
        <f t="shared" si="1"/>
        <v>-0.9900676001129437</v>
      </c>
      <c r="O38" s="10"/>
      <c r="P38" s="2">
        <f>--1467.37</f>
        <v>1467.37</v>
      </c>
      <c r="Q38" s="2"/>
      <c r="R38" s="19"/>
      <c r="S38" s="2"/>
      <c r="T38" s="2">
        <f>--6408.2</f>
        <v>6408.2</v>
      </c>
      <c r="U38" s="2"/>
      <c r="V38" s="19"/>
      <c r="W38" s="2"/>
      <c r="X38" s="2">
        <f t="shared" si="2"/>
        <v>-4940.83</v>
      </c>
      <c r="Y38" s="2"/>
      <c r="Z38" s="19">
        <f t="shared" si="3"/>
        <v>-0.77101682219656065</v>
      </c>
    </row>
    <row r="39" spans="1:26" s="23" customFormat="1" hidden="1" outlineLevel="1" x14ac:dyDescent="0.25">
      <c r="A39" s="44"/>
      <c r="B39" s="10" t="str">
        <f>CONCATENATE("          ", "4143", " - ", "NON-TAXABLE SALES-CARDS")</f>
        <v xml:space="preserve">          4143 - NON-TAXABLE SALES-CARDS</v>
      </c>
      <c r="C39" s="10"/>
      <c r="D39" s="2">
        <f>--120.71</f>
        <v>120.71</v>
      </c>
      <c r="E39" s="2"/>
      <c r="F39" s="19"/>
      <c r="G39" s="2"/>
      <c r="H39" s="2">
        <f>--19.98</f>
        <v>19.98</v>
      </c>
      <c r="I39" s="2"/>
      <c r="J39" s="19"/>
      <c r="K39" s="2"/>
      <c r="L39" s="2">
        <f t="shared" si="0"/>
        <v>100.72999999999999</v>
      </c>
      <c r="M39" s="2"/>
      <c r="N39" s="19">
        <f t="shared" si="1"/>
        <v>5.041541541541541</v>
      </c>
      <c r="O39" s="10"/>
      <c r="P39" s="2">
        <f>--2552.16</f>
        <v>2552.16</v>
      </c>
      <c r="Q39" s="2"/>
      <c r="R39" s="19"/>
      <c r="S39" s="2"/>
      <c r="T39" s="2">
        <f>--19.98</f>
        <v>19.98</v>
      </c>
      <c r="U39" s="2"/>
      <c r="V39" s="19"/>
      <c r="W39" s="2"/>
      <c r="X39" s="2">
        <f t="shared" si="2"/>
        <v>2532.1799999999998</v>
      </c>
      <c r="Y39" s="2"/>
      <c r="Z39" s="19">
        <f t="shared" si="3"/>
        <v>126.73573573573573</v>
      </c>
    </row>
    <row r="40" spans="1:26" s="23" customFormat="1" hidden="1" outlineLevel="1" x14ac:dyDescent="0.25">
      <c r="A40" s="44"/>
      <c r="B40" s="10" t="str">
        <f>CONCATENATE("          ", "4144", " - ", "NON-TAXABLE SALES-ACCESSORIES")</f>
        <v xml:space="preserve">          4144 - NON-TAXABLE SALES-ACCESSORIES</v>
      </c>
      <c r="C40" s="10"/>
      <c r="D40" s="2">
        <f>--164.7</f>
        <v>164.7</v>
      </c>
      <c r="E40" s="2"/>
      <c r="F40" s="19"/>
      <c r="G40" s="2"/>
      <c r="H40" s="2">
        <f>--984.35</f>
        <v>984.35</v>
      </c>
      <c r="I40" s="2"/>
      <c r="J40" s="19"/>
      <c r="K40" s="2"/>
      <c r="L40" s="2">
        <f t="shared" si="0"/>
        <v>-819.65000000000009</v>
      </c>
      <c r="M40" s="2"/>
      <c r="N40" s="19">
        <f t="shared" si="1"/>
        <v>-0.83268146492609341</v>
      </c>
      <c r="O40" s="10"/>
      <c r="P40" s="2">
        <f>--873.8</f>
        <v>873.8</v>
      </c>
      <c r="Q40" s="2"/>
      <c r="R40" s="19"/>
      <c r="S40" s="2"/>
      <c r="T40" s="2">
        <f>--3324.02</f>
        <v>3324.02</v>
      </c>
      <c r="U40" s="2"/>
      <c r="V40" s="19"/>
      <c r="W40" s="2"/>
      <c r="X40" s="2">
        <f t="shared" si="2"/>
        <v>-2450.2200000000003</v>
      </c>
      <c r="Y40" s="2"/>
      <c r="Z40" s="19">
        <f t="shared" si="3"/>
        <v>-0.737125528727264</v>
      </c>
    </row>
    <row r="41" spans="1:26" s="23" customFormat="1" hidden="1" outlineLevel="1" x14ac:dyDescent="0.25">
      <c r="A41" s="44"/>
      <c r="B41" s="10" t="str">
        <f>CONCATENATE("          ", "4145", " - ", "NON-TAXABLE SALES-SPECIAL ORDE")</f>
        <v xml:space="preserve">          4145 - NON-TAXABLE SALES-SPECIAL ORDE</v>
      </c>
      <c r="C41" s="10"/>
      <c r="D41" s="2">
        <f>0</f>
        <v>0</v>
      </c>
      <c r="E41" s="2"/>
      <c r="F41" s="19"/>
      <c r="G41" s="2"/>
      <c r="H41" s="2">
        <f>--7688.68</f>
        <v>7688.68</v>
      </c>
      <c r="I41" s="2"/>
      <c r="J41" s="19"/>
      <c r="K41" s="2"/>
      <c r="L41" s="2">
        <f t="shared" si="0"/>
        <v>-7688.68</v>
      </c>
      <c r="M41" s="2"/>
      <c r="N41" s="19">
        <f t="shared" si="1"/>
        <v>-1</v>
      </c>
      <c r="O41" s="10"/>
      <c r="P41" s="2">
        <f>--74066.89</f>
        <v>74066.89</v>
      </c>
      <c r="Q41" s="2"/>
      <c r="R41" s="19"/>
      <c r="S41" s="2"/>
      <c r="T41" s="2">
        <f>--7828.68</f>
        <v>7828.68</v>
      </c>
      <c r="U41" s="2"/>
      <c r="V41" s="19"/>
      <c r="W41" s="2"/>
      <c r="X41" s="2">
        <f t="shared" si="2"/>
        <v>66238.209999999992</v>
      </c>
      <c r="Y41" s="2"/>
      <c r="Z41" s="19">
        <f t="shared" si="3"/>
        <v>8.4609678770878354</v>
      </c>
    </row>
    <row r="42" spans="1:26" s="23" customFormat="1" hidden="1" outlineLevel="1" x14ac:dyDescent="0.25">
      <c r="A42" s="44"/>
      <c r="B42" s="10" t="str">
        <f>CONCATENATE("          ", "4226", " - ", "SALES RETURN TAXABLE-WRITING I")</f>
        <v xml:space="preserve">          4226 - SALES RETURN TAXABLE-WRITING I</v>
      </c>
      <c r="C42" s="10"/>
      <c r="D42" s="2">
        <f>-0.79</f>
        <v>-0.79</v>
      </c>
      <c r="E42" s="2"/>
      <c r="F42" s="19"/>
      <c r="G42" s="2"/>
      <c r="H42" s="2">
        <f t="shared" ref="H42:H44" si="11">0</f>
        <v>0</v>
      </c>
      <c r="I42" s="2"/>
      <c r="J42" s="19"/>
      <c r="K42" s="2"/>
      <c r="L42" s="2">
        <f t="shared" si="0"/>
        <v>-0.79</v>
      </c>
      <c r="M42" s="2"/>
      <c r="N42" s="19">
        <f t="shared" si="1"/>
        <v>0</v>
      </c>
      <c r="O42" s="10"/>
      <c r="P42" s="2">
        <f>-35.02</f>
        <v>-35.020000000000003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99.78</v>
      </c>
      <c r="Y42" s="2"/>
      <c r="Z42" s="19">
        <f t="shared" si="3"/>
        <v>-0.74020771513353112</v>
      </c>
    </row>
    <row r="43" spans="1:26" s="23" customFormat="1" hidden="1" outlineLevel="1" x14ac:dyDescent="0.25">
      <c r="A43" s="44"/>
      <c r="B43" s="10" t="str">
        <f>CONCATENATE("          ", "4227", " - ", "SALES RETURN TAXABLE-SCHOOL SU")</f>
        <v xml:space="preserve">          4227 - SALES RETURN TAXABLE-SCHOOL SU</v>
      </c>
      <c r="C43" s="10"/>
      <c r="D43" s="2">
        <f>-137.82</f>
        <v>-137.82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-137.82</v>
      </c>
      <c r="M43" s="2"/>
      <c r="N43" s="19">
        <f t="shared" si="1"/>
        <v>0</v>
      </c>
      <c r="O43" s="10"/>
      <c r="P43" s="2">
        <f>-1324.51</f>
        <v>-1324.51</v>
      </c>
      <c r="Q43" s="2"/>
      <c r="R43" s="19"/>
      <c r="S43" s="2"/>
      <c r="T43" s="2">
        <f t="shared" ref="T43:T44" si="12">0</f>
        <v>0</v>
      </c>
      <c r="U43" s="2"/>
      <c r="V43" s="19"/>
      <c r="W43" s="2"/>
      <c r="X43" s="2">
        <f t="shared" si="2"/>
        <v>-1324.51</v>
      </c>
      <c r="Y43" s="2"/>
      <c r="Z43" s="19">
        <f t="shared" si="3"/>
        <v>0</v>
      </c>
    </row>
    <row r="44" spans="1:26" s="23" customFormat="1" hidden="1" outlineLevel="1" x14ac:dyDescent="0.25">
      <c r="A44" s="44"/>
      <c r="B44" s="10" t="str">
        <f>CONCATENATE("          ", "4228", " - ", "SALES RETURN TAXABLE-ART/TECH")</f>
        <v xml:space="preserve">          4228 - SALES RETURN TAXABLE-ART/TECH</v>
      </c>
      <c r="C44" s="10"/>
      <c r="D44" s="2">
        <f>0</f>
        <v>0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-12751.53</f>
        <v>-12751.53</v>
      </c>
      <c r="Q44" s="2"/>
      <c r="R44" s="19"/>
      <c r="S44" s="2"/>
      <c r="T44" s="2">
        <f t="shared" si="12"/>
        <v>0</v>
      </c>
      <c r="U44" s="2"/>
      <c r="V44" s="19"/>
      <c r="W44" s="2"/>
      <c r="X44" s="2">
        <f t="shared" si="2"/>
        <v>-12751.53</v>
      </c>
      <c r="Y44" s="2"/>
      <c r="Z44" s="19">
        <f t="shared" si="3"/>
        <v>0</v>
      </c>
    </row>
    <row r="45" spans="1:26" s="23" customFormat="1" hidden="1" outlineLevel="1" x14ac:dyDescent="0.25">
      <c r="A45" s="44"/>
      <c r="B45" s="10" t="str">
        <f>CONCATENATE("          ", "4240", " - ", "SALES RETURN TAXABLE-LOGO CLOT")</f>
        <v xml:space="preserve">          4240 - SALES RETURN TAXABLE-LOGO CLOT</v>
      </c>
      <c r="C45" s="10"/>
      <c r="D45" s="2">
        <f>-6427.17</f>
        <v>-6427.17</v>
      </c>
      <c r="E45" s="2"/>
      <c r="F45" s="19"/>
      <c r="G45" s="2"/>
      <c r="H45" s="2">
        <f>-3229.58</f>
        <v>-3229.58</v>
      </c>
      <c r="I45" s="2"/>
      <c r="J45" s="19"/>
      <c r="K45" s="2"/>
      <c r="L45" s="2">
        <f t="shared" si="0"/>
        <v>-3197.59</v>
      </c>
      <c r="M45" s="2"/>
      <c r="N45" s="19">
        <f t="shared" si="1"/>
        <v>0.99009468723487271</v>
      </c>
      <c r="O45" s="10"/>
      <c r="P45" s="2">
        <f>-47093.44</f>
        <v>-47093.440000000002</v>
      </c>
      <c r="Q45" s="2"/>
      <c r="R45" s="19"/>
      <c r="S45" s="2"/>
      <c r="T45" s="2">
        <f>-77684.77</f>
        <v>-77684.77</v>
      </c>
      <c r="U45" s="2"/>
      <c r="V45" s="19"/>
      <c r="W45" s="2"/>
      <c r="X45" s="2">
        <f t="shared" si="2"/>
        <v>30591.33</v>
      </c>
      <c r="Y45" s="2"/>
      <c r="Z45" s="19">
        <f t="shared" si="3"/>
        <v>-0.3937879973127294</v>
      </c>
    </row>
    <row r="46" spans="1:26" s="23" customFormat="1" hidden="1" outlineLevel="1" x14ac:dyDescent="0.25">
      <c r="A46" s="44"/>
      <c r="B46" s="10" t="str">
        <f>CONCATENATE("          ", "4241", " - ", "SALES RETURN TAXABLE-LOGO GIFT")</f>
        <v xml:space="preserve">          4241 - SALES RETURN TAXABLE-LOGO GIFT</v>
      </c>
      <c r="C46" s="10"/>
      <c r="D46" s="2">
        <f>-4497.34</f>
        <v>-4497.34</v>
      </c>
      <c r="E46" s="2"/>
      <c r="F46" s="19"/>
      <c r="G46" s="2"/>
      <c r="H46" s="2">
        <f>-1133.39</f>
        <v>-1133.3900000000001</v>
      </c>
      <c r="I46" s="2"/>
      <c r="J46" s="19"/>
      <c r="K46" s="2"/>
      <c r="L46" s="2">
        <f t="shared" si="0"/>
        <v>-3363.95</v>
      </c>
      <c r="M46" s="2"/>
      <c r="N46" s="19">
        <f t="shared" si="1"/>
        <v>2.9680427743318711</v>
      </c>
      <c r="O46" s="10"/>
      <c r="P46" s="2">
        <f>-15387.54</f>
        <v>-15387.54</v>
      </c>
      <c r="Q46" s="2"/>
      <c r="R46" s="19"/>
      <c r="S46" s="2"/>
      <c r="T46" s="2">
        <f>-6405.87</f>
        <v>-6405.87</v>
      </c>
      <c r="U46" s="2"/>
      <c r="V46" s="19"/>
      <c r="W46" s="2"/>
      <c r="X46" s="2">
        <f t="shared" si="2"/>
        <v>-8981.6700000000019</v>
      </c>
      <c r="Y46" s="2"/>
      <c r="Z46" s="19">
        <f t="shared" si="3"/>
        <v>1.4020999489530699</v>
      </c>
    </row>
    <row r="47" spans="1:26" s="23" customFormat="1" hidden="1" outlineLevel="1" x14ac:dyDescent="0.25">
      <c r="A47" s="44"/>
      <c r="B47" s="10" t="str">
        <f>CONCATENATE("          ", "4242", " - ", "SALES RETURN TAXABLE-EVERYDAY")</f>
        <v xml:space="preserve">          4242 - SALES RETURN TAXABLE-EVERYDAY</v>
      </c>
      <c r="C47" s="10"/>
      <c r="D47" s="2">
        <f>-107</f>
        <v>-107</v>
      </c>
      <c r="E47" s="2"/>
      <c r="F47" s="19"/>
      <c r="G47" s="2"/>
      <c r="H47" s="2">
        <f t="shared" ref="H47:H48" si="13">0</f>
        <v>0</v>
      </c>
      <c r="I47" s="2"/>
      <c r="J47" s="19"/>
      <c r="K47" s="2"/>
      <c r="L47" s="2">
        <f t="shared" si="0"/>
        <v>-107</v>
      </c>
      <c r="M47" s="2"/>
      <c r="N47" s="19">
        <f t="shared" si="1"/>
        <v>0</v>
      </c>
      <c r="O47" s="10"/>
      <c r="P47" s="2">
        <f>-2743.09</f>
        <v>-2743.09</v>
      </c>
      <c r="Q47" s="2"/>
      <c r="R47" s="19"/>
      <c r="S47" s="2"/>
      <c r="T47" s="2">
        <f>-3953.71</f>
        <v>-3953.71</v>
      </c>
      <c r="U47" s="2"/>
      <c r="V47" s="19"/>
      <c r="W47" s="2"/>
      <c r="X47" s="2">
        <f t="shared" si="2"/>
        <v>1210.6199999999999</v>
      </c>
      <c r="Y47" s="2"/>
      <c r="Z47" s="19">
        <f t="shared" si="3"/>
        <v>-0.30619848193215987</v>
      </c>
    </row>
    <row r="48" spans="1:26" s="23" customFormat="1" hidden="1" outlineLevel="1" x14ac:dyDescent="0.25">
      <c r="A48" s="44"/>
      <c r="B48" s="10" t="str">
        <f>CONCATENATE("          ", "4243", " - ", "SALES RETURN TAXABLE-CARDS")</f>
        <v xml:space="preserve">          4243 - SALES RETURN TAXABLE-CARDS</v>
      </c>
      <c r="C48" s="10"/>
      <c r="D48" s="2">
        <f>-76.9</f>
        <v>-76.900000000000006</v>
      </c>
      <c r="E48" s="2"/>
      <c r="F48" s="19"/>
      <c r="G48" s="2"/>
      <c r="H48" s="2">
        <f t="shared" si="13"/>
        <v>0</v>
      </c>
      <c r="I48" s="2"/>
      <c r="J48" s="19"/>
      <c r="K48" s="2"/>
      <c r="L48" s="2">
        <f t="shared" si="0"/>
        <v>-76.900000000000006</v>
      </c>
      <c r="M48" s="2"/>
      <c r="N48" s="19">
        <f t="shared" si="1"/>
        <v>0</v>
      </c>
      <c r="O48" s="10"/>
      <c r="P48" s="2">
        <f>-6218.99</f>
        <v>-6218.99</v>
      </c>
      <c r="Q48" s="2"/>
      <c r="R48" s="19"/>
      <c r="S48" s="2"/>
      <c r="T48" s="2">
        <f>-3006.31</f>
        <v>-3006.31</v>
      </c>
      <c r="U48" s="2"/>
      <c r="V48" s="19"/>
      <c r="W48" s="2"/>
      <c r="X48" s="2">
        <f t="shared" si="2"/>
        <v>-3212.68</v>
      </c>
      <c r="Y48" s="2"/>
      <c r="Z48" s="19">
        <f t="shared" si="3"/>
        <v>1.0686456153889652</v>
      </c>
    </row>
    <row r="49" spans="1:26" s="23" customFormat="1" hidden="1" outlineLevel="1" x14ac:dyDescent="0.25">
      <c r="A49" s="44"/>
      <c r="B49" s="10" t="str">
        <f>CONCATENATE("          ", "4244", " - ", "SALES RETURN TAXABLE-ACCESSORI")</f>
        <v xml:space="preserve">          4244 - SALES RETURN TAXABLE-ACCESSORI</v>
      </c>
      <c r="C49" s="10"/>
      <c r="D49" s="2">
        <f>-24.41</f>
        <v>-24.41</v>
      </c>
      <c r="E49" s="2"/>
      <c r="F49" s="19"/>
      <c r="G49" s="2"/>
      <c r="H49" s="2">
        <f>-255.71</f>
        <v>-255.71</v>
      </c>
      <c r="I49" s="2"/>
      <c r="J49" s="19"/>
      <c r="K49" s="2"/>
      <c r="L49" s="2">
        <f t="shared" si="0"/>
        <v>231.3</v>
      </c>
      <c r="M49" s="2"/>
      <c r="N49" s="19">
        <f t="shared" si="1"/>
        <v>-0.90454029955809312</v>
      </c>
      <c r="O49" s="10"/>
      <c r="P49" s="2">
        <f>-1267.91</f>
        <v>-1267.9100000000001</v>
      </c>
      <c r="Q49" s="2"/>
      <c r="R49" s="19"/>
      <c r="S49" s="2"/>
      <c r="T49" s="2">
        <f>-2726.41</f>
        <v>-2726.41</v>
      </c>
      <c r="U49" s="2"/>
      <c r="V49" s="19"/>
      <c r="W49" s="2"/>
      <c r="X49" s="2">
        <f t="shared" si="2"/>
        <v>1458.4999999999998</v>
      </c>
      <c r="Y49" s="2"/>
      <c r="Z49" s="19">
        <f t="shared" si="3"/>
        <v>-0.5349525566587563</v>
      </c>
    </row>
    <row r="50" spans="1:26" s="23" customFormat="1" hidden="1" outlineLevel="1" x14ac:dyDescent="0.25">
      <c r="A50" s="44"/>
      <c r="B50" s="10" t="str">
        <f>CONCATENATE("          ", "4245", " - ", "SALES RETURN TAXABLE-SPECIAL O")</f>
        <v xml:space="preserve">          4245 - SALES RETURN TAXABLE-SPECIAL O</v>
      </c>
      <c r="C50" s="10"/>
      <c r="D50" s="2">
        <f>-36</f>
        <v>-36</v>
      </c>
      <c r="E50" s="2"/>
      <c r="F50" s="19"/>
      <c r="G50" s="2"/>
      <c r="H50" s="2">
        <f>-175</f>
        <v>-175</v>
      </c>
      <c r="I50" s="2"/>
      <c r="J50" s="19"/>
      <c r="K50" s="2"/>
      <c r="L50" s="2">
        <f t="shared" si="0"/>
        <v>139</v>
      </c>
      <c r="M50" s="2"/>
      <c r="N50" s="19">
        <f t="shared" si="1"/>
        <v>-0.79428571428571426</v>
      </c>
      <c r="O50" s="10"/>
      <c r="P50" s="2">
        <f>-15460.73</f>
        <v>-15460.73</v>
      </c>
      <c r="Q50" s="2"/>
      <c r="R50" s="19"/>
      <c r="S50" s="2"/>
      <c r="T50" s="2">
        <f>-1910.03</f>
        <v>-1910.03</v>
      </c>
      <c r="U50" s="2"/>
      <c r="V50" s="19"/>
      <c r="W50" s="2"/>
      <c r="X50" s="2">
        <f t="shared" si="2"/>
        <v>-13550.699999999999</v>
      </c>
      <c r="Y50" s="2"/>
      <c r="Z50" s="19">
        <f t="shared" si="3"/>
        <v>7.0944958979701882</v>
      </c>
    </row>
    <row r="51" spans="1:26" s="23" customFormat="1" hidden="1" outlineLevel="1" x14ac:dyDescent="0.25">
      <c r="A51" s="44"/>
      <c r="B51" s="10" t="str">
        <f>CONCATENATE("          ", "4295", " - ", "SALES RETURN TAXABLE-CUSTOMER")</f>
        <v xml:space="preserve">          4295 - SALES RETURN TAXABLE-CUSTOMER</v>
      </c>
      <c r="C51" s="10"/>
      <c r="D51" s="2">
        <f>0</f>
        <v>0</v>
      </c>
      <c r="E51" s="2"/>
      <c r="F51" s="19"/>
      <c r="G51" s="2"/>
      <c r="H51" s="2">
        <f t="shared" ref="H51:H52" si="14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"4327", " - ", "SALES RETURN NON TAXABLE-SCHOO")</f>
        <v xml:space="preserve">          4327 - SALES RETURN NON TAXABLE-SCHOO</v>
      </c>
      <c r="C52" s="10"/>
      <c r="D52" s="2">
        <f>-17.41</f>
        <v>-17.41</v>
      </c>
      <c r="E52" s="2"/>
      <c r="F52" s="19"/>
      <c r="G52" s="2"/>
      <c r="H52" s="2">
        <f t="shared" si="14"/>
        <v>0</v>
      </c>
      <c r="I52" s="2"/>
      <c r="J52" s="19"/>
      <c r="K52" s="2"/>
      <c r="L52" s="2">
        <f t="shared" si="0"/>
        <v>-17.41</v>
      </c>
      <c r="M52" s="2"/>
      <c r="N52" s="19">
        <f t="shared" si="1"/>
        <v>0</v>
      </c>
      <c r="O52" s="10"/>
      <c r="P52" s="2">
        <f>-17.41</f>
        <v>-17.41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-17.41</v>
      </c>
      <c r="Y52" s="2"/>
      <c r="Z52" s="19">
        <f t="shared" si="3"/>
        <v>0</v>
      </c>
    </row>
    <row r="53" spans="1:26" s="23" customFormat="1" hidden="1" outlineLevel="1" x14ac:dyDescent="0.25">
      <c r="A53" s="44"/>
      <c r="B53" s="10" t="str">
        <f>CONCATENATE("          ", "4340", " - ", "SALES RETURN NON TAXABLE-LOGO")</f>
        <v xml:space="preserve">          4340 - SALES RETURN NON TAXABLE-LOGO</v>
      </c>
      <c r="C53" s="10"/>
      <c r="D53" s="2">
        <f>-143.74</f>
        <v>-143.74</v>
      </c>
      <c r="E53" s="2"/>
      <c r="F53" s="19"/>
      <c r="G53" s="2"/>
      <c r="H53" s="2">
        <f>-598.43</f>
        <v>-598.42999999999995</v>
      </c>
      <c r="I53" s="2"/>
      <c r="J53" s="19"/>
      <c r="K53" s="2"/>
      <c r="L53" s="2">
        <f t="shared" si="0"/>
        <v>454.68999999999994</v>
      </c>
      <c r="M53" s="2"/>
      <c r="N53" s="19">
        <f t="shared" si="1"/>
        <v>-0.7598048226191868</v>
      </c>
      <c r="O53" s="10"/>
      <c r="P53" s="2">
        <f>-3451.26</f>
        <v>-3451.26</v>
      </c>
      <c r="Q53" s="2"/>
      <c r="R53" s="19"/>
      <c r="S53" s="2"/>
      <c r="T53" s="2">
        <f>-1618.83</f>
        <v>-1618.83</v>
      </c>
      <c r="U53" s="2"/>
      <c r="V53" s="19"/>
      <c r="W53" s="2"/>
      <c r="X53" s="2">
        <f t="shared" si="2"/>
        <v>-1832.4300000000003</v>
      </c>
      <c r="Y53" s="2"/>
      <c r="Z53" s="19">
        <f t="shared" si="3"/>
        <v>1.131947147013584</v>
      </c>
    </row>
    <row r="54" spans="1:26" s="23" customFormat="1" hidden="1" outlineLevel="1" x14ac:dyDescent="0.25">
      <c r="A54" s="44"/>
      <c r="B54" s="10" t="str">
        <f>CONCATENATE("          ", "4341", " - ", "SALES RETURN NON TAXABLE-LOGO")</f>
        <v xml:space="preserve">          4341 - SALES RETURN NON TAXABLE-LOGO</v>
      </c>
      <c r="C54" s="10"/>
      <c r="D54" s="2">
        <f t="shared" ref="D54:D55" si="15">0</f>
        <v>0</v>
      </c>
      <c r="E54" s="2"/>
      <c r="F54" s="19"/>
      <c r="G54" s="2"/>
      <c r="H54" s="2">
        <f>-39.95</f>
        <v>-39.950000000000003</v>
      </c>
      <c r="I54" s="2"/>
      <c r="J54" s="19"/>
      <c r="K54" s="2"/>
      <c r="L54" s="2">
        <f t="shared" si="0"/>
        <v>39.950000000000003</v>
      </c>
      <c r="M54" s="2"/>
      <c r="N54" s="19">
        <f t="shared" si="1"/>
        <v>-1</v>
      </c>
      <c r="O54" s="10"/>
      <c r="P54" s="2">
        <f>-391.24</f>
        <v>-391.24</v>
      </c>
      <c r="Q54" s="2"/>
      <c r="R54" s="19"/>
      <c r="S54" s="2"/>
      <c r="T54" s="2">
        <f>-285.45</f>
        <v>-285.45</v>
      </c>
      <c r="U54" s="2"/>
      <c r="V54" s="19"/>
      <c r="W54" s="2"/>
      <c r="X54" s="2">
        <f t="shared" si="2"/>
        <v>-105.79000000000002</v>
      </c>
      <c r="Y54" s="2"/>
      <c r="Z54" s="19">
        <f t="shared" si="3"/>
        <v>0.3706078122263094</v>
      </c>
    </row>
    <row r="55" spans="1:26" s="23" customFormat="1" hidden="1" outlineLevel="1" x14ac:dyDescent="0.25">
      <c r="A55" s="44"/>
      <c r="B55" s="10" t="str">
        <f>CONCATENATE("          ", "4342", " - ", "SALES RETURN NON TAXABLE-EVERY")</f>
        <v xml:space="preserve">          4342 - SALES RETURN NON TAXABLE-EVERY</v>
      </c>
      <c r="C55" s="10"/>
      <c r="D55" s="2">
        <f t="shared" si="15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0"/>
      <c r="P55" s="2">
        <f>-118.7</f>
        <v>-118.7</v>
      </c>
      <c r="Q55" s="2"/>
      <c r="R55" s="19"/>
      <c r="S55" s="2"/>
      <c r="T55" s="2">
        <f>-109.8</f>
        <v>-109.8</v>
      </c>
      <c r="U55" s="2"/>
      <c r="V55" s="19"/>
      <c r="W55" s="2"/>
      <c r="X55" s="2">
        <f t="shared" si="2"/>
        <v>-8.9000000000000057</v>
      </c>
      <c r="Y55" s="2"/>
      <c r="Z55" s="19">
        <f t="shared" si="3"/>
        <v>8.1056466302367999E-2</v>
      </c>
    </row>
    <row r="56" spans="1:26" x14ac:dyDescent="0.25">
      <c r="A56" s="9"/>
      <c r="B56" s="11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collapsed="1" x14ac:dyDescent="0.25">
      <c r="A57" s="11"/>
      <c r="B57" s="29" t="s">
        <v>256</v>
      </c>
      <c r="C57" s="11"/>
      <c r="D57" s="4">
        <f>SUM(OSRRefD16x_0)</f>
        <v>195650</v>
      </c>
      <c r="E57" s="4"/>
      <c r="F57" s="13">
        <f t="shared" ref="F57:F87" si="16">IF(D$12=0,0,D57/D$12)</f>
        <v>0.45487060518040529</v>
      </c>
      <c r="G57" s="4"/>
      <c r="H57" s="4">
        <f>SUM(OSRRefH16x_0)</f>
        <v>93761.44</v>
      </c>
      <c r="I57" s="4"/>
      <c r="J57" s="13">
        <f t="shared" ref="J57:J87" si="17">IF(H$12=0,0,H57/H$12)</f>
        <v>0.52241840346573809</v>
      </c>
      <c r="K57" s="4"/>
      <c r="L57" s="4">
        <f t="shared" ref="L57:L87" si="18">+D57-H57</f>
        <v>101888.56</v>
      </c>
      <c r="M57" s="4"/>
      <c r="N57" s="13">
        <f t="shared" ref="N57:N87" si="19">IF(H57=0,0,L57/H57)</f>
        <v>1.0866787028868157</v>
      </c>
      <c r="O57" s="11"/>
      <c r="P57" s="4">
        <f>SUM(OSRRefP16x_0)</f>
        <v>1221495.5399999998</v>
      </c>
      <c r="Q57" s="4"/>
      <c r="R57" s="13">
        <f t="shared" ref="R57:R87" si="20">IF(P$12=0,0,P57/P$12)</f>
        <v>0.52716205614616163</v>
      </c>
      <c r="S57" s="4"/>
      <c r="T57" s="4">
        <f>SUM(OSRRefT16x_0)</f>
        <v>1284585.2499999998</v>
      </c>
      <c r="U57" s="4"/>
      <c r="V57" s="13">
        <f t="shared" ref="V57:V87" si="21">IF(T$12=0,0,T57/T$12)</f>
        <v>0.46417584408542434</v>
      </c>
      <c r="W57" s="4"/>
      <c r="X57" s="4">
        <f t="shared" ref="X57:X87" si="22">+P57-T57</f>
        <v>-63089.709999999963</v>
      </c>
      <c r="Y57" s="4"/>
      <c r="Z57" s="13">
        <f t="shared" ref="Z57:Z87" si="23">IF(T57=0,0,X57/T57)</f>
        <v>-4.9112902393982784E-2</v>
      </c>
    </row>
    <row r="58" spans="1:26" s="23" customFormat="1" hidden="1" outlineLevel="1" x14ac:dyDescent="0.25">
      <c r="A58" s="44"/>
      <c r="B58" s="10" t="str">
        <f>CONCATENATE("          ", "5000", " - ", "PURCHASES @ COST")</f>
        <v xml:space="preserve">          5000 - PURCHASES @ COST</v>
      </c>
      <c r="C58" s="10"/>
      <c r="D58" s="2"/>
      <c r="E58" s="2"/>
      <c r="F58" s="19">
        <f t="shared" si="16"/>
        <v>0</v>
      </c>
      <c r="G58" s="2"/>
      <c r="H58" s="2"/>
      <c r="I58" s="2"/>
      <c r="J58" s="19">
        <f t="shared" si="17"/>
        <v>0</v>
      </c>
      <c r="K58" s="2"/>
      <c r="L58" s="2">
        <f t="shared" si="18"/>
        <v>0</v>
      </c>
      <c r="M58" s="2"/>
      <c r="N58" s="19">
        <f t="shared" si="19"/>
        <v>0</v>
      </c>
      <c r="O58" s="10"/>
      <c r="P58" s="2"/>
      <c r="Q58" s="2"/>
      <c r="R58" s="19">
        <f t="shared" si="20"/>
        <v>0</v>
      </c>
      <c r="S58" s="2"/>
      <c r="T58" s="2">
        <v>0</v>
      </c>
      <c r="U58" s="2"/>
      <c r="V58" s="19">
        <f t="shared" si="21"/>
        <v>0</v>
      </c>
      <c r="W58" s="2"/>
      <c r="X58" s="2">
        <f t="shared" si="22"/>
        <v>0</v>
      </c>
      <c r="Y58" s="2"/>
      <c r="Z58" s="19">
        <f t="shared" si="23"/>
        <v>0</v>
      </c>
    </row>
    <row r="59" spans="1:26" s="23" customFormat="1" hidden="1" outlineLevel="1" x14ac:dyDescent="0.25">
      <c r="A59" s="44"/>
      <c r="B59" s="10" t="str">
        <f>CONCATENATE("          ", "5025", " - ", "PURCHASES @ COST-TEST FORMS")</f>
        <v xml:space="preserve">          5025 - PURCHASES @ COST-TEST FORMS</v>
      </c>
      <c r="C59" s="10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0"/>
      <c r="P59" s="2">
        <v>599.29</v>
      </c>
      <c r="Q59" s="2"/>
      <c r="R59" s="19">
        <f t="shared" si="20"/>
        <v>2.5863618677464287E-4</v>
      </c>
      <c r="S59" s="2"/>
      <c r="T59" s="2">
        <v>6.06</v>
      </c>
      <c r="U59" s="2"/>
      <c r="V59" s="19">
        <f t="shared" si="21"/>
        <v>2.1897383728776831E-6</v>
      </c>
      <c r="W59" s="2"/>
      <c r="X59" s="2">
        <f t="shared" si="22"/>
        <v>593.23</v>
      </c>
      <c r="Y59" s="2"/>
      <c r="Z59" s="19">
        <f t="shared" si="23"/>
        <v>97.892739273927404</v>
      </c>
    </row>
    <row r="60" spans="1:26" s="23" customFormat="1" hidden="1" outlineLevel="1" x14ac:dyDescent="0.25">
      <c r="A60" s="44"/>
      <c r="B60" s="10" t="str">
        <f>CONCATENATE("          ", "5026", " - ", "PURCHASES @ COST-WRITING INSTR")</f>
        <v xml:space="preserve">          5026 - PURCHASES @ COST-WRITING INSTR</v>
      </c>
      <c r="C60" s="10"/>
      <c r="D60" s="2">
        <v>-2.0499999999999998</v>
      </c>
      <c r="E60" s="2"/>
      <c r="F60" s="19">
        <f t="shared" si="16"/>
        <v>-4.7660860752355264E-6</v>
      </c>
      <c r="G60" s="2"/>
      <c r="H60" s="2">
        <v>-4.26</v>
      </c>
      <c r="I60" s="2"/>
      <c r="J60" s="19">
        <f t="shared" si="17"/>
        <v>-2.3735795853434463E-5</v>
      </c>
      <c r="K60" s="2"/>
      <c r="L60" s="2">
        <f t="shared" si="18"/>
        <v>2.21</v>
      </c>
      <c r="M60" s="2"/>
      <c r="N60" s="19">
        <f t="shared" si="19"/>
        <v>-0.51877934272300474</v>
      </c>
      <c r="O60" s="10"/>
      <c r="P60" s="2">
        <v>217.59</v>
      </c>
      <c r="Q60" s="2"/>
      <c r="R60" s="19">
        <f t="shared" si="20"/>
        <v>9.3905534683199357E-5</v>
      </c>
      <c r="S60" s="2"/>
      <c r="T60" s="2">
        <v>1193.81</v>
      </c>
      <c r="U60" s="2"/>
      <c r="V60" s="19">
        <f t="shared" si="21"/>
        <v>4.3137484602724538E-4</v>
      </c>
      <c r="W60" s="2"/>
      <c r="X60" s="2">
        <f t="shared" si="22"/>
        <v>-976.21999999999991</v>
      </c>
      <c r="Y60" s="2"/>
      <c r="Z60" s="19">
        <f t="shared" si="23"/>
        <v>-0.81773481542288973</v>
      </c>
    </row>
    <row r="61" spans="1:26" s="23" customFormat="1" hidden="1" outlineLevel="1" x14ac:dyDescent="0.25">
      <c r="A61" s="44"/>
      <c r="B61" s="10" t="str">
        <f>CONCATENATE("          ", "5027", " - ", "PURCHASES @ COST-SCHOOL SUPPLI")</f>
        <v xml:space="preserve">          5027 - PURCHASES @ COST-SCHOOL SUPPLI</v>
      </c>
      <c r="C61" s="10"/>
      <c r="D61" s="2">
        <v>0.39</v>
      </c>
      <c r="E61" s="2"/>
      <c r="F61" s="19">
        <f t="shared" si="16"/>
        <v>9.0671881431310032E-7</v>
      </c>
      <c r="G61" s="2"/>
      <c r="H61" s="2">
        <v>-19.8</v>
      </c>
      <c r="I61" s="2"/>
      <c r="J61" s="19">
        <f t="shared" si="17"/>
        <v>-1.1032130467089259E-4</v>
      </c>
      <c r="K61" s="2"/>
      <c r="L61" s="2">
        <f t="shared" si="18"/>
        <v>20.190000000000001</v>
      </c>
      <c r="M61" s="2"/>
      <c r="N61" s="19">
        <f t="shared" si="19"/>
        <v>-1.0196969696969698</v>
      </c>
      <c r="O61" s="10"/>
      <c r="P61" s="2">
        <v>22839.52</v>
      </c>
      <c r="Q61" s="2"/>
      <c r="R61" s="19">
        <f t="shared" si="20"/>
        <v>9.856874569178848E-3</v>
      </c>
      <c r="S61" s="2"/>
      <c r="T61" s="2">
        <v>305.64999999999998</v>
      </c>
      <c r="U61" s="2"/>
      <c r="V61" s="19">
        <f t="shared" si="21"/>
        <v>1.1044447750331087E-4</v>
      </c>
      <c r="W61" s="2"/>
      <c r="X61" s="2">
        <f t="shared" si="22"/>
        <v>22533.87</v>
      </c>
      <c r="Y61" s="2"/>
      <c r="Z61" s="19">
        <f t="shared" si="23"/>
        <v>73.724423360052356</v>
      </c>
    </row>
    <row r="62" spans="1:26" s="23" customFormat="1" hidden="1" outlineLevel="1" x14ac:dyDescent="0.25">
      <c r="A62" s="44"/>
      <c r="B62" s="10" t="str">
        <f>CONCATENATE("          ", "5028", " - ", "PURCHASES @ COST-ART/TECH")</f>
        <v xml:space="preserve">          5028 - PURCHASES @ COST-ART/TECH</v>
      </c>
      <c r="C62" s="10"/>
      <c r="D62" s="2">
        <v>674.12</v>
      </c>
      <c r="E62" s="2"/>
      <c r="F62" s="19">
        <f t="shared" si="16"/>
        <v>1.5672750951403773E-3</v>
      </c>
      <c r="G62" s="2"/>
      <c r="H62" s="2"/>
      <c r="I62" s="2"/>
      <c r="J62" s="19">
        <f t="shared" si="17"/>
        <v>0</v>
      </c>
      <c r="K62" s="2"/>
      <c r="L62" s="2">
        <f t="shared" si="18"/>
        <v>674.12</v>
      </c>
      <c r="M62" s="2"/>
      <c r="N62" s="19">
        <f t="shared" si="19"/>
        <v>0</v>
      </c>
      <c r="O62" s="10"/>
      <c r="P62" s="2">
        <v>6238.89</v>
      </c>
      <c r="Q62" s="2"/>
      <c r="R62" s="19">
        <f t="shared" si="20"/>
        <v>2.6925240189331571E-3</v>
      </c>
      <c r="S62" s="2"/>
      <c r="T62" s="2"/>
      <c r="U62" s="2"/>
      <c r="V62" s="19">
        <f t="shared" si="21"/>
        <v>0</v>
      </c>
      <c r="W62" s="2"/>
      <c r="X62" s="2">
        <f t="shared" si="22"/>
        <v>6238.89</v>
      </c>
      <c r="Y62" s="2"/>
      <c r="Z62" s="19">
        <f t="shared" si="23"/>
        <v>0</v>
      </c>
    </row>
    <row r="63" spans="1:26" s="23" customFormat="1" hidden="1" outlineLevel="1" x14ac:dyDescent="0.25">
      <c r="A63" s="44"/>
      <c r="B63" s="10" t="str">
        <f>CONCATENATE("          ", "5031", " - ", "PURCHASES @ COST-FOOD")</f>
        <v xml:space="preserve">          5031 - PURCHASES @ COST-FOOD</v>
      </c>
      <c r="C63" s="10"/>
      <c r="D63" s="2">
        <v>280.37</v>
      </c>
      <c r="E63" s="2"/>
      <c r="F63" s="19">
        <f t="shared" si="16"/>
        <v>6.5183783068965113E-4</v>
      </c>
      <c r="G63" s="2"/>
      <c r="H63" s="2"/>
      <c r="I63" s="2"/>
      <c r="J63" s="19">
        <f t="shared" si="17"/>
        <v>0</v>
      </c>
      <c r="K63" s="2"/>
      <c r="L63" s="2">
        <f t="shared" si="18"/>
        <v>280.37</v>
      </c>
      <c r="M63" s="2"/>
      <c r="N63" s="19">
        <f t="shared" si="19"/>
        <v>0</v>
      </c>
      <c r="O63" s="10"/>
      <c r="P63" s="2">
        <v>5624.52</v>
      </c>
      <c r="Q63" s="2"/>
      <c r="R63" s="19">
        <f t="shared" si="20"/>
        <v>2.4273797414235418E-3</v>
      </c>
      <c r="S63" s="2"/>
      <c r="T63" s="2"/>
      <c r="U63" s="2"/>
      <c r="V63" s="19">
        <f t="shared" si="21"/>
        <v>0</v>
      </c>
      <c r="W63" s="2"/>
      <c r="X63" s="2">
        <f t="shared" si="22"/>
        <v>5624.52</v>
      </c>
      <c r="Y63" s="2"/>
      <c r="Z63" s="19">
        <f t="shared" si="23"/>
        <v>0</v>
      </c>
    </row>
    <row r="64" spans="1:26" s="23" customFormat="1" hidden="1" outlineLevel="1" x14ac:dyDescent="0.25">
      <c r="A64" s="44"/>
      <c r="B64" s="10" t="str">
        <f>CONCATENATE("          ", "5037", " - ", "PURCHASES @ COST-WATER")</f>
        <v xml:space="preserve">          5037 - PURCHASES @ COST-WATER</v>
      </c>
      <c r="C64" s="10"/>
      <c r="D64" s="2"/>
      <c r="E64" s="2"/>
      <c r="F64" s="19">
        <f t="shared" si="16"/>
        <v>0</v>
      </c>
      <c r="G64" s="2"/>
      <c r="H64" s="2"/>
      <c r="I64" s="2"/>
      <c r="J64" s="19">
        <f t="shared" si="17"/>
        <v>0</v>
      </c>
      <c r="K64" s="2"/>
      <c r="L64" s="2">
        <f t="shared" si="18"/>
        <v>0</v>
      </c>
      <c r="M64" s="2"/>
      <c r="N64" s="19">
        <f t="shared" si="19"/>
        <v>0</v>
      </c>
      <c r="O64" s="10"/>
      <c r="P64" s="2"/>
      <c r="Q64" s="2"/>
      <c r="R64" s="19">
        <f t="shared" si="20"/>
        <v>0</v>
      </c>
      <c r="S64" s="2"/>
      <c r="T64" s="2">
        <v>29.76</v>
      </c>
      <c r="U64" s="2"/>
      <c r="V64" s="19">
        <f t="shared" si="21"/>
        <v>1.0753566662844862E-5</v>
      </c>
      <c r="W64" s="2"/>
      <c r="X64" s="2">
        <f t="shared" si="22"/>
        <v>-29.76</v>
      </c>
      <c r="Y64" s="2"/>
      <c r="Z64" s="19">
        <f t="shared" si="23"/>
        <v>-1</v>
      </c>
    </row>
    <row r="65" spans="1:26" s="23" customFormat="1" hidden="1" outlineLevel="1" x14ac:dyDescent="0.25">
      <c r="A65" s="44"/>
      <c r="B65" s="10" t="str">
        <f>CONCATENATE("          ", "5040", " - ", "PURCHASES @ COST-LOGO CLOTHING")</f>
        <v xml:space="preserve">          5040 - PURCHASES @ COST-LOGO CLOTHING</v>
      </c>
      <c r="C65" s="10"/>
      <c r="D65" s="2">
        <v>48288.73</v>
      </c>
      <c r="E65" s="2"/>
      <c r="F65" s="19">
        <f t="shared" si="16"/>
        <v>0.11226743592380881</v>
      </c>
      <c r="G65" s="2"/>
      <c r="H65" s="2">
        <v>1557.89</v>
      </c>
      <c r="I65" s="2"/>
      <c r="J65" s="19">
        <f t="shared" si="17"/>
        <v>8.6802251178654984E-3</v>
      </c>
      <c r="K65" s="2"/>
      <c r="L65" s="2">
        <f t="shared" si="18"/>
        <v>46730.840000000004</v>
      </c>
      <c r="M65" s="2"/>
      <c r="N65" s="19">
        <f t="shared" si="19"/>
        <v>29.996238502076526</v>
      </c>
      <c r="O65" s="10"/>
      <c r="P65" s="2">
        <v>327378.98</v>
      </c>
      <c r="Q65" s="2"/>
      <c r="R65" s="19">
        <f t="shared" si="20"/>
        <v>0.14128727497100246</v>
      </c>
      <c r="S65" s="2"/>
      <c r="T65" s="2">
        <v>976469.33</v>
      </c>
      <c r="U65" s="2"/>
      <c r="V65" s="19">
        <f t="shared" si="21"/>
        <v>0.35284032373583524</v>
      </c>
      <c r="W65" s="2"/>
      <c r="X65" s="2">
        <f t="shared" si="22"/>
        <v>-649090.35</v>
      </c>
      <c r="Y65" s="2"/>
      <c r="Z65" s="19">
        <f t="shared" si="23"/>
        <v>-0.66473193786844287</v>
      </c>
    </row>
    <row r="66" spans="1:26" s="23" customFormat="1" hidden="1" outlineLevel="1" x14ac:dyDescent="0.25">
      <c r="A66" s="44"/>
      <c r="B66" s="10" t="str">
        <f>CONCATENATE("          ", "5041", " - ", "PURCHASES @ COST-LOGO GIFTS")</f>
        <v xml:space="preserve">          5041 - PURCHASES @ COST-LOGO GIFTS</v>
      </c>
      <c r="C66" s="10"/>
      <c r="D66" s="2">
        <v>22136.9</v>
      </c>
      <c r="E66" s="2"/>
      <c r="F66" s="19">
        <f t="shared" si="16"/>
        <v>5.1466522360429923E-2</v>
      </c>
      <c r="G66" s="2"/>
      <c r="H66" s="2">
        <v>4290.8100000000004</v>
      </c>
      <c r="I66" s="2"/>
      <c r="J66" s="19">
        <f t="shared" si="17"/>
        <v>2.3907462489642053E-2</v>
      </c>
      <c r="K66" s="2"/>
      <c r="L66" s="2">
        <f t="shared" si="18"/>
        <v>17846.09</v>
      </c>
      <c r="M66" s="2"/>
      <c r="N66" s="19">
        <f t="shared" si="19"/>
        <v>4.1591424462980182</v>
      </c>
      <c r="O66" s="10"/>
      <c r="P66" s="2">
        <v>106398.85</v>
      </c>
      <c r="Q66" s="2"/>
      <c r="R66" s="19">
        <f t="shared" si="20"/>
        <v>4.5918658481214791E-2</v>
      </c>
      <c r="S66" s="2"/>
      <c r="T66" s="2">
        <v>149750.84</v>
      </c>
      <c r="U66" s="2"/>
      <c r="V66" s="19">
        <f t="shared" si="21"/>
        <v>5.4111412659845926E-2</v>
      </c>
      <c r="W66" s="2"/>
      <c r="X66" s="2">
        <f t="shared" si="22"/>
        <v>-43351.989999999991</v>
      </c>
      <c r="Y66" s="2"/>
      <c r="Z66" s="19">
        <f t="shared" si="23"/>
        <v>-0.28949413572571608</v>
      </c>
    </row>
    <row r="67" spans="1:26" s="23" customFormat="1" hidden="1" outlineLevel="1" x14ac:dyDescent="0.25">
      <c r="A67" s="44"/>
      <c r="B67" s="10" t="str">
        <f>CONCATENATE("          ", "5042", " - ", "PURCHASES @ COST-EVERYDAY GIFT")</f>
        <v xml:space="preserve">          5042 - PURCHASES @ COST-EVERYDAY GIFT</v>
      </c>
      <c r="C67" s="10"/>
      <c r="D67" s="2">
        <v>-0.11</v>
      </c>
      <c r="E67" s="2"/>
      <c r="F67" s="19">
        <f t="shared" si="16"/>
        <v>-2.5574120403702827E-7</v>
      </c>
      <c r="G67" s="2"/>
      <c r="H67" s="2">
        <v>10730.16</v>
      </c>
      <c r="I67" s="2"/>
      <c r="J67" s="19">
        <f t="shared" si="17"/>
        <v>5.9786123764011351E-2</v>
      </c>
      <c r="K67" s="2"/>
      <c r="L67" s="2">
        <f t="shared" si="18"/>
        <v>-10730.27</v>
      </c>
      <c r="M67" s="2"/>
      <c r="N67" s="19">
        <f t="shared" si="19"/>
        <v>-1.0000102514780769</v>
      </c>
      <c r="O67" s="10"/>
      <c r="P67" s="2">
        <v>18748.07</v>
      </c>
      <c r="Q67" s="2"/>
      <c r="R67" s="19">
        <f t="shared" si="20"/>
        <v>8.0911233863139361E-3</v>
      </c>
      <c r="S67" s="2"/>
      <c r="T67" s="2">
        <v>126615.2</v>
      </c>
      <c r="U67" s="2"/>
      <c r="V67" s="19">
        <f t="shared" si="21"/>
        <v>4.5751511886069712E-2</v>
      </c>
      <c r="W67" s="2"/>
      <c r="X67" s="2">
        <f t="shared" si="22"/>
        <v>-107867.13</v>
      </c>
      <c r="Y67" s="2"/>
      <c r="Z67" s="19">
        <f t="shared" si="23"/>
        <v>-0.8519287573687836</v>
      </c>
    </row>
    <row r="68" spans="1:26" s="23" customFormat="1" hidden="1" outlineLevel="1" x14ac:dyDescent="0.25">
      <c r="A68" s="44"/>
      <c r="B68" s="10" t="str">
        <f>CONCATENATE("          ", "5043", " - ", "PURCHASES @ COST-CARDS")</f>
        <v xml:space="preserve">          5043 - PURCHASES @ COST-CARDS</v>
      </c>
      <c r="C68" s="10"/>
      <c r="D68" s="2">
        <v>178</v>
      </c>
      <c r="E68" s="2"/>
      <c r="F68" s="19">
        <f t="shared" si="16"/>
        <v>4.1383576653264577E-4</v>
      </c>
      <c r="G68" s="2"/>
      <c r="H68" s="2"/>
      <c r="I68" s="2"/>
      <c r="J68" s="19">
        <f t="shared" si="17"/>
        <v>0</v>
      </c>
      <c r="K68" s="2"/>
      <c r="L68" s="2">
        <f t="shared" si="18"/>
        <v>178</v>
      </c>
      <c r="M68" s="2"/>
      <c r="N68" s="19">
        <f t="shared" si="19"/>
        <v>0</v>
      </c>
      <c r="O68" s="10"/>
      <c r="P68" s="2">
        <v>55583.33</v>
      </c>
      <c r="Q68" s="2"/>
      <c r="R68" s="19">
        <f t="shared" si="20"/>
        <v>2.3988153514052649E-2</v>
      </c>
      <c r="S68" s="2"/>
      <c r="T68" s="2">
        <v>30914.66</v>
      </c>
      <c r="U68" s="2"/>
      <c r="V68" s="19">
        <f t="shared" si="21"/>
        <v>1.1170794931760198E-2</v>
      </c>
      <c r="W68" s="2"/>
      <c r="X68" s="2">
        <f t="shared" si="22"/>
        <v>24668.670000000002</v>
      </c>
      <c r="Y68" s="2"/>
      <c r="Z68" s="19">
        <f t="shared" si="23"/>
        <v>0.79796025574921414</v>
      </c>
    </row>
    <row r="69" spans="1:26" s="23" customFormat="1" hidden="1" outlineLevel="1" x14ac:dyDescent="0.25">
      <c r="A69" s="44"/>
      <c r="B69" s="10" t="str">
        <f>CONCATENATE("          ", "5044", " - ", "PURCHASES @ COST-ACCESSORIES")</f>
        <v xml:space="preserve">          5044 - PURCHASES @ COST-ACCESSORIES</v>
      </c>
      <c r="C69" s="10"/>
      <c r="D69" s="2"/>
      <c r="E69" s="2"/>
      <c r="F69" s="19">
        <f t="shared" si="16"/>
        <v>0</v>
      </c>
      <c r="G69" s="2"/>
      <c r="H69" s="2">
        <v>1395</v>
      </c>
      <c r="I69" s="2"/>
      <c r="J69" s="19">
        <f t="shared" si="17"/>
        <v>7.7726373745401591E-3</v>
      </c>
      <c r="K69" s="2"/>
      <c r="L69" s="2">
        <f t="shared" si="18"/>
        <v>-1395</v>
      </c>
      <c r="M69" s="2"/>
      <c r="N69" s="19">
        <f t="shared" si="19"/>
        <v>-1</v>
      </c>
      <c r="O69" s="10"/>
      <c r="P69" s="2">
        <v>2555.71</v>
      </c>
      <c r="Q69" s="2"/>
      <c r="R69" s="19">
        <f t="shared" si="20"/>
        <v>1.1029703297265473E-3</v>
      </c>
      <c r="S69" s="2"/>
      <c r="T69" s="2">
        <v>37869.03</v>
      </c>
      <c r="U69" s="2"/>
      <c r="V69" s="19">
        <f t="shared" si="21"/>
        <v>1.3683707612979568E-2</v>
      </c>
      <c r="W69" s="2"/>
      <c r="X69" s="2">
        <f t="shared" si="22"/>
        <v>-35313.32</v>
      </c>
      <c r="Y69" s="2"/>
      <c r="Z69" s="19">
        <f t="shared" si="23"/>
        <v>-0.93251187051794038</v>
      </c>
    </row>
    <row r="70" spans="1:26" s="23" customFormat="1" hidden="1" outlineLevel="1" x14ac:dyDescent="0.25">
      <c r="A70" s="44"/>
      <c r="B70" s="10" t="str">
        <f>CONCATENATE("          ", "5045", " - ", "PURCHASES @ COST-SPECIAL ORDER")</f>
        <v xml:space="preserve">          5045 - PURCHASES @ COST-SPECIAL ORDER</v>
      </c>
      <c r="C70" s="10"/>
      <c r="D70" s="2">
        <v>24141.17</v>
      </c>
      <c r="E70" s="2"/>
      <c r="F70" s="19">
        <f t="shared" si="16"/>
        <v>5.6126289842387142E-2</v>
      </c>
      <c r="G70" s="2"/>
      <c r="H70" s="2">
        <v>16919.25</v>
      </c>
      <c r="I70" s="2"/>
      <c r="J70" s="19">
        <f t="shared" si="17"/>
        <v>9.4270390608737334E-2</v>
      </c>
      <c r="K70" s="2"/>
      <c r="L70" s="2">
        <f t="shared" si="18"/>
        <v>7221.9199999999983</v>
      </c>
      <c r="M70" s="2"/>
      <c r="N70" s="19">
        <f t="shared" si="19"/>
        <v>0.42684634366180524</v>
      </c>
      <c r="O70" s="10"/>
      <c r="P70" s="2">
        <v>139139.24</v>
      </c>
      <c r="Q70" s="2"/>
      <c r="R70" s="19">
        <f t="shared" si="20"/>
        <v>6.0048461453256118E-2</v>
      </c>
      <c r="S70" s="2"/>
      <c r="T70" s="2">
        <v>78842.399999999994</v>
      </c>
      <c r="U70" s="2"/>
      <c r="V70" s="19">
        <f t="shared" si="21"/>
        <v>2.8489146648477136E-2</v>
      </c>
      <c r="W70" s="2"/>
      <c r="X70" s="2">
        <f t="shared" si="22"/>
        <v>60296.84</v>
      </c>
      <c r="Y70" s="2"/>
      <c r="Z70" s="19">
        <f t="shared" si="23"/>
        <v>0.7647768205939951</v>
      </c>
    </row>
    <row r="71" spans="1:26" s="23" customFormat="1" hidden="1" outlineLevel="1" x14ac:dyDescent="0.25">
      <c r="A71" s="44"/>
      <c r="B71" s="10" t="str">
        <f>CONCATENATE("          ", "5083", " - ", "PURCHASES @ COST-COMPUTER EQUI")</f>
        <v xml:space="preserve">          5083 - PURCHASES @ COST-COMPUTER EQUI</v>
      </c>
      <c r="C71" s="10"/>
      <c r="D71" s="2"/>
      <c r="E71" s="2"/>
      <c r="F71" s="19">
        <f t="shared" si="16"/>
        <v>0</v>
      </c>
      <c r="G71" s="2"/>
      <c r="H71" s="2"/>
      <c r="I71" s="2"/>
      <c r="J71" s="19">
        <f t="shared" si="17"/>
        <v>0</v>
      </c>
      <c r="K71" s="2"/>
      <c r="L71" s="2">
        <f t="shared" si="18"/>
        <v>0</v>
      </c>
      <c r="M71" s="2"/>
      <c r="N71" s="19">
        <f t="shared" si="19"/>
        <v>0</v>
      </c>
      <c r="O71" s="10"/>
      <c r="P71" s="2"/>
      <c r="Q71" s="2"/>
      <c r="R71" s="19">
        <f t="shared" si="20"/>
        <v>0</v>
      </c>
      <c r="S71" s="2"/>
      <c r="T71" s="2">
        <v>90.35</v>
      </c>
      <c r="U71" s="2"/>
      <c r="V71" s="19">
        <f t="shared" si="21"/>
        <v>3.264733696196348E-5</v>
      </c>
      <c r="W71" s="2"/>
      <c r="X71" s="2">
        <f t="shared" si="22"/>
        <v>-90.35</v>
      </c>
      <c r="Y71" s="2"/>
      <c r="Z71" s="19">
        <f t="shared" si="23"/>
        <v>-1</v>
      </c>
    </row>
    <row r="72" spans="1:26" s="23" customFormat="1" hidden="1" outlineLevel="1" x14ac:dyDescent="0.25">
      <c r="A72" s="44"/>
      <c r="B72" s="10" t="str">
        <f>CONCATENATE("          ", "5086", " - ", "PURCHASES @ COST-COMPUTER SUPP")</f>
        <v xml:space="preserve">          5086 - PURCHASES @ COST-COMPUTER SUPP</v>
      </c>
      <c r="C72" s="10"/>
      <c r="D72" s="2"/>
      <c r="E72" s="2"/>
      <c r="F72" s="19">
        <f t="shared" si="16"/>
        <v>0</v>
      </c>
      <c r="G72" s="2"/>
      <c r="H72" s="2"/>
      <c r="I72" s="2"/>
      <c r="J72" s="19">
        <f t="shared" si="17"/>
        <v>0</v>
      </c>
      <c r="K72" s="2"/>
      <c r="L72" s="2">
        <f t="shared" si="18"/>
        <v>0</v>
      </c>
      <c r="M72" s="2"/>
      <c r="N72" s="19">
        <f t="shared" si="19"/>
        <v>0</v>
      </c>
      <c r="O72" s="10"/>
      <c r="P72" s="2">
        <v>13.21</v>
      </c>
      <c r="Q72" s="2"/>
      <c r="R72" s="19">
        <f t="shared" si="20"/>
        <v>5.7010529581555383E-6</v>
      </c>
      <c r="S72" s="2"/>
      <c r="T72" s="2">
        <v>0</v>
      </c>
      <c r="U72" s="2"/>
      <c r="V72" s="19">
        <f t="shared" si="21"/>
        <v>0</v>
      </c>
      <c r="W72" s="2"/>
      <c r="X72" s="2">
        <f t="shared" si="22"/>
        <v>13.21</v>
      </c>
      <c r="Y72" s="2"/>
      <c r="Z72" s="19">
        <f t="shared" si="23"/>
        <v>0</v>
      </c>
    </row>
    <row r="73" spans="1:26" s="23" customFormat="1" hidden="1" outlineLevel="1" x14ac:dyDescent="0.25">
      <c r="A73" s="44"/>
      <c r="B73" s="10" t="str">
        <f>CONCATENATE("          ", "5092", " - ", "PURCHASES @ COST-GRAD MERCH")</f>
        <v xml:space="preserve">          5092 - PURCHASES @ COST-GRAD MERCH</v>
      </c>
      <c r="C73" s="10"/>
      <c r="D73" s="2"/>
      <c r="E73" s="2"/>
      <c r="F73" s="19">
        <f t="shared" si="16"/>
        <v>0</v>
      </c>
      <c r="G73" s="2"/>
      <c r="H73" s="2"/>
      <c r="I73" s="2"/>
      <c r="J73" s="19">
        <f t="shared" si="17"/>
        <v>0</v>
      </c>
      <c r="K73" s="2"/>
      <c r="L73" s="2">
        <f t="shared" si="18"/>
        <v>0</v>
      </c>
      <c r="M73" s="2"/>
      <c r="N73" s="19">
        <f t="shared" si="19"/>
        <v>0</v>
      </c>
      <c r="O73" s="10"/>
      <c r="P73" s="2"/>
      <c r="Q73" s="2"/>
      <c r="R73" s="19">
        <f t="shared" si="20"/>
        <v>0</v>
      </c>
      <c r="S73" s="2"/>
      <c r="T73" s="2">
        <v>-60.35</v>
      </c>
      <c r="U73" s="2"/>
      <c r="V73" s="19">
        <f t="shared" si="21"/>
        <v>-2.1807047987321483E-5</v>
      </c>
      <c r="W73" s="2"/>
      <c r="X73" s="2">
        <f t="shared" si="22"/>
        <v>60.35</v>
      </c>
      <c r="Y73" s="2"/>
      <c r="Z73" s="19">
        <f t="shared" si="23"/>
        <v>-1</v>
      </c>
    </row>
    <row r="74" spans="1:26" s="23" customFormat="1" hidden="1" outlineLevel="1" x14ac:dyDescent="0.25">
      <c r="A74" s="44"/>
      <c r="B74" s="10" t="str">
        <f>CONCATENATE("          ", "5095", " - ", "PURCHASES @ COST-CUSTOMER SERV")</f>
        <v xml:space="preserve">          5095 - PURCHASES @ COST-CUSTOMER SERV</v>
      </c>
      <c r="C74" s="10"/>
      <c r="D74" s="2"/>
      <c r="E74" s="2"/>
      <c r="F74" s="19">
        <f t="shared" si="16"/>
        <v>0</v>
      </c>
      <c r="G74" s="2"/>
      <c r="H74" s="2"/>
      <c r="I74" s="2"/>
      <c r="J74" s="19">
        <f t="shared" si="17"/>
        <v>0</v>
      </c>
      <c r="K74" s="2"/>
      <c r="L74" s="2">
        <f t="shared" si="18"/>
        <v>0</v>
      </c>
      <c r="M74" s="2"/>
      <c r="N74" s="19">
        <f t="shared" si="19"/>
        <v>0</v>
      </c>
      <c r="O74" s="10"/>
      <c r="P74" s="2"/>
      <c r="Q74" s="2"/>
      <c r="R74" s="19">
        <f t="shared" si="20"/>
        <v>0</v>
      </c>
      <c r="S74" s="2"/>
      <c r="T74" s="2">
        <v>-11.85</v>
      </c>
      <c r="U74" s="2"/>
      <c r="V74" s="19">
        <f t="shared" si="21"/>
        <v>-4.2819141449835883E-6</v>
      </c>
      <c r="W74" s="2"/>
      <c r="X74" s="2">
        <f t="shared" si="22"/>
        <v>11.85</v>
      </c>
      <c r="Y74" s="2"/>
      <c r="Z74" s="19">
        <f t="shared" si="23"/>
        <v>-1</v>
      </c>
    </row>
    <row r="75" spans="1:26" s="23" customFormat="1" hidden="1" outlineLevel="1" x14ac:dyDescent="0.25">
      <c r="A75" s="44"/>
      <c r="B75" s="10" t="str">
        <f>CONCATENATE("          ", "5200", " - ", "PURCHASES OFFSET")</f>
        <v xml:space="preserve">          5200 - PURCHASES OFFSET</v>
      </c>
      <c r="C75" s="10"/>
      <c r="D75" s="2">
        <v>-98976.31</v>
      </c>
      <c r="E75" s="2"/>
      <c r="F75" s="19">
        <f t="shared" si="16"/>
        <v>-0.23011200627765602</v>
      </c>
      <c r="G75" s="2"/>
      <c r="H75" s="2">
        <v>-36586</v>
      </c>
      <c r="I75" s="2"/>
      <c r="J75" s="19">
        <f t="shared" si="17"/>
        <v>-0.20384925518632707</v>
      </c>
      <c r="K75" s="2"/>
      <c r="L75" s="2">
        <f t="shared" si="18"/>
        <v>-62390.31</v>
      </c>
      <c r="M75" s="2"/>
      <c r="N75" s="19">
        <f t="shared" si="19"/>
        <v>1.7053055813699229</v>
      </c>
      <c r="O75" s="10"/>
      <c r="P75" s="2">
        <v>-713602.14</v>
      </c>
      <c r="Q75" s="2"/>
      <c r="R75" s="19">
        <f t="shared" si="20"/>
        <v>-0.30796999176329465</v>
      </c>
      <c r="S75" s="2"/>
      <c r="T75" s="2">
        <v>-1408334</v>
      </c>
      <c r="U75" s="2"/>
      <c r="V75" s="19">
        <f t="shared" si="21"/>
        <v>-0.50889158442711546</v>
      </c>
      <c r="W75" s="2"/>
      <c r="X75" s="2">
        <f t="shared" si="22"/>
        <v>694731.86</v>
      </c>
      <c r="Y75" s="2"/>
      <c r="Z75" s="19">
        <f t="shared" si="23"/>
        <v>-0.49330049547905541</v>
      </c>
    </row>
    <row r="76" spans="1:26" s="23" customFormat="1" hidden="1" outlineLevel="1" x14ac:dyDescent="0.25">
      <c r="A76" s="44"/>
      <c r="B76" s="10" t="str">
        <f>CONCATENATE("          ", "5300", " - ", "COG$ OFFSET")</f>
        <v xml:space="preserve">          5300 - COG$ OFFSET</v>
      </c>
      <c r="C76" s="10"/>
      <c r="D76" s="2">
        <v>195650</v>
      </c>
      <c r="E76" s="2"/>
      <c r="F76" s="19">
        <f t="shared" si="16"/>
        <v>0.45487060518040529</v>
      </c>
      <c r="G76" s="2"/>
      <c r="H76" s="2">
        <v>93762</v>
      </c>
      <c r="I76" s="2"/>
      <c r="J76" s="19">
        <f t="shared" si="17"/>
        <v>0.52242152366425409</v>
      </c>
      <c r="K76" s="2"/>
      <c r="L76" s="2">
        <f t="shared" si="18"/>
        <v>101888</v>
      </c>
      <c r="M76" s="2"/>
      <c r="N76" s="19">
        <f t="shared" si="19"/>
        <v>1.0866662400546063</v>
      </c>
      <c r="O76" s="10"/>
      <c r="P76" s="2">
        <v>1220579</v>
      </c>
      <c r="Q76" s="2"/>
      <c r="R76" s="19">
        <f t="shared" si="20"/>
        <v>0.52676650405848058</v>
      </c>
      <c r="S76" s="2"/>
      <c r="T76" s="2">
        <v>1246431</v>
      </c>
      <c r="U76" s="2"/>
      <c r="V76" s="19">
        <f t="shared" si="21"/>
        <v>0.4503890742317333</v>
      </c>
      <c r="W76" s="2"/>
      <c r="X76" s="2">
        <f t="shared" si="22"/>
        <v>-25852</v>
      </c>
      <c r="Y76" s="2"/>
      <c r="Z76" s="19">
        <f t="shared" si="23"/>
        <v>-2.0740819186942559E-2</v>
      </c>
    </row>
    <row r="77" spans="1:26" s="23" customFormat="1" hidden="1" outlineLevel="1" x14ac:dyDescent="0.25">
      <c r="A77" s="44"/>
      <c r="B77" s="10" t="str">
        <f>CONCATENATE("          ", "5500", " - ", "FREIGHT-IN")</f>
        <v xml:space="preserve">          5500 - FREIGHT-IN</v>
      </c>
      <c r="C77" s="10"/>
      <c r="D77" s="2">
        <v>0</v>
      </c>
      <c r="E77" s="2"/>
      <c r="F77" s="19">
        <f t="shared" si="16"/>
        <v>0</v>
      </c>
      <c r="G77" s="2"/>
      <c r="H77" s="2"/>
      <c r="I77" s="2"/>
      <c r="J77" s="19">
        <f t="shared" si="17"/>
        <v>0</v>
      </c>
      <c r="K77" s="2"/>
      <c r="L77" s="2">
        <f t="shared" si="18"/>
        <v>0</v>
      </c>
      <c r="M77" s="2"/>
      <c r="N77" s="19">
        <f t="shared" si="19"/>
        <v>0</v>
      </c>
      <c r="O77" s="10"/>
      <c r="P77" s="2">
        <v>0</v>
      </c>
      <c r="Q77" s="2"/>
      <c r="R77" s="19">
        <f t="shared" si="20"/>
        <v>0</v>
      </c>
      <c r="S77" s="2"/>
      <c r="T77" s="2">
        <v>29.23</v>
      </c>
      <c r="U77" s="2"/>
      <c r="V77" s="19">
        <f t="shared" si="21"/>
        <v>1.0562054890959519E-5</v>
      </c>
      <c r="W77" s="2"/>
      <c r="X77" s="2">
        <f t="shared" si="22"/>
        <v>-29.23</v>
      </c>
      <c r="Y77" s="2"/>
      <c r="Z77" s="19">
        <f t="shared" si="23"/>
        <v>-1</v>
      </c>
    </row>
    <row r="78" spans="1:26" s="23" customFormat="1" hidden="1" outlineLevel="1" x14ac:dyDescent="0.25">
      <c r="A78" s="44"/>
      <c r="B78" s="10" t="str">
        <f>CONCATENATE("          ", "5525", " - ", "FREIGHT-IN-TEST FORMS")</f>
        <v xml:space="preserve">          5525 - FREIGHT-IN-TEST FORMS</v>
      </c>
      <c r="C78" s="10"/>
      <c r="D78" s="2"/>
      <c r="E78" s="2"/>
      <c r="F78" s="19">
        <f t="shared" si="16"/>
        <v>0</v>
      </c>
      <c r="G78" s="2"/>
      <c r="H78" s="2"/>
      <c r="I78" s="2"/>
      <c r="J78" s="19">
        <f t="shared" si="17"/>
        <v>0</v>
      </c>
      <c r="K78" s="2"/>
      <c r="L78" s="2">
        <f t="shared" si="18"/>
        <v>0</v>
      </c>
      <c r="M78" s="2"/>
      <c r="N78" s="19">
        <f t="shared" si="19"/>
        <v>0</v>
      </c>
      <c r="O78" s="10"/>
      <c r="P78" s="2">
        <v>48.14</v>
      </c>
      <c r="Q78" s="2"/>
      <c r="R78" s="19">
        <f t="shared" si="20"/>
        <v>2.0775828115488841E-5</v>
      </c>
      <c r="S78" s="2"/>
      <c r="T78" s="2"/>
      <c r="U78" s="2"/>
      <c r="V78" s="19">
        <f t="shared" si="21"/>
        <v>0</v>
      </c>
      <c r="W78" s="2"/>
      <c r="X78" s="2">
        <f t="shared" si="22"/>
        <v>48.14</v>
      </c>
      <c r="Y78" s="2"/>
      <c r="Z78" s="19">
        <f t="shared" si="23"/>
        <v>0</v>
      </c>
    </row>
    <row r="79" spans="1:26" s="23" customFormat="1" hidden="1" outlineLevel="1" x14ac:dyDescent="0.25">
      <c r="A79" s="44"/>
      <c r="B79" s="10" t="str">
        <f>CONCATENATE("          ", "5526", " - ", "FREIGHT-IN-WRITING INSTRUMENTS")</f>
        <v xml:space="preserve">          5526 - FREIGHT-IN-WRITING INSTRUMENTS</v>
      </c>
      <c r="C79" s="10"/>
      <c r="D79" s="2"/>
      <c r="E79" s="2"/>
      <c r="F79" s="19">
        <f t="shared" si="16"/>
        <v>0</v>
      </c>
      <c r="G79" s="2"/>
      <c r="H79" s="2"/>
      <c r="I79" s="2"/>
      <c r="J79" s="19">
        <f t="shared" si="17"/>
        <v>0</v>
      </c>
      <c r="K79" s="2"/>
      <c r="L79" s="2">
        <f t="shared" si="18"/>
        <v>0</v>
      </c>
      <c r="M79" s="2"/>
      <c r="N79" s="19">
        <f t="shared" si="19"/>
        <v>0</v>
      </c>
      <c r="O79" s="10"/>
      <c r="P79" s="2">
        <v>0</v>
      </c>
      <c r="Q79" s="2"/>
      <c r="R79" s="19">
        <f t="shared" si="20"/>
        <v>0</v>
      </c>
      <c r="S79" s="2"/>
      <c r="T79" s="2"/>
      <c r="U79" s="2"/>
      <c r="V79" s="19">
        <f t="shared" si="21"/>
        <v>0</v>
      </c>
      <c r="W79" s="2"/>
      <c r="X79" s="2">
        <f t="shared" si="22"/>
        <v>0</v>
      </c>
      <c r="Y79" s="2"/>
      <c r="Z79" s="19">
        <f t="shared" si="23"/>
        <v>0</v>
      </c>
    </row>
    <row r="80" spans="1:26" s="23" customFormat="1" hidden="1" outlineLevel="1" x14ac:dyDescent="0.25">
      <c r="A80" s="44"/>
      <c r="B80" s="10" t="str">
        <f>CONCATENATE("          ", "5527", " - ", "FREIGHT-IN-SCHOOL SUPPLIES")</f>
        <v xml:space="preserve">          5527 - FREIGHT-IN-SCHOOL SUPPLIES</v>
      </c>
      <c r="C80" s="10"/>
      <c r="D80" s="2"/>
      <c r="E80" s="2"/>
      <c r="F80" s="19">
        <f t="shared" si="16"/>
        <v>0</v>
      </c>
      <c r="G80" s="2"/>
      <c r="H80" s="2"/>
      <c r="I80" s="2"/>
      <c r="J80" s="19">
        <f t="shared" si="17"/>
        <v>0</v>
      </c>
      <c r="K80" s="2"/>
      <c r="L80" s="2">
        <f t="shared" si="18"/>
        <v>0</v>
      </c>
      <c r="M80" s="2"/>
      <c r="N80" s="19">
        <f t="shared" si="19"/>
        <v>0</v>
      </c>
      <c r="O80" s="10"/>
      <c r="P80" s="2">
        <v>218.62</v>
      </c>
      <c r="Q80" s="2"/>
      <c r="R80" s="19">
        <f t="shared" si="20"/>
        <v>9.4350052816954115E-5</v>
      </c>
      <c r="S80" s="2"/>
      <c r="T80" s="2"/>
      <c r="U80" s="2"/>
      <c r="V80" s="19">
        <f t="shared" si="21"/>
        <v>0</v>
      </c>
      <c r="W80" s="2"/>
      <c r="X80" s="2">
        <f t="shared" si="22"/>
        <v>218.62</v>
      </c>
      <c r="Y80" s="2"/>
      <c r="Z80" s="19">
        <f t="shared" si="23"/>
        <v>0</v>
      </c>
    </row>
    <row r="81" spans="1:26" s="23" customFormat="1" hidden="1" outlineLevel="1" x14ac:dyDescent="0.25">
      <c r="A81" s="44"/>
      <c r="B81" s="10" t="str">
        <f>CONCATENATE("          ", "5528", " - ", "FREIGHT-IN-ART/TECH")</f>
        <v xml:space="preserve">          5528 - FREIGHT-IN-ART/TECH</v>
      </c>
      <c r="C81" s="10"/>
      <c r="D81" s="2"/>
      <c r="E81" s="2"/>
      <c r="F81" s="19">
        <f t="shared" si="16"/>
        <v>0</v>
      </c>
      <c r="G81" s="2"/>
      <c r="H81" s="2"/>
      <c r="I81" s="2"/>
      <c r="J81" s="19">
        <f t="shared" si="17"/>
        <v>0</v>
      </c>
      <c r="K81" s="2"/>
      <c r="L81" s="2">
        <f t="shared" si="18"/>
        <v>0</v>
      </c>
      <c r="M81" s="2"/>
      <c r="N81" s="19">
        <f t="shared" si="19"/>
        <v>0</v>
      </c>
      <c r="O81" s="10"/>
      <c r="P81" s="2">
        <v>176.91</v>
      </c>
      <c r="Q81" s="2"/>
      <c r="R81" s="19">
        <f t="shared" si="20"/>
        <v>7.6349226254905094E-5</v>
      </c>
      <c r="S81" s="2"/>
      <c r="T81" s="2"/>
      <c r="U81" s="2"/>
      <c r="V81" s="19">
        <f t="shared" si="21"/>
        <v>0</v>
      </c>
      <c r="W81" s="2"/>
      <c r="X81" s="2">
        <f t="shared" si="22"/>
        <v>176.91</v>
      </c>
      <c r="Y81" s="2"/>
      <c r="Z81" s="19">
        <f t="shared" si="23"/>
        <v>0</v>
      </c>
    </row>
    <row r="82" spans="1:26" s="23" customFormat="1" hidden="1" outlineLevel="1" x14ac:dyDescent="0.25">
      <c r="A82" s="44"/>
      <c r="B82" s="10" t="str">
        <f>CONCATENATE("          ", "5540", " - ", "FREIGHT-IN-LOGO CLOTHING")</f>
        <v xml:space="preserve">          5540 - FREIGHT-IN-LOGO CLOTHING</v>
      </c>
      <c r="C82" s="10"/>
      <c r="D82" s="2">
        <v>1283.68</v>
      </c>
      <c r="E82" s="2"/>
      <c r="F82" s="19">
        <f t="shared" si="16"/>
        <v>2.9844533527113863E-3</v>
      </c>
      <c r="G82" s="2"/>
      <c r="H82" s="2">
        <v>815.7</v>
      </c>
      <c r="I82" s="2"/>
      <c r="J82" s="19">
        <f t="shared" si="17"/>
        <v>4.5449034454569234E-3</v>
      </c>
      <c r="K82" s="2"/>
      <c r="L82" s="2">
        <f t="shared" si="18"/>
        <v>467.98</v>
      </c>
      <c r="M82" s="2"/>
      <c r="N82" s="19">
        <f t="shared" si="19"/>
        <v>0.57371582689714351</v>
      </c>
      <c r="O82" s="10"/>
      <c r="P82" s="2">
        <v>10499.7</v>
      </c>
      <c r="Q82" s="2"/>
      <c r="R82" s="19">
        <f t="shared" si="20"/>
        <v>4.5313660669754514E-3</v>
      </c>
      <c r="S82" s="2"/>
      <c r="T82" s="2">
        <v>32519</v>
      </c>
      <c r="U82" s="2"/>
      <c r="V82" s="19">
        <f t="shared" si="21"/>
        <v>1.1750511905546103E-2</v>
      </c>
      <c r="W82" s="2"/>
      <c r="X82" s="2">
        <f t="shared" si="22"/>
        <v>-22019.3</v>
      </c>
      <c r="Y82" s="2"/>
      <c r="Z82" s="19">
        <f t="shared" si="23"/>
        <v>-0.6771210676835081</v>
      </c>
    </row>
    <row r="83" spans="1:26" s="23" customFormat="1" hidden="1" outlineLevel="1" x14ac:dyDescent="0.25">
      <c r="A83" s="44"/>
      <c r="B83" s="10" t="str">
        <f>CONCATENATE("          ", "5541", " - ", "FREIGHT-IN-LOGO GIFTS")</f>
        <v xml:space="preserve">          5541 - FREIGHT-IN-LOGO GIFTS</v>
      </c>
      <c r="C83" s="10"/>
      <c r="D83" s="2">
        <v>961.21</v>
      </c>
      <c r="E83" s="2"/>
      <c r="F83" s="19">
        <f t="shared" si="16"/>
        <v>2.2347363884766542E-3</v>
      </c>
      <c r="G83" s="2"/>
      <c r="H83" s="2">
        <v>343.16</v>
      </c>
      <c r="I83" s="2"/>
      <c r="J83" s="19">
        <f t="shared" si="17"/>
        <v>1.9120130763062373E-3</v>
      </c>
      <c r="K83" s="2"/>
      <c r="L83" s="2">
        <f t="shared" si="18"/>
        <v>618.04999999999995</v>
      </c>
      <c r="M83" s="2"/>
      <c r="N83" s="19">
        <f t="shared" si="19"/>
        <v>1.8010549015036714</v>
      </c>
      <c r="O83" s="10"/>
      <c r="P83" s="2">
        <v>5977.2</v>
      </c>
      <c r="Q83" s="2"/>
      <c r="R83" s="19">
        <f t="shared" si="20"/>
        <v>2.5795862029891962E-3</v>
      </c>
      <c r="S83" s="2"/>
      <c r="T83" s="2">
        <v>5226.1000000000004</v>
      </c>
      <c r="U83" s="2"/>
      <c r="V83" s="19">
        <f t="shared" si="21"/>
        <v>1.8884144736792182E-3</v>
      </c>
      <c r="W83" s="2"/>
      <c r="X83" s="2">
        <f t="shared" si="22"/>
        <v>751.09999999999945</v>
      </c>
      <c r="Y83" s="2"/>
      <c r="Z83" s="19">
        <f t="shared" si="23"/>
        <v>0.14372093913243134</v>
      </c>
    </row>
    <row r="84" spans="1:26" s="23" customFormat="1" hidden="1" outlineLevel="1" x14ac:dyDescent="0.25">
      <c r="A84" s="44"/>
      <c r="B84" s="10" t="str">
        <f>CONCATENATE("          ", "5542", " - ", "FREIGHT-IN-EVERYDAY GIFTS")</f>
        <v xml:space="preserve">          5542 - FREIGHT-IN-EVERYDAY GIFTS</v>
      </c>
      <c r="C84" s="10"/>
      <c r="D84" s="2"/>
      <c r="E84" s="2"/>
      <c r="F84" s="19">
        <f t="shared" si="16"/>
        <v>0</v>
      </c>
      <c r="G84" s="2"/>
      <c r="H84" s="2">
        <v>384.47</v>
      </c>
      <c r="I84" s="2"/>
      <c r="J84" s="19">
        <f t="shared" si="17"/>
        <v>2.1421834346877816E-3</v>
      </c>
      <c r="K84" s="2"/>
      <c r="L84" s="2">
        <f t="shared" si="18"/>
        <v>-384.47</v>
      </c>
      <c r="M84" s="2"/>
      <c r="N84" s="19">
        <f t="shared" si="19"/>
        <v>-1</v>
      </c>
      <c r="O84" s="10"/>
      <c r="P84" s="2">
        <v>681.72</v>
      </c>
      <c r="Q84" s="2"/>
      <c r="R84" s="19">
        <f t="shared" si="20"/>
        <v>2.9421058460513198E-4</v>
      </c>
      <c r="S84" s="2"/>
      <c r="T84" s="2">
        <v>2223.5100000000002</v>
      </c>
      <c r="U84" s="2"/>
      <c r="V84" s="19">
        <f t="shared" si="21"/>
        <v>8.0344969793354096E-4</v>
      </c>
      <c r="W84" s="2"/>
      <c r="X84" s="2">
        <f t="shared" si="22"/>
        <v>-1541.7900000000002</v>
      </c>
      <c r="Y84" s="2"/>
      <c r="Z84" s="19">
        <f t="shared" si="23"/>
        <v>-0.69340367257174473</v>
      </c>
    </row>
    <row r="85" spans="1:26" s="23" customFormat="1" hidden="1" outlineLevel="1" x14ac:dyDescent="0.25">
      <c r="A85" s="44"/>
      <c r="B85" s="10" t="str">
        <f>CONCATENATE("          ", "5543", " - ", "FREIGHT-IN-CARDS")</f>
        <v xml:space="preserve">          5543 - FREIGHT-IN-CARDS</v>
      </c>
      <c r="C85" s="10"/>
      <c r="D85" s="2"/>
      <c r="E85" s="2"/>
      <c r="F85" s="19">
        <f t="shared" si="16"/>
        <v>0</v>
      </c>
      <c r="G85" s="2"/>
      <c r="H85" s="2"/>
      <c r="I85" s="2"/>
      <c r="J85" s="19">
        <f t="shared" si="17"/>
        <v>0</v>
      </c>
      <c r="K85" s="2"/>
      <c r="L85" s="2">
        <f t="shared" si="18"/>
        <v>0</v>
      </c>
      <c r="M85" s="2"/>
      <c r="N85" s="19">
        <f t="shared" si="19"/>
        <v>0</v>
      </c>
      <c r="O85" s="10"/>
      <c r="P85" s="2">
        <v>9110.5300000000007</v>
      </c>
      <c r="Q85" s="2"/>
      <c r="R85" s="19">
        <f t="shared" si="20"/>
        <v>3.9318405758413917E-3</v>
      </c>
      <c r="S85" s="2"/>
      <c r="T85" s="2">
        <v>2926.76</v>
      </c>
      <c r="U85" s="2"/>
      <c r="V85" s="19">
        <f t="shared" si="21"/>
        <v>1.0575641386474405E-3</v>
      </c>
      <c r="W85" s="2"/>
      <c r="X85" s="2">
        <f t="shared" si="22"/>
        <v>6183.77</v>
      </c>
      <c r="Y85" s="2"/>
      <c r="Z85" s="19">
        <f t="shared" si="23"/>
        <v>2.112838087168063</v>
      </c>
    </row>
    <row r="86" spans="1:26" s="23" customFormat="1" hidden="1" outlineLevel="1" x14ac:dyDescent="0.25">
      <c r="A86" s="44"/>
      <c r="B86" s="10" t="str">
        <f>CONCATENATE("          ", "5544", " - ", "FREIGHT-IN-ACCESSORIES")</f>
        <v xml:space="preserve">          5544 - FREIGHT-IN-ACCESSORIES</v>
      </c>
      <c r="C86" s="10"/>
      <c r="D86" s="2"/>
      <c r="E86" s="2"/>
      <c r="F86" s="19">
        <f t="shared" si="16"/>
        <v>0</v>
      </c>
      <c r="G86" s="2"/>
      <c r="H86" s="2"/>
      <c r="I86" s="2"/>
      <c r="J86" s="19">
        <f t="shared" si="17"/>
        <v>0</v>
      </c>
      <c r="K86" s="2"/>
      <c r="L86" s="2">
        <f t="shared" si="18"/>
        <v>0</v>
      </c>
      <c r="M86" s="2"/>
      <c r="N86" s="19">
        <f t="shared" si="19"/>
        <v>0</v>
      </c>
      <c r="O86" s="10"/>
      <c r="P86" s="2"/>
      <c r="Q86" s="2"/>
      <c r="R86" s="19">
        <f t="shared" si="20"/>
        <v>0</v>
      </c>
      <c r="S86" s="2"/>
      <c r="T86" s="2">
        <v>483.44</v>
      </c>
      <c r="U86" s="2"/>
      <c r="V86" s="19">
        <f t="shared" si="21"/>
        <v>1.7468764339669758E-4</v>
      </c>
      <c r="W86" s="2"/>
      <c r="X86" s="2">
        <f t="shared" si="22"/>
        <v>-483.44</v>
      </c>
      <c r="Y86" s="2"/>
      <c r="Z86" s="19">
        <f t="shared" si="23"/>
        <v>-1</v>
      </c>
    </row>
    <row r="87" spans="1:26" s="23" customFormat="1" hidden="1" outlineLevel="1" x14ac:dyDescent="0.25">
      <c r="A87" s="44"/>
      <c r="B87" s="10" t="str">
        <f>CONCATENATE("          ", "5545", " - ", "FREIGHT-IN-SPECIAL ORDERS")</f>
        <v xml:space="preserve">          5545 - FREIGHT-IN-SPECIAL ORDERS</v>
      </c>
      <c r="C87" s="10"/>
      <c r="D87" s="2">
        <v>1033.9000000000001</v>
      </c>
      <c r="E87" s="2"/>
      <c r="F87" s="19">
        <f t="shared" si="16"/>
        <v>2.403734825944396E-3</v>
      </c>
      <c r="G87" s="2"/>
      <c r="H87" s="2">
        <v>173.06</v>
      </c>
      <c r="I87" s="2"/>
      <c r="J87" s="19">
        <f t="shared" si="17"/>
        <v>9.6425277708811464E-4</v>
      </c>
      <c r="K87" s="2"/>
      <c r="L87" s="2">
        <f t="shared" si="18"/>
        <v>860.84000000000015</v>
      </c>
      <c r="M87" s="2"/>
      <c r="N87" s="19">
        <f t="shared" si="19"/>
        <v>4.974228591240033</v>
      </c>
      <c r="O87" s="10"/>
      <c r="P87" s="2">
        <v>2468.66</v>
      </c>
      <c r="Q87" s="2"/>
      <c r="R87" s="19">
        <f t="shared" si="20"/>
        <v>1.0654020738592165E-3</v>
      </c>
      <c r="S87" s="2"/>
      <c r="T87" s="2">
        <v>1065.32</v>
      </c>
      <c r="U87" s="2"/>
      <c r="V87" s="19">
        <f t="shared" si="21"/>
        <v>3.8494588834885371E-4</v>
      </c>
      <c r="W87" s="2"/>
      <c r="X87" s="2">
        <f t="shared" si="22"/>
        <v>1403.34</v>
      </c>
      <c r="Y87" s="2"/>
      <c r="Z87" s="19">
        <f t="shared" si="23"/>
        <v>1.3172943340967973</v>
      </c>
    </row>
    <row r="88" spans="1:26" x14ac:dyDescent="0.25">
      <c r="A88" s="9"/>
      <c r="B88" s="11"/>
      <c r="C88" s="11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1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11"/>
      <c r="B89" s="28" t="s">
        <v>107</v>
      </c>
      <c r="C89" s="28"/>
      <c r="D89" s="20">
        <f>D12-D57</f>
        <v>234472.32000000012</v>
      </c>
      <c r="E89" s="14"/>
      <c r="F89" s="21">
        <f>IF(D$12=0,0,D89/D$12)</f>
        <v>0.54512939481959466</v>
      </c>
      <c r="G89" s="14"/>
      <c r="H89" s="20">
        <f>H12-H57</f>
        <v>85714.320000000036</v>
      </c>
      <c r="I89" s="14"/>
      <c r="J89" s="21">
        <f>IF(H$12=0,0,H89/H$12)</f>
        <v>0.47758159653426191</v>
      </c>
      <c r="K89" s="15"/>
      <c r="L89" s="20">
        <f>+D89-H89</f>
        <v>148758.00000000009</v>
      </c>
      <c r="M89" s="15"/>
      <c r="N89" s="21">
        <f>IF(H89=0,0,L89/H89)</f>
        <v>1.735509305796278</v>
      </c>
      <c r="O89" s="29"/>
      <c r="P89" s="20">
        <f>P12-P57</f>
        <v>1095620.280000001</v>
      </c>
      <c r="Q89" s="14"/>
      <c r="R89" s="21">
        <f>IF(P$12=0,0,P89/P$12)</f>
        <v>0.47283794385383837</v>
      </c>
      <c r="S89" s="14"/>
      <c r="T89" s="20">
        <f>T12-T57</f>
        <v>1482868.6500000006</v>
      </c>
      <c r="U89" s="14"/>
      <c r="V89" s="21">
        <f>IF(T$12=0,0,T89/T$12)</f>
        <v>0.53582415591457566</v>
      </c>
      <c r="W89" s="15"/>
      <c r="X89" s="20">
        <f>+P89-T89</f>
        <v>-387248.36999999965</v>
      </c>
      <c r="Y89" s="15"/>
      <c r="Z89" s="21">
        <f>IF(T89=0,0,X89/T89)</f>
        <v>-0.26114812663953713</v>
      </c>
    </row>
    <row r="90" spans="1:26" x14ac:dyDescent="0.25">
      <c r="A90" s="9"/>
      <c r="B90" s="11"/>
      <c r="C90" s="9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4" customFormat="1" x14ac:dyDescent="0.25">
      <c r="A91" s="11"/>
      <c r="B91" s="29" t="s">
        <v>294</v>
      </c>
      <c r="C91" s="11"/>
      <c r="D91" s="22">
        <f>SUM(OSRRefD22x_0)</f>
        <v>64886.429999999993</v>
      </c>
      <c r="E91" s="22"/>
      <c r="F91" s="32">
        <f t="shared" ref="F91:F100" si="24">IF(D$12=0,0,D91/D$12)</f>
        <v>0.15085576121694866</v>
      </c>
      <c r="G91" s="22"/>
      <c r="H91" s="22">
        <f>SUM(OSRRefH22x_0)</f>
        <v>78356.75</v>
      </c>
      <c r="I91" s="22"/>
      <c r="J91" s="32">
        <f t="shared" ref="J91:J100" si="25">IF(H$12=0,0,H91/H$12)</f>
        <v>0.43658681261469506</v>
      </c>
      <c r="K91" s="4"/>
      <c r="L91" s="22">
        <f t="shared" ref="L91:L100" si="26">+D91-H91</f>
        <v>-13470.320000000007</v>
      </c>
      <c r="M91" s="4"/>
      <c r="N91" s="32">
        <f t="shared" ref="N91:N100" si="27">IF(H91=0,0,L91/H91)</f>
        <v>-0.17191014175549657</v>
      </c>
      <c r="O91" s="11"/>
      <c r="P91" s="22">
        <f>SUM(OSRRefP22x_0)</f>
        <v>754473.89000000036</v>
      </c>
      <c r="Q91" s="22"/>
      <c r="R91" s="32">
        <f t="shared" ref="R91:R100" si="28">IF(P$12=0,0,P91/P$12)</f>
        <v>0.32560905393153811</v>
      </c>
      <c r="S91" s="22"/>
      <c r="T91" s="22">
        <f>SUM(OSRRefT22x_0)</f>
        <v>999622.87</v>
      </c>
      <c r="U91" s="22"/>
      <c r="V91" s="32">
        <f t="shared" ref="V91:V100" si="29">IF(T$12=0,0,T91/T$12)</f>
        <v>0.36120669254869969</v>
      </c>
      <c r="W91" s="4"/>
      <c r="X91" s="22">
        <f t="shared" ref="X91:X100" si="30">+P91-T91</f>
        <v>-245148.97999999963</v>
      </c>
      <c r="Y91" s="4"/>
      <c r="Z91" s="32">
        <f t="shared" ref="Z91:Z100" si="31">IF(T91=0,0,X91/T91)</f>
        <v>-0.24524146791479434</v>
      </c>
    </row>
    <row r="92" spans="1:26" s="26" customFormat="1" outlineLevel="1" collapsed="1" x14ac:dyDescent="0.25">
      <c r="A92" s="25"/>
      <c r="B92" s="12" t="str">
        <f>CONCATENATE("     ","*Benefits                                         ")</f>
        <v xml:space="preserve">     *Benefits                                         </v>
      </c>
      <c r="C92" s="12"/>
      <c r="D92" s="1">
        <f>SUM(OSRRefD22_0x_0)</f>
        <v>13954.170000000002</v>
      </c>
      <c r="E92" s="1"/>
      <c r="F92" s="5">
        <f t="shared" si="24"/>
        <v>3.2442329428521634E-2</v>
      </c>
      <c r="G92" s="1"/>
      <c r="H92" s="1">
        <f>SUM(OSRRefH22_0x_0)</f>
        <v>8264.17</v>
      </c>
      <c r="I92" s="1"/>
      <c r="J92" s="5">
        <f t="shared" si="25"/>
        <v>4.6046162445558099E-2</v>
      </c>
      <c r="K92" s="1"/>
      <c r="L92" s="1">
        <f t="shared" si="26"/>
        <v>5690.0000000000018</v>
      </c>
      <c r="M92" s="1"/>
      <c r="N92" s="5">
        <f t="shared" si="27"/>
        <v>0.68851439406498194</v>
      </c>
      <c r="O92" s="12"/>
      <c r="P92" s="1">
        <f>SUM(OSRRefP22_0x_0)</f>
        <v>163642.91</v>
      </c>
      <c r="Q92" s="1"/>
      <c r="R92" s="5">
        <f t="shared" si="28"/>
        <v>7.0623534908151445E-2</v>
      </c>
      <c r="S92" s="1"/>
      <c r="T92" s="1">
        <f>SUM(OSRRefT22_0x_0)</f>
        <v>100552.17</v>
      </c>
      <c r="U92" s="1"/>
      <c r="V92" s="5">
        <f t="shared" si="29"/>
        <v>3.6333819327577593E-2</v>
      </c>
      <c r="W92" s="1"/>
      <c r="X92" s="1">
        <f t="shared" si="30"/>
        <v>63090.740000000005</v>
      </c>
      <c r="Y92" s="1"/>
      <c r="Z92" s="5">
        <f t="shared" si="31"/>
        <v>0.62744284882166146</v>
      </c>
    </row>
    <row r="93" spans="1:26" s="23" customFormat="1" hidden="1" outlineLevel="2" x14ac:dyDescent="0.25">
      <c r="A93" s="27"/>
      <c r="B93" s="10" t="str">
        <f>CONCATENATE("          ", "6111", " - ", "F.I.C.A.")</f>
        <v xml:space="preserve">          6111 - F.I.C.A.</v>
      </c>
      <c r="C93" s="10"/>
      <c r="D93" s="6">
        <v>2716.71</v>
      </c>
      <c r="E93" s="2"/>
      <c r="F93" s="7">
        <f t="shared" si="24"/>
        <v>6.3161335129039552E-3</v>
      </c>
      <c r="G93" s="2"/>
      <c r="H93" s="6">
        <v>1330.79</v>
      </c>
      <c r="I93" s="2"/>
      <c r="J93" s="7">
        <f t="shared" si="25"/>
        <v>7.4148731839887442E-3</v>
      </c>
      <c r="K93" s="2"/>
      <c r="L93" s="6">
        <f t="shared" si="26"/>
        <v>1385.92</v>
      </c>
      <c r="M93" s="2"/>
      <c r="N93" s="7">
        <f t="shared" si="27"/>
        <v>1.0414265210889773</v>
      </c>
      <c r="O93" s="10"/>
      <c r="P93" s="6">
        <v>32585.360000000001</v>
      </c>
      <c r="Q93" s="2"/>
      <c r="R93" s="7">
        <f t="shared" si="28"/>
        <v>1.4062896519346189E-2</v>
      </c>
      <c r="S93" s="2"/>
      <c r="T93" s="6">
        <v>18783.400000000001</v>
      </c>
      <c r="U93" s="2"/>
      <c r="V93" s="7">
        <f t="shared" si="29"/>
        <v>6.7872494642096833E-3</v>
      </c>
      <c r="W93" s="2"/>
      <c r="X93" s="6">
        <f t="shared" si="30"/>
        <v>13801.96</v>
      </c>
      <c r="Y93" s="2"/>
      <c r="Z93" s="7">
        <f t="shared" si="31"/>
        <v>0.73479561740685917</v>
      </c>
    </row>
    <row r="94" spans="1:26" s="23" customFormat="1" hidden="1" outlineLevel="2" x14ac:dyDescent="0.25">
      <c r="A94" s="27"/>
      <c r="B94" s="10" t="str">
        <f>CONCATENATE("          ", "6112", " - ", "COMPENSATION INSURANCE")</f>
        <v xml:space="preserve">          6112 - COMPENSATION INSURANCE</v>
      </c>
      <c r="C94" s="10"/>
      <c r="D94" s="6">
        <v>1119.1099999999999</v>
      </c>
      <c r="E94" s="2"/>
      <c r="F94" s="7">
        <f t="shared" si="24"/>
        <v>2.6018412622716243E-3</v>
      </c>
      <c r="G94" s="2"/>
      <c r="H94" s="6">
        <v>500.6</v>
      </c>
      <c r="I94" s="2"/>
      <c r="J94" s="7">
        <f t="shared" si="25"/>
        <v>2.789234601931759E-3</v>
      </c>
      <c r="K94" s="2"/>
      <c r="L94" s="6">
        <f t="shared" si="26"/>
        <v>618.50999999999988</v>
      </c>
      <c r="M94" s="2"/>
      <c r="N94" s="7">
        <f t="shared" si="27"/>
        <v>1.2355373551737912</v>
      </c>
      <c r="O94" s="10"/>
      <c r="P94" s="6">
        <v>11045.23</v>
      </c>
      <c r="Q94" s="2"/>
      <c r="R94" s="7">
        <f t="shared" si="28"/>
        <v>4.7668009965941179E-3</v>
      </c>
      <c r="S94" s="2"/>
      <c r="T94" s="6">
        <v>6317.37</v>
      </c>
      <c r="U94" s="2"/>
      <c r="V94" s="7">
        <f t="shared" si="29"/>
        <v>2.2827372119911373E-3</v>
      </c>
      <c r="W94" s="2"/>
      <c r="X94" s="6">
        <f t="shared" si="30"/>
        <v>4727.8599999999997</v>
      </c>
      <c r="Y94" s="2"/>
      <c r="Z94" s="7">
        <f t="shared" si="31"/>
        <v>0.74839054859854648</v>
      </c>
    </row>
    <row r="95" spans="1:26" s="23" customFormat="1" hidden="1" outlineLevel="2" x14ac:dyDescent="0.25">
      <c r="A95" s="27"/>
      <c r="B95" s="10" t="str">
        <f>CONCATENATE("          ", "6113", " - ", "GROUP INSURANCE")</f>
        <v xml:space="preserve">          6113 - GROUP INSURANCE</v>
      </c>
      <c r="C95" s="10"/>
      <c r="D95" s="6">
        <v>4822.38</v>
      </c>
      <c r="E95" s="2"/>
      <c r="F95" s="7">
        <f t="shared" si="24"/>
        <v>1.1211647886582585E-2</v>
      </c>
      <c r="G95" s="2"/>
      <c r="H95" s="6">
        <v>3471.02</v>
      </c>
      <c r="I95" s="2"/>
      <c r="J95" s="7">
        <f t="shared" si="25"/>
        <v>1.9339770451452604E-2</v>
      </c>
      <c r="K95" s="2"/>
      <c r="L95" s="6">
        <f t="shared" si="26"/>
        <v>1351.3600000000001</v>
      </c>
      <c r="M95" s="2"/>
      <c r="N95" s="7">
        <f t="shared" si="27"/>
        <v>0.38932648040057394</v>
      </c>
      <c r="O95" s="10"/>
      <c r="P95" s="6">
        <v>58234.559999999998</v>
      </c>
      <c r="Q95" s="2"/>
      <c r="R95" s="7">
        <f t="shared" si="28"/>
        <v>2.5132347506047401E-2</v>
      </c>
      <c r="S95" s="2"/>
      <c r="T95" s="6">
        <v>33381.72</v>
      </c>
      <c r="U95" s="2"/>
      <c r="V95" s="7">
        <f t="shared" si="29"/>
        <v>1.2062249709019542E-2</v>
      </c>
      <c r="W95" s="2"/>
      <c r="X95" s="6">
        <f t="shared" si="30"/>
        <v>24852.839999999997</v>
      </c>
      <c r="Y95" s="2"/>
      <c r="Z95" s="7">
        <f t="shared" si="31"/>
        <v>0.74450447730075009</v>
      </c>
    </row>
    <row r="96" spans="1:26" s="23" customFormat="1" hidden="1" outlineLevel="2" x14ac:dyDescent="0.25">
      <c r="A96" s="27"/>
      <c r="B96" s="10" t="str">
        <f>CONCATENATE("          ", "6114", " - ", "STATE UNEMPLOYMENT INSURANCE")</f>
        <v xml:space="preserve">          6114 - STATE UNEMPLOYMENT INSURANCE</v>
      </c>
      <c r="C96" s="10"/>
      <c r="D96" s="6">
        <v>157.28</v>
      </c>
      <c r="E96" s="2"/>
      <c r="F96" s="7">
        <f t="shared" si="24"/>
        <v>3.6566342337221642E-4</v>
      </c>
      <c r="G96" s="2"/>
      <c r="H96" s="6">
        <v>68.5</v>
      </c>
      <c r="I96" s="2"/>
      <c r="J96" s="7">
        <f t="shared" si="25"/>
        <v>3.8166713989677486E-4</v>
      </c>
      <c r="K96" s="2"/>
      <c r="L96" s="6">
        <f t="shared" si="26"/>
        <v>88.78</v>
      </c>
      <c r="M96" s="2"/>
      <c r="N96" s="7">
        <f t="shared" si="27"/>
        <v>1.2960583941605839</v>
      </c>
      <c r="O96" s="10"/>
      <c r="P96" s="6">
        <v>1352.19</v>
      </c>
      <c r="Q96" s="2"/>
      <c r="R96" s="7">
        <f t="shared" si="28"/>
        <v>5.835659954192534E-4</v>
      </c>
      <c r="S96" s="2"/>
      <c r="T96" s="6">
        <v>973.98</v>
      </c>
      <c r="U96" s="2"/>
      <c r="V96" s="7">
        <f t="shared" si="29"/>
        <v>3.5194082185072709E-4</v>
      </c>
      <c r="W96" s="2"/>
      <c r="X96" s="6">
        <f t="shared" si="30"/>
        <v>378.21000000000004</v>
      </c>
      <c r="Y96" s="2"/>
      <c r="Z96" s="7">
        <f t="shared" si="31"/>
        <v>0.38831392841742135</v>
      </c>
    </row>
    <row r="97" spans="1:26" s="23" customFormat="1" hidden="1" outlineLevel="2" x14ac:dyDescent="0.25">
      <c r="A97" s="27"/>
      <c r="B97" s="10" t="str">
        <f>CONCATENATE("          ", "6115", " - ", "P.E.R.S.")</f>
        <v xml:space="preserve">          6115 - P.E.R.S.</v>
      </c>
      <c r="C97" s="10"/>
      <c r="D97" s="6">
        <v>1916.82</v>
      </c>
      <c r="E97" s="2"/>
      <c r="F97" s="7">
        <f t="shared" si="24"/>
        <v>4.4564532247477863E-3</v>
      </c>
      <c r="G97" s="2"/>
      <c r="H97" s="6">
        <v>1019.1</v>
      </c>
      <c r="I97" s="2"/>
      <c r="J97" s="7">
        <f t="shared" si="25"/>
        <v>5.6782041207124557E-3</v>
      </c>
      <c r="K97" s="2"/>
      <c r="L97" s="6">
        <f t="shared" si="26"/>
        <v>897.71999999999991</v>
      </c>
      <c r="M97" s="2"/>
      <c r="N97" s="7">
        <f t="shared" si="27"/>
        <v>0.88089490727112152</v>
      </c>
      <c r="O97" s="10"/>
      <c r="P97" s="6">
        <v>21923.18</v>
      </c>
      <c r="Q97" s="2"/>
      <c r="R97" s="7">
        <f t="shared" si="28"/>
        <v>9.4614087956984352E-3</v>
      </c>
      <c r="S97" s="2"/>
      <c r="T97" s="6">
        <v>11177.75</v>
      </c>
      <c r="U97" s="2"/>
      <c r="V97" s="7">
        <f t="shared" si="29"/>
        <v>4.039001336210153E-3</v>
      </c>
      <c r="W97" s="2"/>
      <c r="X97" s="6">
        <f t="shared" si="30"/>
        <v>10745.43</v>
      </c>
      <c r="Y97" s="2"/>
      <c r="Z97" s="7">
        <f t="shared" si="31"/>
        <v>0.96132316432197895</v>
      </c>
    </row>
    <row r="98" spans="1:26" s="23" customFormat="1" hidden="1" outlineLevel="2" x14ac:dyDescent="0.25">
      <c r="A98" s="27"/>
      <c r="B98" s="10" t="str">
        <f>CONCATENATE("          ", "6118", " - ", "VACATION")</f>
        <v xml:space="preserve">          6118 - VACATION</v>
      </c>
      <c r="C98" s="10"/>
      <c r="D98" s="6">
        <v>1633.18</v>
      </c>
      <c r="E98" s="2"/>
      <c r="F98" s="7">
        <f t="shared" si="24"/>
        <v>3.797012905538126E-3</v>
      </c>
      <c r="G98" s="2"/>
      <c r="H98" s="6">
        <v>1000.72</v>
      </c>
      <c r="I98" s="2"/>
      <c r="J98" s="7">
        <f t="shared" si="25"/>
        <v>5.5757947479927088E-3</v>
      </c>
      <c r="K98" s="2"/>
      <c r="L98" s="6">
        <f t="shared" si="26"/>
        <v>632.46</v>
      </c>
      <c r="M98" s="2"/>
      <c r="N98" s="7">
        <f t="shared" si="27"/>
        <v>0.63200495643136945</v>
      </c>
      <c r="O98" s="10"/>
      <c r="P98" s="6">
        <v>19345.54</v>
      </c>
      <c r="Q98" s="2"/>
      <c r="R98" s="7">
        <f t="shared" si="28"/>
        <v>8.3489741138619445E-3</v>
      </c>
      <c r="S98" s="2"/>
      <c r="T98" s="6">
        <v>12643.18</v>
      </c>
      <c r="U98" s="2"/>
      <c r="V98" s="7">
        <f t="shared" si="29"/>
        <v>4.568524158613807E-3</v>
      </c>
      <c r="W98" s="2"/>
      <c r="X98" s="6">
        <f t="shared" si="30"/>
        <v>6702.3600000000006</v>
      </c>
      <c r="Y98" s="2"/>
      <c r="Z98" s="7">
        <f t="shared" si="31"/>
        <v>0.53011663204984827</v>
      </c>
    </row>
    <row r="99" spans="1:26" s="23" customFormat="1" hidden="1" outlineLevel="2" x14ac:dyDescent="0.25">
      <c r="A99" s="27"/>
      <c r="B99" s="10" t="str">
        <f>CONCATENATE("          ", "6119", " - ", "SICK LEAVE")</f>
        <v xml:space="preserve">          6119 - SICK LEAVE</v>
      </c>
      <c r="C99" s="10"/>
      <c r="D99" s="6">
        <v>1105.6199999999999</v>
      </c>
      <c r="E99" s="2"/>
      <c r="F99" s="7">
        <f t="shared" si="24"/>
        <v>2.5704780909765381E-3</v>
      </c>
      <c r="G99" s="2"/>
      <c r="H99" s="6">
        <v>705.44</v>
      </c>
      <c r="I99" s="2"/>
      <c r="J99" s="7">
        <f t="shared" si="25"/>
        <v>3.9305586447997204E-3</v>
      </c>
      <c r="K99" s="2"/>
      <c r="L99" s="6">
        <f t="shared" si="26"/>
        <v>400.17999999999984</v>
      </c>
      <c r="M99" s="2"/>
      <c r="N99" s="7">
        <f t="shared" si="27"/>
        <v>0.56727716035382147</v>
      </c>
      <c r="O99" s="10"/>
      <c r="P99" s="6">
        <v>14000.69</v>
      </c>
      <c r="Q99" s="2"/>
      <c r="R99" s="7">
        <f t="shared" si="28"/>
        <v>6.0422918350279079E-3</v>
      </c>
      <c r="S99" s="2"/>
      <c r="T99" s="6">
        <v>14657.99</v>
      </c>
      <c r="U99" s="2"/>
      <c r="V99" s="7">
        <f t="shared" si="29"/>
        <v>5.2965615795804218E-3</v>
      </c>
      <c r="W99" s="2"/>
      <c r="X99" s="6">
        <f t="shared" si="30"/>
        <v>-657.29999999999927</v>
      </c>
      <c r="Y99" s="2"/>
      <c r="Z99" s="7">
        <f t="shared" si="31"/>
        <v>-4.4842437469257333E-2</v>
      </c>
    </row>
    <row r="100" spans="1:26" s="23" customFormat="1" hidden="1" outlineLevel="2" x14ac:dyDescent="0.25">
      <c r="A100" s="27"/>
      <c r="B100" s="10" t="str">
        <f>CONCATENATE("          ", "6156", " - ", "EMPLOYEE MEALS")</f>
        <v xml:space="preserve">          6156 - EMPLOYEE MEALS</v>
      </c>
      <c r="C100" s="10"/>
      <c r="D100" s="6">
        <v>483.07</v>
      </c>
      <c r="E100" s="2"/>
      <c r="F100" s="7">
        <f t="shared" si="24"/>
        <v>1.1230991221287932E-3</v>
      </c>
      <c r="G100" s="2"/>
      <c r="H100" s="6">
        <v>168</v>
      </c>
      <c r="I100" s="2"/>
      <c r="J100" s="7">
        <f t="shared" si="25"/>
        <v>9.3605955478333097E-4</v>
      </c>
      <c r="K100" s="2"/>
      <c r="L100" s="6">
        <f t="shared" si="26"/>
        <v>315.07</v>
      </c>
      <c r="M100" s="2"/>
      <c r="N100" s="7">
        <f t="shared" si="27"/>
        <v>1.8754166666666667</v>
      </c>
      <c r="O100" s="10"/>
      <c r="P100" s="6">
        <v>5156.16</v>
      </c>
      <c r="Q100" s="2"/>
      <c r="R100" s="7">
        <f t="shared" si="28"/>
        <v>2.225249146156189E-3</v>
      </c>
      <c r="S100" s="2"/>
      <c r="T100" s="6">
        <v>2616.7800000000002</v>
      </c>
      <c r="U100" s="2"/>
      <c r="V100" s="7">
        <f t="shared" si="29"/>
        <v>9.4555504610212293E-4</v>
      </c>
      <c r="W100" s="2"/>
      <c r="X100" s="6">
        <f t="shared" si="30"/>
        <v>2539.3799999999997</v>
      </c>
      <c r="Y100" s="2"/>
      <c r="Z100" s="7">
        <f t="shared" si="31"/>
        <v>0.97042166326553991</v>
      </c>
    </row>
    <row r="101" spans="1:26" s="26" customFormat="1" outlineLevel="1" collapsed="1" x14ac:dyDescent="0.25">
      <c r="A101" s="25"/>
      <c r="B101" s="12" t="str">
        <f>CONCATENATE("     ","*Payroll                                          ")</f>
        <v xml:space="preserve">     *Payroll                                          </v>
      </c>
      <c r="C101" s="12"/>
      <c r="D101" s="1">
        <f>SUM(OSRRefD22_1x_0)</f>
        <v>41678.82</v>
      </c>
      <c r="E101" s="1"/>
      <c r="F101" s="5">
        <f t="shared" ref="F101:F107" si="32">IF(D$12=0,0,D101/D$12)</f>
        <v>9.689992372402341E-2</v>
      </c>
      <c r="G101" s="1"/>
      <c r="H101" s="1">
        <f>SUM(OSRRefH22_1x_0)</f>
        <v>15801.68</v>
      </c>
      <c r="I101" s="1"/>
      <c r="J101" s="5">
        <f t="shared" ref="J101:J107" si="33">IF(H$12=0,0,H101/H$12)</f>
        <v>8.8043533009694433E-2</v>
      </c>
      <c r="K101" s="1"/>
      <c r="L101" s="1">
        <f t="shared" ref="L101:L107" si="34">+D101-H101</f>
        <v>25877.14</v>
      </c>
      <c r="M101" s="1"/>
      <c r="N101" s="5">
        <f t="shared" ref="N101:N107" si="35">IF(H101=0,0,L101/H101)</f>
        <v>1.6376195442509909</v>
      </c>
      <c r="O101" s="12"/>
      <c r="P101" s="1">
        <f>SUM(OSRRefP22_1x_0)</f>
        <v>430618.41000000003</v>
      </c>
      <c r="Q101" s="1"/>
      <c r="R101" s="5">
        <f t="shared" ref="R101:R107" si="36">IF(P$12=0,0,P101/P$12)</f>
        <v>0.18584241939187998</v>
      </c>
      <c r="S101" s="1"/>
      <c r="T101" s="1">
        <f>SUM(OSRRefT22_1x_0)</f>
        <v>353650.22000000003</v>
      </c>
      <c r="U101" s="1"/>
      <c r="V101" s="5">
        <f t="shared" ref="V101:V107" si="37">IF(T$12=0,0,T101/T$12)</f>
        <v>0.12778901935819056</v>
      </c>
      <c r="W101" s="1"/>
      <c r="X101" s="1">
        <f t="shared" ref="X101:X107" si="38">+P101-T101</f>
        <v>76968.19</v>
      </c>
      <c r="Y101" s="1"/>
      <c r="Z101" s="5">
        <f t="shared" ref="Z101:Z107" si="39">IF(T101=0,0,X101/T101)</f>
        <v>0.217639310389797</v>
      </c>
    </row>
    <row r="102" spans="1:26" s="23" customFormat="1" hidden="1" outlineLevel="2" x14ac:dyDescent="0.25">
      <c r="A102" s="27"/>
      <c r="B102" s="10" t="str">
        <f>CONCATENATE("          ", "6002", " - ", "STAFF SALARIES")</f>
        <v xml:space="preserve">          6002 - STAFF SALARIES</v>
      </c>
      <c r="C102" s="10"/>
      <c r="D102" s="6">
        <v>20908.71</v>
      </c>
      <c r="E102" s="2"/>
      <c r="F102" s="7">
        <f t="shared" si="32"/>
        <v>4.8611078820555029E-2</v>
      </c>
      <c r="G102" s="2"/>
      <c r="H102" s="6">
        <v>9840.02</v>
      </c>
      <c r="I102" s="2"/>
      <c r="J102" s="7">
        <f t="shared" si="33"/>
        <v>5.4826456787256388E-2</v>
      </c>
      <c r="K102" s="2"/>
      <c r="L102" s="6">
        <f t="shared" si="34"/>
        <v>11068.689999999999</v>
      </c>
      <c r="M102" s="2"/>
      <c r="N102" s="7">
        <f t="shared" si="35"/>
        <v>1.1248645836085698</v>
      </c>
      <c r="O102" s="10"/>
      <c r="P102" s="6">
        <v>208039.32</v>
      </c>
      <c r="Q102" s="2"/>
      <c r="R102" s="7">
        <f t="shared" si="36"/>
        <v>8.9783738130103458E-2</v>
      </c>
      <c r="S102" s="2"/>
      <c r="T102" s="6">
        <v>105937.02</v>
      </c>
      <c r="U102" s="2"/>
      <c r="V102" s="7">
        <f t="shared" si="37"/>
        <v>3.8279596997080959E-2</v>
      </c>
      <c r="W102" s="2"/>
      <c r="X102" s="6">
        <f t="shared" si="38"/>
        <v>102102.3</v>
      </c>
      <c r="Y102" s="2"/>
      <c r="Z102" s="7">
        <f t="shared" si="39"/>
        <v>0.96380188908466558</v>
      </c>
    </row>
    <row r="103" spans="1:26" s="23" customFormat="1" hidden="1" outlineLevel="2" x14ac:dyDescent="0.25">
      <c r="A103" s="27"/>
      <c r="B103" s="10" t="str">
        <f>CONCATENATE("          ", "6004", " - ", "STAFF HOURLY")</f>
        <v xml:space="preserve">          6004 - STAFF HOURLY</v>
      </c>
      <c r="C103" s="10"/>
      <c r="D103" s="6">
        <v>3964.52</v>
      </c>
      <c r="E103" s="2"/>
      <c r="F103" s="7">
        <f t="shared" si="32"/>
        <v>9.2171919838989029E-3</v>
      </c>
      <c r="G103" s="2"/>
      <c r="H103" s="6">
        <v>3914</v>
      </c>
      <c r="I103" s="2"/>
      <c r="J103" s="7">
        <f t="shared" si="33"/>
        <v>2.1807958913225938E-2</v>
      </c>
      <c r="K103" s="2"/>
      <c r="L103" s="6">
        <f t="shared" si="34"/>
        <v>50.519999999999982</v>
      </c>
      <c r="M103" s="2"/>
      <c r="N103" s="7">
        <f t="shared" si="35"/>
        <v>1.2907511497189571E-2</v>
      </c>
      <c r="O103" s="10"/>
      <c r="P103" s="6">
        <v>62012.27</v>
      </c>
      <c r="Q103" s="2"/>
      <c r="R103" s="7">
        <f t="shared" si="36"/>
        <v>2.6762697602228609E-2</v>
      </c>
      <c r="S103" s="2"/>
      <c r="T103" s="6">
        <v>16662.509999999998</v>
      </c>
      <c r="U103" s="2"/>
      <c r="V103" s="7">
        <f t="shared" si="37"/>
        <v>6.0208807814287335E-3</v>
      </c>
      <c r="W103" s="2"/>
      <c r="X103" s="6">
        <f t="shared" si="38"/>
        <v>45349.759999999995</v>
      </c>
      <c r="Y103" s="2"/>
      <c r="Z103" s="7">
        <f t="shared" si="39"/>
        <v>2.7216643830971443</v>
      </c>
    </row>
    <row r="104" spans="1:26" s="23" customFormat="1" hidden="1" outlineLevel="2" x14ac:dyDescent="0.25">
      <c r="A104" s="27"/>
      <c r="B104" s="10" t="str">
        <f>CONCATENATE("          ", "6005", " - ", "TEMPORARY WAGES-HOURLY")</f>
        <v xml:space="preserve">          6005 - TEMPORARY WAGES-HOURLY</v>
      </c>
      <c r="C104" s="10"/>
      <c r="D104" s="6">
        <v>2557.67</v>
      </c>
      <c r="E104" s="2"/>
      <c r="F104" s="7">
        <f t="shared" si="32"/>
        <v>5.9463782302671469E-3</v>
      </c>
      <c r="G104" s="2"/>
      <c r="H104" s="6"/>
      <c r="I104" s="2"/>
      <c r="J104" s="7">
        <f t="shared" si="33"/>
        <v>0</v>
      </c>
      <c r="K104" s="2"/>
      <c r="L104" s="6">
        <f t="shared" si="34"/>
        <v>2557.67</v>
      </c>
      <c r="M104" s="2"/>
      <c r="N104" s="7">
        <f t="shared" si="35"/>
        <v>0</v>
      </c>
      <c r="O104" s="10"/>
      <c r="P104" s="6">
        <v>61939.74</v>
      </c>
      <c r="Q104" s="2"/>
      <c r="R104" s="7">
        <f t="shared" si="36"/>
        <v>2.6731395757334211E-2</v>
      </c>
      <c r="S104" s="2"/>
      <c r="T104" s="6">
        <v>42291.11</v>
      </c>
      <c r="U104" s="2"/>
      <c r="V104" s="7">
        <f t="shared" si="37"/>
        <v>1.5281595115279064E-2</v>
      </c>
      <c r="W104" s="2"/>
      <c r="X104" s="6">
        <f t="shared" si="38"/>
        <v>19648.629999999997</v>
      </c>
      <c r="Y104" s="2"/>
      <c r="Z104" s="7">
        <f t="shared" si="39"/>
        <v>0.46460426316547371</v>
      </c>
    </row>
    <row r="105" spans="1:26" s="23" customFormat="1" hidden="1" outlineLevel="2" x14ac:dyDescent="0.25">
      <c r="A105" s="27"/>
      <c r="B105" s="10" t="str">
        <f>CONCATENATE("          ", "6006", " - ", "TEMPORARY PART TIME")</f>
        <v xml:space="preserve">          6006 - TEMPORARY PART TIME</v>
      </c>
      <c r="C105" s="10"/>
      <c r="D105" s="6">
        <v>1314.52</v>
      </c>
      <c r="E105" s="2"/>
      <c r="F105" s="7">
        <f t="shared" si="32"/>
        <v>3.0561538866432218E-3</v>
      </c>
      <c r="G105" s="2"/>
      <c r="H105" s="6"/>
      <c r="I105" s="2"/>
      <c r="J105" s="7">
        <f t="shared" si="33"/>
        <v>0</v>
      </c>
      <c r="K105" s="2"/>
      <c r="L105" s="6">
        <f t="shared" si="34"/>
        <v>1314.52</v>
      </c>
      <c r="M105" s="2"/>
      <c r="N105" s="7">
        <f t="shared" si="35"/>
        <v>0</v>
      </c>
      <c r="O105" s="10"/>
      <c r="P105" s="6">
        <v>6292.6</v>
      </c>
      <c r="Q105" s="2"/>
      <c r="R105" s="7">
        <f t="shared" si="36"/>
        <v>2.7157036975389509E-3</v>
      </c>
      <c r="S105" s="2"/>
      <c r="T105" s="6">
        <v>1227.45</v>
      </c>
      <c r="U105" s="2"/>
      <c r="V105" s="7">
        <f t="shared" si="37"/>
        <v>4.4353042339747732E-4</v>
      </c>
      <c r="W105" s="2"/>
      <c r="X105" s="6">
        <f t="shared" si="38"/>
        <v>5065.1500000000005</v>
      </c>
      <c r="Y105" s="2"/>
      <c r="Z105" s="7">
        <f t="shared" si="39"/>
        <v>4.1265632001303523</v>
      </c>
    </row>
    <row r="106" spans="1:26" s="23" customFormat="1" hidden="1" outlineLevel="2" x14ac:dyDescent="0.25">
      <c r="A106" s="27"/>
      <c r="B106" s="10" t="str">
        <f>CONCATENATE("          ", "6007", " - ", "STUDENT HOURLY")</f>
        <v xml:space="preserve">          6007 - STUDENT HOURLY</v>
      </c>
      <c r="C106" s="10"/>
      <c r="D106" s="6">
        <v>10393.94</v>
      </c>
      <c r="E106" s="2"/>
      <c r="F106" s="7">
        <f t="shared" si="32"/>
        <v>2.4165079366260271E-2</v>
      </c>
      <c r="G106" s="2"/>
      <c r="H106" s="6">
        <v>2047.66</v>
      </c>
      <c r="I106" s="2"/>
      <c r="J106" s="7">
        <f t="shared" si="33"/>
        <v>1.1409117309212116E-2</v>
      </c>
      <c r="K106" s="2"/>
      <c r="L106" s="6">
        <f t="shared" si="34"/>
        <v>8346.2800000000007</v>
      </c>
      <c r="M106" s="2"/>
      <c r="N106" s="7">
        <f t="shared" si="35"/>
        <v>4.0760087123838922</v>
      </c>
      <c r="O106" s="10"/>
      <c r="P106" s="6">
        <v>80760.33</v>
      </c>
      <c r="Q106" s="2"/>
      <c r="R106" s="7">
        <f t="shared" si="36"/>
        <v>3.4853816672832508E-2</v>
      </c>
      <c r="S106" s="2"/>
      <c r="T106" s="6">
        <v>187337.13</v>
      </c>
      <c r="U106" s="2"/>
      <c r="V106" s="7">
        <f t="shared" si="37"/>
        <v>6.7692954162669156E-2</v>
      </c>
      <c r="W106" s="2"/>
      <c r="X106" s="6">
        <f t="shared" si="38"/>
        <v>-106576.8</v>
      </c>
      <c r="Y106" s="2"/>
      <c r="Z106" s="7">
        <f t="shared" si="39"/>
        <v>-0.56890377257300784</v>
      </c>
    </row>
    <row r="107" spans="1:26" s="23" customFormat="1" hidden="1" outlineLevel="2" x14ac:dyDescent="0.25">
      <c r="A107" s="27"/>
      <c r="B107" s="10" t="str">
        <f>CONCATENATE("          ", "6008", " - ", "STUDENT HOURLY-FICA EXEMPT")</f>
        <v xml:space="preserve">          6008 - STUDENT HOURLY-FICA EXEMPT</v>
      </c>
      <c r="C107" s="10"/>
      <c r="D107" s="6">
        <v>2539.46</v>
      </c>
      <c r="E107" s="2"/>
      <c r="F107" s="7">
        <f t="shared" si="32"/>
        <v>5.9040414363988351E-3</v>
      </c>
      <c r="G107" s="2"/>
      <c r="H107" s="6"/>
      <c r="I107" s="2"/>
      <c r="J107" s="7">
        <f t="shared" si="33"/>
        <v>0</v>
      </c>
      <c r="K107" s="2"/>
      <c r="L107" s="6">
        <f t="shared" si="34"/>
        <v>2539.46</v>
      </c>
      <c r="M107" s="2"/>
      <c r="N107" s="7">
        <f t="shared" si="35"/>
        <v>0</v>
      </c>
      <c r="O107" s="10"/>
      <c r="P107" s="6">
        <v>11574.15</v>
      </c>
      <c r="Q107" s="2"/>
      <c r="R107" s="7">
        <f t="shared" si="36"/>
        <v>4.9950675318422349E-3</v>
      </c>
      <c r="S107" s="2"/>
      <c r="T107" s="6">
        <v>195</v>
      </c>
      <c r="U107" s="2"/>
      <c r="V107" s="7">
        <f t="shared" si="37"/>
        <v>7.0461878335172987E-5</v>
      </c>
      <c r="W107" s="2"/>
      <c r="X107" s="6">
        <f t="shared" si="38"/>
        <v>11379.15</v>
      </c>
      <c r="Y107" s="2"/>
      <c r="Z107" s="7">
        <f t="shared" si="39"/>
        <v>58.354615384615386</v>
      </c>
    </row>
    <row r="108" spans="1:26" s="26" customFormat="1" outlineLevel="1" collapsed="1" x14ac:dyDescent="0.25">
      <c r="A108" s="25"/>
      <c r="B108" s="12" t="str">
        <f>CONCATENATE("     ","Advertising/Promo                                 ")</f>
        <v xml:space="preserve">     Advertising/Promo                                 </v>
      </c>
      <c r="C108" s="12"/>
      <c r="D108" s="1">
        <f>SUM(OSRRefD22_2x_0)</f>
        <v>-340.93</v>
      </c>
      <c r="E108" s="1"/>
      <c r="F108" s="5">
        <f t="shared" ref="F108:F116" si="40">IF(D$12=0,0,D108/D$12)</f>
        <v>-7.9263498811221863E-4</v>
      </c>
      <c r="G108" s="1"/>
      <c r="H108" s="1">
        <f>SUM(OSRRefH22_2x_0)</f>
        <v>1029</v>
      </c>
      <c r="I108" s="1"/>
      <c r="J108" s="5">
        <f t="shared" ref="J108:J116" si="41">IF(H$12=0,0,H108/H$12)</f>
        <v>5.7333647730479021E-3</v>
      </c>
      <c r="K108" s="1"/>
      <c r="L108" s="1">
        <f t="shared" ref="L108:L116" si="42">+D108-H108</f>
        <v>-1369.93</v>
      </c>
      <c r="M108" s="1"/>
      <c r="N108" s="5">
        <f t="shared" ref="N108:N116" si="43">IF(H108=0,0,L108/H108)</f>
        <v>-1.3313216715257532</v>
      </c>
      <c r="O108" s="12"/>
      <c r="P108" s="1">
        <f>SUM(OSRRefP22_2x_0)</f>
        <v>14512.81</v>
      </c>
      <c r="Q108" s="1"/>
      <c r="R108" s="5">
        <f t="shared" ref="R108:R116" si="44">IF(P$12=0,0,P108/P$12)</f>
        <v>6.263307977414782E-3</v>
      </c>
      <c r="S108" s="1"/>
      <c r="T108" s="1">
        <f>SUM(OSRRefT22_2x_0)</f>
        <v>22853.68</v>
      </c>
      <c r="U108" s="1"/>
      <c r="V108" s="5">
        <f t="shared" ref="V108:V116" si="45">IF(T$12=0,0,T108/T$12)</f>
        <v>8.2580165111332104E-3</v>
      </c>
      <c r="W108" s="1"/>
      <c r="X108" s="1">
        <f t="shared" ref="X108:X116" si="46">+P108-T108</f>
        <v>-8340.8700000000008</v>
      </c>
      <c r="Y108" s="1"/>
      <c r="Z108" s="5">
        <f t="shared" ref="Z108:Z116" si="47">IF(T108=0,0,X108/T108)</f>
        <v>-0.36496835520581372</v>
      </c>
    </row>
    <row r="109" spans="1:26" s="23" customFormat="1" hidden="1" outlineLevel="2" x14ac:dyDescent="0.25">
      <c r="A109" s="27"/>
      <c r="B109" s="10" t="str">
        <f>CONCATENATE("          ", "6362", " - ", "ADVERTISING EXPENSE")</f>
        <v xml:space="preserve">          6362 - ADVERTISING EXPENSE</v>
      </c>
      <c r="C109" s="10"/>
      <c r="D109" s="6">
        <v>-340.93</v>
      </c>
      <c r="E109" s="2"/>
      <c r="F109" s="7">
        <f t="shared" si="40"/>
        <v>-7.9263498811221863E-4</v>
      </c>
      <c r="G109" s="2"/>
      <c r="H109" s="6">
        <v>1029</v>
      </c>
      <c r="I109" s="2"/>
      <c r="J109" s="7">
        <f t="shared" si="41"/>
        <v>5.7333647730479021E-3</v>
      </c>
      <c r="K109" s="2"/>
      <c r="L109" s="6">
        <f t="shared" si="42"/>
        <v>-1369.93</v>
      </c>
      <c r="M109" s="2"/>
      <c r="N109" s="7">
        <f t="shared" si="43"/>
        <v>-1.3313216715257532</v>
      </c>
      <c r="O109" s="10"/>
      <c r="P109" s="6">
        <v>14512.81</v>
      </c>
      <c r="Q109" s="2"/>
      <c r="R109" s="7">
        <f t="shared" si="44"/>
        <v>6.263307977414782E-3</v>
      </c>
      <c r="S109" s="2"/>
      <c r="T109" s="6">
        <v>22853.68</v>
      </c>
      <c r="U109" s="2"/>
      <c r="V109" s="7">
        <f t="shared" si="45"/>
        <v>8.2580165111332104E-3</v>
      </c>
      <c r="W109" s="2"/>
      <c r="X109" s="6">
        <f t="shared" si="46"/>
        <v>-8340.8700000000008</v>
      </c>
      <c r="Y109" s="2"/>
      <c r="Z109" s="7">
        <f t="shared" si="47"/>
        <v>-0.36496835520581372</v>
      </c>
    </row>
    <row r="110" spans="1:26" s="26" customFormat="1" outlineLevel="1" collapsed="1" x14ac:dyDescent="0.25">
      <c r="A110" s="25"/>
      <c r="B110" s="12" t="str">
        <f>CONCATENATE("     ","Bad Debts/Over/Short                              ")</f>
        <v xml:space="preserve">     Bad Debts/Over/Short                              </v>
      </c>
      <c r="C110" s="12"/>
      <c r="D110" s="1">
        <f>SUM(OSRRefD22_3x_0)</f>
        <v>-1.4</v>
      </c>
      <c r="E110" s="1"/>
      <c r="F110" s="5">
        <f t="shared" si="40"/>
        <v>-3.2548880513803596E-6</v>
      </c>
      <c r="G110" s="1"/>
      <c r="H110" s="1">
        <f>SUM(OSRRefH22_3x_0)</f>
        <v>0</v>
      </c>
      <c r="I110" s="1"/>
      <c r="J110" s="5">
        <f t="shared" si="41"/>
        <v>0</v>
      </c>
      <c r="K110" s="1"/>
      <c r="L110" s="1">
        <f t="shared" si="42"/>
        <v>-1.4</v>
      </c>
      <c r="M110" s="1"/>
      <c r="N110" s="5">
        <f t="shared" si="43"/>
        <v>0</v>
      </c>
      <c r="O110" s="12"/>
      <c r="P110" s="1">
        <f>SUM(OSRRefP22_3x_0)</f>
        <v>-24.5</v>
      </c>
      <c r="Q110" s="1"/>
      <c r="R110" s="5">
        <f t="shared" si="44"/>
        <v>-1.0573489589311938E-5</v>
      </c>
      <c r="S110" s="1"/>
      <c r="T110" s="1">
        <f>SUM(OSRRefT22_3x_0)</f>
        <v>44.45</v>
      </c>
      <c r="U110" s="1"/>
      <c r="V110" s="5">
        <f t="shared" si="45"/>
        <v>1.6061694830761227E-5</v>
      </c>
      <c r="W110" s="1"/>
      <c r="X110" s="1">
        <f t="shared" si="46"/>
        <v>-68.95</v>
      </c>
      <c r="Y110" s="1"/>
      <c r="Z110" s="5">
        <f t="shared" si="47"/>
        <v>-1.5511811023622046</v>
      </c>
    </row>
    <row r="111" spans="1:26" s="23" customFormat="1" hidden="1" outlineLevel="2" x14ac:dyDescent="0.25">
      <c r="A111" s="27"/>
      <c r="B111" s="10" t="str">
        <f>CONCATENATE("          ", "6272", " - ", "CASH (OVER/SHORT)")</f>
        <v xml:space="preserve">          6272 - CASH (OVER/SHORT)</v>
      </c>
      <c r="C111" s="10"/>
      <c r="D111" s="6">
        <v>-1.4</v>
      </c>
      <c r="E111" s="2"/>
      <c r="F111" s="7">
        <f t="shared" si="40"/>
        <v>-3.2548880513803596E-6</v>
      </c>
      <c r="G111" s="2"/>
      <c r="H111" s="6"/>
      <c r="I111" s="2"/>
      <c r="J111" s="7">
        <f t="shared" si="41"/>
        <v>0</v>
      </c>
      <c r="K111" s="2"/>
      <c r="L111" s="6">
        <f t="shared" si="42"/>
        <v>-1.4</v>
      </c>
      <c r="M111" s="2"/>
      <c r="N111" s="7">
        <f t="shared" si="43"/>
        <v>0</v>
      </c>
      <c r="O111" s="10"/>
      <c r="P111" s="6">
        <v>-24.5</v>
      </c>
      <c r="Q111" s="2"/>
      <c r="R111" s="7">
        <f t="shared" si="44"/>
        <v>-1.0573489589311938E-5</v>
      </c>
      <c r="S111" s="2"/>
      <c r="T111" s="6">
        <v>44.45</v>
      </c>
      <c r="U111" s="2"/>
      <c r="V111" s="7">
        <f t="shared" si="45"/>
        <v>1.6061694830761227E-5</v>
      </c>
      <c r="W111" s="2"/>
      <c r="X111" s="6">
        <f t="shared" si="46"/>
        <v>-68.95</v>
      </c>
      <c r="Y111" s="2"/>
      <c r="Z111" s="7">
        <f t="shared" si="47"/>
        <v>-1.5511811023622046</v>
      </c>
    </row>
    <row r="112" spans="1:26" s="26" customFormat="1" outlineLevel="1" collapsed="1" x14ac:dyDescent="0.25">
      <c r="A112" s="25"/>
      <c r="B112" s="12" t="str">
        <f>CONCATENATE("     ","Bank/card Fees                                    ")</f>
        <v xml:space="preserve">     Bank/card Fees                                    </v>
      </c>
      <c r="C112" s="12"/>
      <c r="D112" s="1">
        <f>SUM(OSRRefD22_4x_0)</f>
        <v>646.5</v>
      </c>
      <c r="E112" s="1"/>
      <c r="F112" s="5">
        <f t="shared" si="40"/>
        <v>1.5030608037267161E-3</v>
      </c>
      <c r="G112" s="1"/>
      <c r="H112" s="1">
        <f>SUM(OSRRefH22_4x_0)</f>
        <v>19</v>
      </c>
      <c r="I112" s="1"/>
      <c r="J112" s="5">
        <f t="shared" si="41"/>
        <v>1.0586387821954338E-4</v>
      </c>
      <c r="K112" s="1"/>
      <c r="L112" s="1">
        <f t="shared" si="42"/>
        <v>627.5</v>
      </c>
      <c r="M112" s="1"/>
      <c r="N112" s="5">
        <f t="shared" si="43"/>
        <v>33.026315789473685</v>
      </c>
      <c r="O112" s="12"/>
      <c r="P112" s="1">
        <f>SUM(OSRRefP22_4x_0)</f>
        <v>4478.8500000000004</v>
      </c>
      <c r="Q112" s="1"/>
      <c r="R112" s="5">
        <f t="shared" si="44"/>
        <v>1.9329417896771337E-3</v>
      </c>
      <c r="S112" s="1"/>
      <c r="T112" s="1">
        <f>SUM(OSRRefT22_4x_0)</f>
        <v>6179.92</v>
      </c>
      <c r="U112" s="1"/>
      <c r="V112" s="5">
        <f t="shared" si="45"/>
        <v>2.2330706213389857E-3</v>
      </c>
      <c r="W112" s="1"/>
      <c r="X112" s="1">
        <f t="shared" si="46"/>
        <v>-1701.0699999999997</v>
      </c>
      <c r="Y112" s="1"/>
      <c r="Z112" s="5">
        <f t="shared" si="47"/>
        <v>-0.27525760851273151</v>
      </c>
    </row>
    <row r="113" spans="1:26" s="23" customFormat="1" hidden="1" outlineLevel="2" x14ac:dyDescent="0.25">
      <c r="A113" s="27"/>
      <c r="B113" s="10" t="str">
        <f>CONCATENATE("          ", "6381", " - ", "BANK/CREDIT CARD FEES")</f>
        <v xml:space="preserve">          6381 - BANK/CREDIT CARD FEES</v>
      </c>
      <c r="C113" s="10"/>
      <c r="D113" s="6">
        <v>646.5</v>
      </c>
      <c r="E113" s="2"/>
      <c r="F113" s="7">
        <f t="shared" si="40"/>
        <v>1.5030608037267161E-3</v>
      </c>
      <c r="G113" s="2"/>
      <c r="H113" s="6">
        <v>19</v>
      </c>
      <c r="I113" s="2"/>
      <c r="J113" s="7">
        <f t="shared" si="41"/>
        <v>1.0586387821954338E-4</v>
      </c>
      <c r="K113" s="2"/>
      <c r="L113" s="6">
        <f t="shared" si="42"/>
        <v>627.5</v>
      </c>
      <c r="M113" s="2"/>
      <c r="N113" s="7">
        <f t="shared" si="43"/>
        <v>33.026315789473685</v>
      </c>
      <c r="O113" s="10"/>
      <c r="P113" s="6">
        <v>4478.8500000000004</v>
      </c>
      <c r="Q113" s="2"/>
      <c r="R113" s="7">
        <f t="shared" si="44"/>
        <v>1.9329417896771337E-3</v>
      </c>
      <c r="S113" s="2"/>
      <c r="T113" s="6">
        <v>6179.92</v>
      </c>
      <c r="U113" s="2"/>
      <c r="V113" s="7">
        <f t="shared" si="45"/>
        <v>2.2330706213389857E-3</v>
      </c>
      <c r="W113" s="2"/>
      <c r="X113" s="6">
        <f t="shared" si="46"/>
        <v>-1701.0699999999997</v>
      </c>
      <c r="Y113" s="2"/>
      <c r="Z113" s="7">
        <f t="shared" si="47"/>
        <v>-0.27525760851273151</v>
      </c>
    </row>
    <row r="114" spans="1:26" s="26" customFormat="1" outlineLevel="1" collapsed="1" x14ac:dyDescent="0.25">
      <c r="A114" s="25"/>
      <c r="B114" s="12" t="str">
        <f>CONCATENATE("     ","Discounts and Markdowns                           ")</f>
        <v xml:space="preserve">     Discounts and Markdowns                           </v>
      </c>
      <c r="C114" s="12"/>
      <c r="D114" s="1">
        <f>SUM(OSRRefD22_5x_0)</f>
        <v>0</v>
      </c>
      <c r="E114" s="1"/>
      <c r="F114" s="5">
        <f t="shared" si="40"/>
        <v>0</v>
      </c>
      <c r="G114" s="1"/>
      <c r="H114" s="1">
        <f>SUM(OSRRefH22_5x_0)</f>
        <v>41510.68</v>
      </c>
      <c r="I114" s="1"/>
      <c r="J114" s="5">
        <f t="shared" si="41"/>
        <v>0.23128850380686503</v>
      </c>
      <c r="K114" s="1"/>
      <c r="L114" s="1">
        <f t="shared" si="42"/>
        <v>-41510.68</v>
      </c>
      <c r="M114" s="1"/>
      <c r="N114" s="5">
        <f t="shared" si="43"/>
        <v>-1</v>
      </c>
      <c r="O114" s="12"/>
      <c r="P114" s="1">
        <f>SUM(OSRRefP22_5x_0)</f>
        <v>0</v>
      </c>
      <c r="Q114" s="1"/>
      <c r="R114" s="5">
        <f t="shared" si="44"/>
        <v>0</v>
      </c>
      <c r="S114" s="1"/>
      <c r="T114" s="1">
        <f>SUM(OSRRefT22_5x_0)</f>
        <v>327362.86</v>
      </c>
      <c r="U114" s="1"/>
      <c r="V114" s="5">
        <f t="shared" si="45"/>
        <v>0.11829026673217571</v>
      </c>
      <c r="W114" s="1"/>
      <c r="X114" s="1">
        <f t="shared" si="46"/>
        <v>-327362.86</v>
      </c>
      <c r="Y114" s="1"/>
      <c r="Z114" s="5">
        <f t="shared" si="47"/>
        <v>-1</v>
      </c>
    </row>
    <row r="115" spans="1:26" s="23" customFormat="1" hidden="1" outlineLevel="2" x14ac:dyDescent="0.25">
      <c r="A115" s="27"/>
      <c r="B115" s="10" t="str">
        <f>CONCATENATE("          ", "6382", " - ", "DISCOUNTS/MARK DOWNS")</f>
        <v xml:space="preserve">          6382 - DISCOUNTS/MARK DOWNS</v>
      </c>
      <c r="C115" s="10"/>
      <c r="D115" s="6">
        <v>0</v>
      </c>
      <c r="E115" s="2"/>
      <c r="F115" s="7">
        <f t="shared" si="40"/>
        <v>0</v>
      </c>
      <c r="G115" s="2"/>
      <c r="H115" s="6">
        <v>41510.68</v>
      </c>
      <c r="I115" s="2"/>
      <c r="J115" s="7">
        <f t="shared" si="41"/>
        <v>0.23128850380686503</v>
      </c>
      <c r="K115" s="2"/>
      <c r="L115" s="6">
        <f t="shared" si="42"/>
        <v>-41510.68</v>
      </c>
      <c r="M115" s="2"/>
      <c r="N115" s="7">
        <f t="shared" si="43"/>
        <v>-1</v>
      </c>
      <c r="O115" s="10"/>
      <c r="P115" s="6">
        <v>0</v>
      </c>
      <c r="Q115" s="2"/>
      <c r="R115" s="7">
        <f t="shared" si="44"/>
        <v>0</v>
      </c>
      <c r="S115" s="2"/>
      <c r="T115" s="6">
        <v>327382.25</v>
      </c>
      <c r="U115" s="2"/>
      <c r="V115" s="7">
        <f t="shared" si="45"/>
        <v>0.118297273172283</v>
      </c>
      <c r="W115" s="2"/>
      <c r="X115" s="6">
        <f t="shared" si="46"/>
        <v>-327382.25</v>
      </c>
      <c r="Y115" s="2"/>
      <c r="Z115" s="7">
        <f t="shared" si="47"/>
        <v>-1</v>
      </c>
    </row>
    <row r="116" spans="1:26" s="23" customFormat="1" hidden="1" outlineLevel="2" x14ac:dyDescent="0.25">
      <c r="A116" s="27"/>
      <c r="B116" s="10" t="str">
        <f>CONCATENATE("          ", "9175", " - ", "EARNED DISCOUNTS")</f>
        <v xml:space="preserve">          9175 - EARNED DISCOUNTS</v>
      </c>
      <c r="C116" s="10"/>
      <c r="D116" s="6"/>
      <c r="E116" s="2"/>
      <c r="F116" s="7">
        <f t="shared" si="40"/>
        <v>0</v>
      </c>
      <c r="G116" s="2"/>
      <c r="H116" s="6"/>
      <c r="I116" s="2"/>
      <c r="J116" s="7">
        <f t="shared" si="41"/>
        <v>0</v>
      </c>
      <c r="K116" s="2"/>
      <c r="L116" s="6">
        <f t="shared" si="42"/>
        <v>0</v>
      </c>
      <c r="M116" s="2"/>
      <c r="N116" s="7">
        <f t="shared" si="43"/>
        <v>0</v>
      </c>
      <c r="O116" s="10"/>
      <c r="P116" s="6">
        <v>0</v>
      </c>
      <c r="Q116" s="2"/>
      <c r="R116" s="7">
        <f t="shared" si="44"/>
        <v>0</v>
      </c>
      <c r="S116" s="2"/>
      <c r="T116" s="6">
        <v>-19.39</v>
      </c>
      <c r="U116" s="2"/>
      <c r="V116" s="7">
        <f t="shared" si="45"/>
        <v>-7.0064401072769445E-6</v>
      </c>
      <c r="W116" s="2"/>
      <c r="X116" s="6">
        <f t="shared" si="46"/>
        <v>19.39</v>
      </c>
      <c r="Y116" s="2"/>
      <c r="Z116" s="7">
        <f t="shared" si="47"/>
        <v>-1</v>
      </c>
    </row>
    <row r="117" spans="1:26" s="26" customFormat="1" outlineLevel="1" collapsed="1" x14ac:dyDescent="0.25">
      <c r="A117" s="25"/>
      <c r="B117" s="12" t="str">
        <f>CONCATENATE("     ","Employees' Appreciation                           ")</f>
        <v xml:space="preserve">     Employees' Appreciation                           </v>
      </c>
      <c r="C117" s="12"/>
      <c r="D117" s="1">
        <f>SUM(OSRRefD22_6x_0)</f>
        <v>0</v>
      </c>
      <c r="E117" s="1"/>
      <c r="F117" s="5">
        <f t="shared" ref="F117:F121" si="48">IF(D$12=0,0,D117/D$12)</f>
        <v>0</v>
      </c>
      <c r="G117" s="1"/>
      <c r="H117" s="1">
        <f>SUM(OSRRefH22_6x_0)</f>
        <v>0</v>
      </c>
      <c r="I117" s="1"/>
      <c r="J117" s="5">
        <f t="shared" ref="J117:J121" si="49">IF(H$12=0,0,H117/H$12)</f>
        <v>0</v>
      </c>
      <c r="K117" s="1"/>
      <c r="L117" s="1">
        <f t="shared" ref="L117:L121" si="50">+D117-H117</f>
        <v>0</v>
      </c>
      <c r="M117" s="1"/>
      <c r="N117" s="5">
        <f t="shared" ref="N117:N121" si="51">IF(H117=0,0,L117/H117)</f>
        <v>0</v>
      </c>
      <c r="O117" s="12"/>
      <c r="P117" s="1">
        <f>SUM(OSRRefP22_6x_0)</f>
        <v>0</v>
      </c>
      <c r="Q117" s="1"/>
      <c r="R117" s="5">
        <f t="shared" ref="R117:R121" si="52">IF(P$12=0,0,P117/P$12)</f>
        <v>0</v>
      </c>
      <c r="S117" s="1"/>
      <c r="T117" s="1">
        <f>SUM(OSRRefT22_6x_0)</f>
        <v>376.37</v>
      </c>
      <c r="U117" s="1"/>
      <c r="V117" s="5">
        <f t="shared" ref="V117:V121" si="53">IF(T$12=0,0,T117/T$12)</f>
        <v>1.3599865204620029E-4</v>
      </c>
      <c r="W117" s="1"/>
      <c r="X117" s="1">
        <f t="shared" ref="X117:X121" si="54">+P117-T117</f>
        <v>-376.37</v>
      </c>
      <c r="Y117" s="1"/>
      <c r="Z117" s="5">
        <f t="shared" ref="Z117:Z121" si="55">IF(T117=0,0,X117/T117)</f>
        <v>-1</v>
      </c>
    </row>
    <row r="118" spans="1:26" s="23" customFormat="1" hidden="1" outlineLevel="2" x14ac:dyDescent="0.25">
      <c r="A118" s="27"/>
      <c r="B118" s="10" t="str">
        <f>CONCATENATE("          ", "6277", " - ", "EMPLOYEE APPRECIATION")</f>
        <v xml:space="preserve">          6277 - EMPLOYEE APPRECIATION</v>
      </c>
      <c r="C118" s="10"/>
      <c r="D118" s="6"/>
      <c r="E118" s="2"/>
      <c r="F118" s="7">
        <f t="shared" si="48"/>
        <v>0</v>
      </c>
      <c r="G118" s="2"/>
      <c r="H118" s="6"/>
      <c r="I118" s="2"/>
      <c r="J118" s="7">
        <f t="shared" si="49"/>
        <v>0</v>
      </c>
      <c r="K118" s="2"/>
      <c r="L118" s="6">
        <f t="shared" si="50"/>
        <v>0</v>
      </c>
      <c r="M118" s="2"/>
      <c r="N118" s="7">
        <f t="shared" si="51"/>
        <v>0</v>
      </c>
      <c r="O118" s="10"/>
      <c r="P118" s="6"/>
      <c r="Q118" s="2"/>
      <c r="R118" s="7">
        <f t="shared" si="52"/>
        <v>0</v>
      </c>
      <c r="S118" s="2"/>
      <c r="T118" s="6">
        <v>376.37</v>
      </c>
      <c r="U118" s="2"/>
      <c r="V118" s="7">
        <f t="shared" si="53"/>
        <v>1.3599865204620029E-4</v>
      </c>
      <c r="W118" s="2"/>
      <c r="X118" s="6">
        <f t="shared" si="54"/>
        <v>-376.37</v>
      </c>
      <c r="Y118" s="2"/>
      <c r="Z118" s="7">
        <f t="shared" si="55"/>
        <v>-1</v>
      </c>
    </row>
    <row r="119" spans="1:26" s="26" customFormat="1" outlineLevel="1" collapsed="1" x14ac:dyDescent="0.25">
      <c r="A119" s="25"/>
      <c r="B119" s="12" t="str">
        <f>CONCATENATE("     ","Freight out/Postage                               ")</f>
        <v xml:space="preserve">     Freight out/Postage                               </v>
      </c>
      <c r="C119" s="12"/>
      <c r="D119" s="1">
        <f>SUM(OSRRefD22_7x_0)</f>
        <v>29.05</v>
      </c>
      <c r="E119" s="1"/>
      <c r="F119" s="5">
        <f t="shared" si="48"/>
        <v>6.753892706614247E-5</v>
      </c>
      <c r="G119" s="1"/>
      <c r="H119" s="1">
        <f>SUM(OSRRefH22_7x_0)</f>
        <v>10.73</v>
      </c>
      <c r="I119" s="1"/>
      <c r="J119" s="5">
        <f t="shared" si="49"/>
        <v>5.9785232278721083E-5</v>
      </c>
      <c r="K119" s="1"/>
      <c r="L119" s="1">
        <f t="shared" si="50"/>
        <v>18.32</v>
      </c>
      <c r="M119" s="1"/>
      <c r="N119" s="5">
        <f t="shared" si="51"/>
        <v>1.7073625349487418</v>
      </c>
      <c r="O119" s="12"/>
      <c r="P119" s="1">
        <f>SUM(OSRRefP22_7x_0)</f>
        <v>-146.84999999999997</v>
      </c>
      <c r="Q119" s="1"/>
      <c r="R119" s="5">
        <f t="shared" si="52"/>
        <v>-6.3376201885324794E-5</v>
      </c>
      <c r="S119" s="1"/>
      <c r="T119" s="1">
        <f>SUM(OSRRefT22_7x_0)</f>
        <v>129.6</v>
      </c>
      <c r="U119" s="1"/>
      <c r="V119" s="5">
        <f t="shared" si="53"/>
        <v>4.6830048370453426E-5</v>
      </c>
      <c r="W119" s="1"/>
      <c r="X119" s="1">
        <f t="shared" si="54"/>
        <v>-276.44999999999993</v>
      </c>
      <c r="Y119" s="1"/>
      <c r="Z119" s="5">
        <f t="shared" si="55"/>
        <v>-2.1331018518518516</v>
      </c>
    </row>
    <row r="120" spans="1:26" s="23" customFormat="1" hidden="1" outlineLevel="2" x14ac:dyDescent="0.25">
      <c r="A120" s="27"/>
      <c r="B120" s="10" t="str">
        <f>CONCATENATE("          ", "6305", " - ", "FREIGHT OUT")</f>
        <v xml:space="preserve">          6305 - FREIGHT OUT</v>
      </c>
      <c r="C120" s="10"/>
      <c r="D120" s="6">
        <v>29.05</v>
      </c>
      <c r="E120" s="2"/>
      <c r="F120" s="7">
        <f t="shared" si="48"/>
        <v>6.753892706614247E-5</v>
      </c>
      <c r="G120" s="2"/>
      <c r="H120" s="6">
        <v>10.73</v>
      </c>
      <c r="I120" s="2"/>
      <c r="J120" s="7">
        <f t="shared" si="49"/>
        <v>5.9785232278721083E-5</v>
      </c>
      <c r="K120" s="2"/>
      <c r="L120" s="6">
        <f t="shared" si="50"/>
        <v>18.32</v>
      </c>
      <c r="M120" s="2"/>
      <c r="N120" s="7">
        <f t="shared" si="51"/>
        <v>1.7073625349487418</v>
      </c>
      <c r="O120" s="10"/>
      <c r="P120" s="6">
        <v>142.49</v>
      </c>
      <c r="Q120" s="2"/>
      <c r="R120" s="7">
        <f t="shared" si="52"/>
        <v>6.1494552309430942E-5</v>
      </c>
      <c r="S120" s="2"/>
      <c r="T120" s="6">
        <v>129.1</v>
      </c>
      <c r="U120" s="2"/>
      <c r="V120" s="7">
        <f t="shared" si="53"/>
        <v>4.6649376887542727E-5</v>
      </c>
      <c r="W120" s="2"/>
      <c r="X120" s="6">
        <f t="shared" si="54"/>
        <v>13.390000000000015</v>
      </c>
      <c r="Y120" s="2"/>
      <c r="Z120" s="7">
        <f t="shared" si="55"/>
        <v>0.10371804802478711</v>
      </c>
    </row>
    <row r="121" spans="1:26" s="23" customFormat="1" hidden="1" outlineLevel="2" x14ac:dyDescent="0.25">
      <c r="A121" s="27"/>
      <c r="B121" s="10" t="str">
        <f>CONCATENATE("          ", "6307", " - ", "POSTAGE")</f>
        <v xml:space="preserve">          6307 - POSTAGE</v>
      </c>
      <c r="C121" s="10"/>
      <c r="D121" s="6"/>
      <c r="E121" s="2"/>
      <c r="F121" s="7">
        <f t="shared" si="48"/>
        <v>0</v>
      </c>
      <c r="G121" s="2"/>
      <c r="H121" s="6"/>
      <c r="I121" s="2"/>
      <c r="J121" s="7">
        <f t="shared" si="49"/>
        <v>0</v>
      </c>
      <c r="K121" s="2"/>
      <c r="L121" s="6">
        <f t="shared" si="50"/>
        <v>0</v>
      </c>
      <c r="M121" s="2"/>
      <c r="N121" s="7">
        <f t="shared" si="51"/>
        <v>0</v>
      </c>
      <c r="O121" s="10"/>
      <c r="P121" s="6">
        <v>-289.33999999999997</v>
      </c>
      <c r="Q121" s="2"/>
      <c r="R121" s="7">
        <f t="shared" si="52"/>
        <v>-1.2487075419475574E-4</v>
      </c>
      <c r="S121" s="2"/>
      <c r="T121" s="6">
        <v>0.5</v>
      </c>
      <c r="U121" s="2"/>
      <c r="V121" s="7">
        <f t="shared" si="53"/>
        <v>1.8067148291069996E-7</v>
      </c>
      <c r="W121" s="2"/>
      <c r="X121" s="6">
        <f t="shared" si="54"/>
        <v>-289.83999999999997</v>
      </c>
      <c r="Y121" s="2"/>
      <c r="Z121" s="7">
        <f t="shared" si="55"/>
        <v>-579.67999999999995</v>
      </c>
    </row>
    <row r="122" spans="1:26" s="26" customFormat="1" outlineLevel="1" collapsed="1" x14ac:dyDescent="0.25">
      <c r="A122" s="25"/>
      <c r="B122" s="12" t="str">
        <f>CONCATENATE("     ","General                                           ")</f>
        <v xml:space="preserve">     General                                           </v>
      </c>
      <c r="C122" s="12"/>
      <c r="D122" s="1">
        <f>SUM(OSRRefD22_8x_0)</f>
        <v>0</v>
      </c>
      <c r="E122" s="1"/>
      <c r="F122" s="5">
        <f t="shared" ref="F122:F128" si="56">IF(D$12=0,0,D122/D$12)</f>
        <v>0</v>
      </c>
      <c r="G122" s="1"/>
      <c r="H122" s="1">
        <f>SUM(OSRRefH22_8x_0)</f>
        <v>120.99</v>
      </c>
      <c r="I122" s="1"/>
      <c r="J122" s="5">
        <f t="shared" ref="J122:J128" si="57">IF(H$12=0,0,H122/H$12)</f>
        <v>6.7413003293592384E-4</v>
      </c>
      <c r="K122" s="1"/>
      <c r="L122" s="1">
        <f t="shared" ref="L122:L128" si="58">+D122-H122</f>
        <v>-120.99</v>
      </c>
      <c r="M122" s="1"/>
      <c r="N122" s="5">
        <f t="shared" ref="N122:N128" si="59">IF(H122=0,0,L122/H122)</f>
        <v>-1</v>
      </c>
      <c r="O122" s="12"/>
      <c r="P122" s="1">
        <f>SUM(OSRRefP22_8x_0)</f>
        <v>1380.29</v>
      </c>
      <c r="Q122" s="1"/>
      <c r="R122" s="5">
        <f t="shared" ref="R122:R128" si="60">IF(P$12=0,0,P122/P$12)</f>
        <v>5.9569314062168867E-4</v>
      </c>
      <c r="S122" s="1"/>
      <c r="T122" s="1">
        <f>SUM(OSRRefT22_8x_0)</f>
        <v>1392.43</v>
      </c>
      <c r="U122" s="1"/>
      <c r="V122" s="5">
        <f t="shared" ref="V122:V128" si="61">IF(T$12=0,0,T122/T$12)</f>
        <v>5.031447858986919E-4</v>
      </c>
      <c r="W122" s="1"/>
      <c r="X122" s="1">
        <f t="shared" ref="X122:X128" si="62">+P122-T122</f>
        <v>-12.1400000000001</v>
      </c>
      <c r="Y122" s="1"/>
      <c r="Z122" s="5">
        <f t="shared" ref="Z122:Z128" si="63">IF(T122=0,0,X122/T122)</f>
        <v>-8.7185711310443607E-3</v>
      </c>
    </row>
    <row r="123" spans="1:26" s="23" customFormat="1" hidden="1" outlineLevel="2" x14ac:dyDescent="0.25">
      <c r="A123" s="27"/>
      <c r="B123" s="10" t="str">
        <f>CONCATENATE("          ", "6279", " - ", "GENERAL EXPENSE")</f>
        <v xml:space="preserve">          6279 - GENERAL EXPENSE</v>
      </c>
      <c r="C123" s="10"/>
      <c r="D123" s="6"/>
      <c r="E123" s="2"/>
      <c r="F123" s="7">
        <f t="shared" si="56"/>
        <v>0</v>
      </c>
      <c r="G123" s="2"/>
      <c r="H123" s="6">
        <v>120.99</v>
      </c>
      <c r="I123" s="2"/>
      <c r="J123" s="7">
        <f t="shared" si="57"/>
        <v>6.7413003293592384E-4</v>
      </c>
      <c r="K123" s="2"/>
      <c r="L123" s="6">
        <f t="shared" si="58"/>
        <v>-120.99</v>
      </c>
      <c r="M123" s="2"/>
      <c r="N123" s="7">
        <f t="shared" si="59"/>
        <v>-1</v>
      </c>
      <c r="O123" s="10"/>
      <c r="P123" s="6">
        <v>1380.29</v>
      </c>
      <c r="Q123" s="2"/>
      <c r="R123" s="7">
        <f t="shared" si="60"/>
        <v>5.9569314062168867E-4</v>
      </c>
      <c r="S123" s="2"/>
      <c r="T123" s="6">
        <v>1392.43</v>
      </c>
      <c r="U123" s="2"/>
      <c r="V123" s="7">
        <f t="shared" si="61"/>
        <v>5.031447858986919E-4</v>
      </c>
      <c r="W123" s="2"/>
      <c r="X123" s="6">
        <f t="shared" si="62"/>
        <v>-12.1400000000001</v>
      </c>
      <c r="Y123" s="2"/>
      <c r="Z123" s="7">
        <f t="shared" si="63"/>
        <v>-8.7185711310443607E-3</v>
      </c>
    </row>
    <row r="124" spans="1:26" s="26" customFormat="1" outlineLevel="1" collapsed="1" x14ac:dyDescent="0.25">
      <c r="A124" s="25"/>
      <c r="B124" s="12" t="str">
        <f>CONCATENATE("     ","Insurance                                         ")</f>
        <v xml:space="preserve">     Insurance                                         </v>
      </c>
      <c r="C124" s="12"/>
      <c r="D124" s="1">
        <f>SUM(OSRRefD22_9x_0)</f>
        <v>161.18</v>
      </c>
      <c r="E124" s="1"/>
      <c r="F124" s="5">
        <f t="shared" si="56"/>
        <v>3.7473061151534746E-4</v>
      </c>
      <c r="G124" s="1"/>
      <c r="H124" s="1">
        <f>SUM(OSRRefH22_9x_0)</f>
        <v>161.18</v>
      </c>
      <c r="I124" s="1"/>
      <c r="J124" s="5">
        <f t="shared" si="57"/>
        <v>8.980599942855791E-4</v>
      </c>
      <c r="K124" s="1"/>
      <c r="L124" s="1">
        <f t="shared" si="58"/>
        <v>0</v>
      </c>
      <c r="M124" s="1"/>
      <c r="N124" s="5">
        <f t="shared" si="59"/>
        <v>0</v>
      </c>
      <c r="O124" s="12"/>
      <c r="P124" s="1">
        <f>SUM(OSRRefP22_9x_0)</f>
        <v>1772.98</v>
      </c>
      <c r="Q124" s="1"/>
      <c r="R124" s="5">
        <f t="shared" si="60"/>
        <v>7.6516675804319501E-4</v>
      </c>
      <c r="S124" s="1"/>
      <c r="T124" s="1">
        <f>SUM(OSRRefT22_9x_0)</f>
        <v>1772.98</v>
      </c>
      <c r="U124" s="1"/>
      <c r="V124" s="5">
        <f t="shared" si="61"/>
        <v>6.4065385154202562E-4</v>
      </c>
      <c r="W124" s="1"/>
      <c r="X124" s="1">
        <f t="shared" si="62"/>
        <v>0</v>
      </c>
      <c r="Y124" s="1"/>
      <c r="Z124" s="5">
        <f t="shared" si="63"/>
        <v>0</v>
      </c>
    </row>
    <row r="125" spans="1:26" s="23" customFormat="1" hidden="1" outlineLevel="2" x14ac:dyDescent="0.25">
      <c r="A125" s="27"/>
      <c r="B125" s="10" t="str">
        <f>CONCATENATE("          ", "6314", " - ", "LIABILITY INSURANCE")</f>
        <v xml:space="preserve">          6314 - LIABILITY INSURANCE</v>
      </c>
      <c r="C125" s="10"/>
      <c r="D125" s="6">
        <v>161.18</v>
      </c>
      <c r="E125" s="2"/>
      <c r="F125" s="7">
        <f t="shared" si="56"/>
        <v>3.7473061151534746E-4</v>
      </c>
      <c r="G125" s="2"/>
      <c r="H125" s="6">
        <v>161.18</v>
      </c>
      <c r="I125" s="2"/>
      <c r="J125" s="7">
        <f t="shared" si="57"/>
        <v>8.980599942855791E-4</v>
      </c>
      <c r="K125" s="2"/>
      <c r="L125" s="6">
        <f t="shared" si="58"/>
        <v>0</v>
      </c>
      <c r="M125" s="2"/>
      <c r="N125" s="7">
        <f t="shared" si="59"/>
        <v>0</v>
      </c>
      <c r="O125" s="10"/>
      <c r="P125" s="6">
        <v>1772.98</v>
      </c>
      <c r="Q125" s="2"/>
      <c r="R125" s="7">
        <f t="shared" si="60"/>
        <v>7.6516675804319501E-4</v>
      </c>
      <c r="S125" s="2"/>
      <c r="T125" s="6">
        <v>1772.98</v>
      </c>
      <c r="U125" s="2"/>
      <c r="V125" s="7">
        <f t="shared" si="61"/>
        <v>6.4065385154202562E-4</v>
      </c>
      <c r="W125" s="2"/>
      <c r="X125" s="6">
        <f t="shared" si="62"/>
        <v>0</v>
      </c>
      <c r="Y125" s="2"/>
      <c r="Z125" s="7">
        <f t="shared" si="63"/>
        <v>0</v>
      </c>
    </row>
    <row r="126" spans="1:26" s="26" customFormat="1" outlineLevel="1" collapsed="1" x14ac:dyDescent="0.25">
      <c r="A126" s="25"/>
      <c r="B126" s="12" t="str">
        <f>CONCATENATE("     ","Inventory Adjustment                              ")</f>
        <v xml:space="preserve">     Inventory Adjustment                              </v>
      </c>
      <c r="C126" s="12"/>
      <c r="D126" s="1">
        <f>SUM(OSRRefD22_10x_0)</f>
        <v>1100</v>
      </c>
      <c r="E126" s="1"/>
      <c r="F126" s="5">
        <f t="shared" si="56"/>
        <v>2.5574120403702829E-3</v>
      </c>
      <c r="G126" s="1"/>
      <c r="H126" s="1">
        <f>SUM(OSRRefH22_10x_0)</f>
        <v>3450</v>
      </c>
      <c r="I126" s="1"/>
      <c r="J126" s="5">
        <f t="shared" si="57"/>
        <v>1.9222651571443403E-2</v>
      </c>
      <c r="K126" s="1"/>
      <c r="L126" s="1">
        <f t="shared" si="58"/>
        <v>-2350</v>
      </c>
      <c r="M126" s="1"/>
      <c r="N126" s="5">
        <f t="shared" si="59"/>
        <v>-0.6811594202898551</v>
      </c>
      <c r="O126" s="12"/>
      <c r="P126" s="1">
        <f>SUM(OSRRefP22_10x_0)</f>
        <v>12100</v>
      </c>
      <c r="Q126" s="1"/>
      <c r="R126" s="5">
        <f t="shared" si="60"/>
        <v>5.2220091441091609E-3</v>
      </c>
      <c r="S126" s="1"/>
      <c r="T126" s="1">
        <f>SUM(OSRRefT22_10x_0)</f>
        <v>35550</v>
      </c>
      <c r="U126" s="1"/>
      <c r="V126" s="5">
        <f t="shared" si="61"/>
        <v>1.2845742434950767E-2</v>
      </c>
      <c r="W126" s="1"/>
      <c r="X126" s="1">
        <f t="shared" si="62"/>
        <v>-23450</v>
      </c>
      <c r="Y126" s="1"/>
      <c r="Z126" s="5">
        <f t="shared" si="63"/>
        <v>-0.65963431786216598</v>
      </c>
    </row>
    <row r="127" spans="1:26" s="23" customFormat="1" hidden="1" outlineLevel="2" x14ac:dyDescent="0.25">
      <c r="A127" s="27"/>
      <c r="B127" s="10" t="str">
        <f>CONCATENATE("          ", "6408", " - ", "INVENTORY ADJUSTMENT")</f>
        <v xml:space="preserve">          6408 - INVENTORY ADJUSTMENT</v>
      </c>
      <c r="C127" s="10"/>
      <c r="D127" s="6">
        <v>1100</v>
      </c>
      <c r="E127" s="2"/>
      <c r="F127" s="7">
        <f t="shared" si="56"/>
        <v>2.5574120403702829E-3</v>
      </c>
      <c r="G127" s="2"/>
      <c r="H127" s="6">
        <v>3450</v>
      </c>
      <c r="I127" s="2"/>
      <c r="J127" s="7">
        <f t="shared" si="57"/>
        <v>1.9222651571443403E-2</v>
      </c>
      <c r="K127" s="2"/>
      <c r="L127" s="6">
        <f t="shared" si="58"/>
        <v>-2350</v>
      </c>
      <c r="M127" s="2"/>
      <c r="N127" s="7">
        <f t="shared" si="59"/>
        <v>-0.6811594202898551</v>
      </c>
      <c r="O127" s="10"/>
      <c r="P127" s="6">
        <v>12100</v>
      </c>
      <c r="Q127" s="2"/>
      <c r="R127" s="7">
        <f t="shared" si="60"/>
        <v>5.2220091441091609E-3</v>
      </c>
      <c r="S127" s="2"/>
      <c r="T127" s="6">
        <v>35550</v>
      </c>
      <c r="U127" s="2"/>
      <c r="V127" s="7">
        <f t="shared" si="61"/>
        <v>1.2845742434950767E-2</v>
      </c>
      <c r="W127" s="2"/>
      <c r="X127" s="6">
        <f t="shared" si="62"/>
        <v>-23450</v>
      </c>
      <c r="Y127" s="2"/>
      <c r="Z127" s="7">
        <f t="shared" si="63"/>
        <v>-0.65963431786216598</v>
      </c>
    </row>
    <row r="128" spans="1:26" s="23" customFormat="1" hidden="1" outlineLevel="2" x14ac:dyDescent="0.25">
      <c r="A128" s="27"/>
      <c r="B128" s="10" t="str">
        <f>CONCATENATE("          ", "7741", " - ", "INV. SHRINKAGE-LOGO GIFTS")</f>
        <v xml:space="preserve">          7741 - INV. SHRINKAGE-LOGO GIFTS</v>
      </c>
      <c r="C128" s="10"/>
      <c r="D128" s="6"/>
      <c r="E128" s="2"/>
      <c r="F128" s="7">
        <f t="shared" si="56"/>
        <v>0</v>
      </c>
      <c r="G128" s="2"/>
      <c r="H128" s="6"/>
      <c r="I128" s="2"/>
      <c r="J128" s="7">
        <f t="shared" si="57"/>
        <v>0</v>
      </c>
      <c r="K128" s="2"/>
      <c r="L128" s="6">
        <f t="shared" si="58"/>
        <v>0</v>
      </c>
      <c r="M128" s="2"/>
      <c r="N128" s="7">
        <f t="shared" si="59"/>
        <v>0</v>
      </c>
      <c r="O128" s="10"/>
      <c r="P128" s="6">
        <v>0</v>
      </c>
      <c r="Q128" s="2"/>
      <c r="R128" s="7">
        <f t="shared" si="60"/>
        <v>0</v>
      </c>
      <c r="S128" s="2"/>
      <c r="T128" s="6"/>
      <c r="U128" s="2"/>
      <c r="V128" s="7">
        <f t="shared" si="61"/>
        <v>0</v>
      </c>
      <c r="W128" s="2"/>
      <c r="X128" s="6">
        <f t="shared" si="62"/>
        <v>0</v>
      </c>
      <c r="Y128" s="2"/>
      <c r="Z128" s="7">
        <f t="shared" si="63"/>
        <v>0</v>
      </c>
    </row>
    <row r="129" spans="1:26" s="26" customFormat="1" outlineLevel="1" collapsed="1" x14ac:dyDescent="0.25">
      <c r="A129" s="25"/>
      <c r="B129" s="12" t="str">
        <f>CONCATENATE("     ","Professional Services                             ")</f>
        <v xml:space="preserve">     Professional Services                             </v>
      </c>
      <c r="C129" s="12"/>
      <c r="D129" s="1">
        <f>SUM(OSRRefD22_11x_0)</f>
        <v>0</v>
      </c>
      <c r="E129" s="1"/>
      <c r="F129" s="5">
        <f t="shared" ref="F129:F136" si="64">IF(D$12=0,0,D129/D$12)</f>
        <v>0</v>
      </c>
      <c r="G129" s="1"/>
      <c r="H129" s="1">
        <f>SUM(OSRRefH22_11x_0)</f>
        <v>0</v>
      </c>
      <c r="I129" s="1"/>
      <c r="J129" s="5">
        <f t="shared" ref="J129:J136" si="65">IF(H$12=0,0,H129/H$12)</f>
        <v>0</v>
      </c>
      <c r="K129" s="1"/>
      <c r="L129" s="1">
        <f t="shared" ref="L129:L136" si="66">+D129-H129</f>
        <v>0</v>
      </c>
      <c r="M129" s="1"/>
      <c r="N129" s="5">
        <f t="shared" ref="N129:N136" si="67">IF(H129=0,0,L129/H129)</f>
        <v>0</v>
      </c>
      <c r="O129" s="12"/>
      <c r="P129" s="1">
        <f>SUM(OSRRefP22_11x_0)</f>
        <v>0</v>
      </c>
      <c r="Q129" s="1"/>
      <c r="R129" s="5">
        <f t="shared" ref="R129:R136" si="68">IF(P$12=0,0,P129/P$12)</f>
        <v>0</v>
      </c>
      <c r="S129" s="1"/>
      <c r="T129" s="1">
        <f>SUM(OSRRefT22_11x_0)</f>
        <v>3680</v>
      </c>
      <c r="U129" s="1"/>
      <c r="V129" s="5">
        <f t="shared" ref="V129:V136" si="69">IF(T$12=0,0,T129/T$12)</f>
        <v>1.3297421142227516E-3</v>
      </c>
      <c r="W129" s="1"/>
      <c r="X129" s="1">
        <f t="shared" ref="X129:X136" si="70">+P129-T129</f>
        <v>-3680</v>
      </c>
      <c r="Y129" s="1"/>
      <c r="Z129" s="5">
        <f t="shared" ref="Z129:Z136" si="71">IF(T129=0,0,X129/T129)</f>
        <v>-1</v>
      </c>
    </row>
    <row r="130" spans="1:26" s="23" customFormat="1" hidden="1" outlineLevel="2" x14ac:dyDescent="0.25">
      <c r="A130" s="27"/>
      <c r="B130" s="10" t="str">
        <f>CONCATENATE("          ", "6336", " - ", "PROFESSIONAL SERVICES")</f>
        <v xml:space="preserve">          6336 - PROFESSIONAL SERVICES</v>
      </c>
      <c r="C130" s="10"/>
      <c r="D130" s="6"/>
      <c r="E130" s="2"/>
      <c r="F130" s="7">
        <f t="shared" si="64"/>
        <v>0</v>
      </c>
      <c r="G130" s="2"/>
      <c r="H130" s="6"/>
      <c r="I130" s="2"/>
      <c r="J130" s="7">
        <f t="shared" si="65"/>
        <v>0</v>
      </c>
      <c r="K130" s="2"/>
      <c r="L130" s="6">
        <f t="shared" si="66"/>
        <v>0</v>
      </c>
      <c r="M130" s="2"/>
      <c r="N130" s="7">
        <f t="shared" si="67"/>
        <v>0</v>
      </c>
      <c r="O130" s="10"/>
      <c r="P130" s="6"/>
      <c r="Q130" s="2"/>
      <c r="R130" s="7">
        <f t="shared" si="68"/>
        <v>0</v>
      </c>
      <c r="S130" s="2"/>
      <c r="T130" s="6">
        <v>3680</v>
      </c>
      <c r="U130" s="2"/>
      <c r="V130" s="7">
        <f t="shared" si="69"/>
        <v>1.3297421142227516E-3</v>
      </c>
      <c r="W130" s="2"/>
      <c r="X130" s="6">
        <f t="shared" si="70"/>
        <v>-3680</v>
      </c>
      <c r="Y130" s="2"/>
      <c r="Z130" s="7">
        <f t="shared" si="71"/>
        <v>-1</v>
      </c>
    </row>
    <row r="131" spans="1:26" s="26" customFormat="1" outlineLevel="1" collapsed="1" x14ac:dyDescent="0.25">
      <c r="A131" s="25"/>
      <c r="B131" s="12" t="str">
        <f>CONCATENATE("     ","Rent                                              ")</f>
        <v xml:space="preserve">     Rent                                              </v>
      </c>
      <c r="C131" s="12"/>
      <c r="D131" s="1">
        <f>SUM(OSRRefD22_12x_0)</f>
        <v>6900</v>
      </c>
      <c r="E131" s="1"/>
      <c r="F131" s="5">
        <f t="shared" si="64"/>
        <v>1.6041948253231773E-2</v>
      </c>
      <c r="G131" s="1"/>
      <c r="H131" s="1">
        <f>SUM(OSRRefH22_12x_0)</f>
        <v>6900</v>
      </c>
      <c r="I131" s="1"/>
      <c r="J131" s="5">
        <f t="shared" si="65"/>
        <v>3.8445303142886807E-2</v>
      </c>
      <c r="K131" s="1"/>
      <c r="L131" s="1">
        <f t="shared" si="66"/>
        <v>0</v>
      </c>
      <c r="M131" s="1"/>
      <c r="N131" s="5">
        <f t="shared" si="67"/>
        <v>0</v>
      </c>
      <c r="O131" s="12"/>
      <c r="P131" s="1">
        <f>SUM(OSRRefP22_12x_0)</f>
        <v>75900</v>
      </c>
      <c r="Q131" s="1"/>
      <c r="R131" s="5">
        <f t="shared" si="68"/>
        <v>3.2756239176684736E-2</v>
      </c>
      <c r="S131" s="1"/>
      <c r="T131" s="1">
        <f>SUM(OSRRefT22_12x_0)</f>
        <v>75900</v>
      </c>
      <c r="U131" s="1"/>
      <c r="V131" s="5">
        <f t="shared" si="69"/>
        <v>2.7425931105844254E-2</v>
      </c>
      <c r="W131" s="1"/>
      <c r="X131" s="1">
        <f t="shared" si="70"/>
        <v>0</v>
      </c>
      <c r="Y131" s="1"/>
      <c r="Z131" s="5">
        <f t="shared" si="71"/>
        <v>0</v>
      </c>
    </row>
    <row r="132" spans="1:26" s="23" customFormat="1" hidden="1" outlineLevel="2" x14ac:dyDescent="0.25">
      <c r="A132" s="27"/>
      <c r="B132" s="10" t="str">
        <f>CONCATENATE("          ", "6273", " - ", "RENT")</f>
        <v xml:space="preserve">          6273 - RENT</v>
      </c>
      <c r="C132" s="10"/>
      <c r="D132" s="6">
        <v>6900</v>
      </c>
      <c r="E132" s="2"/>
      <c r="F132" s="7">
        <f t="shared" si="64"/>
        <v>1.6041948253231773E-2</v>
      </c>
      <c r="G132" s="2"/>
      <c r="H132" s="6">
        <v>6900</v>
      </c>
      <c r="I132" s="2"/>
      <c r="J132" s="7">
        <f t="shared" si="65"/>
        <v>3.8445303142886807E-2</v>
      </c>
      <c r="K132" s="2"/>
      <c r="L132" s="6">
        <f t="shared" si="66"/>
        <v>0</v>
      </c>
      <c r="M132" s="2"/>
      <c r="N132" s="7">
        <f t="shared" si="67"/>
        <v>0</v>
      </c>
      <c r="O132" s="10"/>
      <c r="P132" s="6">
        <v>75900</v>
      </c>
      <c r="Q132" s="2"/>
      <c r="R132" s="7">
        <f t="shared" si="68"/>
        <v>3.2756239176684736E-2</v>
      </c>
      <c r="S132" s="2"/>
      <c r="T132" s="6">
        <v>75900</v>
      </c>
      <c r="U132" s="2"/>
      <c r="V132" s="7">
        <f t="shared" si="69"/>
        <v>2.7425931105844254E-2</v>
      </c>
      <c r="W132" s="2"/>
      <c r="X132" s="6">
        <f t="shared" si="70"/>
        <v>0</v>
      </c>
      <c r="Y132" s="2"/>
      <c r="Z132" s="7">
        <f t="shared" si="71"/>
        <v>0</v>
      </c>
    </row>
    <row r="133" spans="1:26" s="26" customFormat="1" outlineLevel="1" collapsed="1" x14ac:dyDescent="0.25">
      <c r="A133" s="25"/>
      <c r="B133" s="12" t="str">
        <f>CONCATENATE("     ","Repair and Maintenance                            ")</f>
        <v xml:space="preserve">     Repair and Maintenance                            </v>
      </c>
      <c r="C133" s="12"/>
      <c r="D133" s="1">
        <f>SUM(OSRRefD22_13x_0)</f>
        <v>0</v>
      </c>
      <c r="E133" s="1"/>
      <c r="F133" s="5">
        <f t="shared" si="64"/>
        <v>0</v>
      </c>
      <c r="G133" s="1"/>
      <c r="H133" s="1">
        <f>SUM(OSRRefH22_13x_0)</f>
        <v>0</v>
      </c>
      <c r="I133" s="1"/>
      <c r="J133" s="5">
        <f t="shared" si="65"/>
        <v>0</v>
      </c>
      <c r="K133" s="1"/>
      <c r="L133" s="1">
        <f t="shared" si="66"/>
        <v>0</v>
      </c>
      <c r="M133" s="1"/>
      <c r="N133" s="5">
        <f t="shared" si="67"/>
        <v>0</v>
      </c>
      <c r="O133" s="12"/>
      <c r="P133" s="1">
        <f>SUM(OSRRefP22_13x_0)</f>
        <v>309.70999999999998</v>
      </c>
      <c r="Q133" s="1"/>
      <c r="R133" s="5">
        <f t="shared" si="68"/>
        <v>1.3366185553901223E-4</v>
      </c>
      <c r="S133" s="1"/>
      <c r="T133" s="1">
        <f>SUM(OSRRefT22_13x_0)</f>
        <v>633.76</v>
      </c>
      <c r="U133" s="1"/>
      <c r="V133" s="5">
        <f t="shared" si="69"/>
        <v>2.2900471801897039E-4</v>
      </c>
      <c r="W133" s="1"/>
      <c r="X133" s="1">
        <f t="shared" si="70"/>
        <v>-324.05</v>
      </c>
      <c r="Y133" s="1"/>
      <c r="Z133" s="5">
        <f t="shared" si="71"/>
        <v>-0.51131343095177983</v>
      </c>
    </row>
    <row r="134" spans="1:26" s="23" customFormat="1" hidden="1" outlineLevel="2" x14ac:dyDescent="0.25">
      <c r="A134" s="27"/>
      <c r="B134" s="10" t="str">
        <f>CONCATENATE("          ", "6372", " - ", "COMPUTER HARDWARE MAINTENANCE")</f>
        <v xml:space="preserve">          6372 - COMPUTER HARDWARE MAINTENANCE</v>
      </c>
      <c r="C134" s="10"/>
      <c r="D134" s="6"/>
      <c r="E134" s="2"/>
      <c r="F134" s="7">
        <f t="shared" si="64"/>
        <v>0</v>
      </c>
      <c r="G134" s="2"/>
      <c r="H134" s="6"/>
      <c r="I134" s="2"/>
      <c r="J134" s="7">
        <f t="shared" si="65"/>
        <v>0</v>
      </c>
      <c r="K134" s="2"/>
      <c r="L134" s="6">
        <f t="shared" si="66"/>
        <v>0</v>
      </c>
      <c r="M134" s="2"/>
      <c r="N134" s="7">
        <f t="shared" si="67"/>
        <v>0</v>
      </c>
      <c r="O134" s="10"/>
      <c r="P134" s="6">
        <v>-0.52</v>
      </c>
      <c r="Q134" s="2"/>
      <c r="R134" s="7">
        <f t="shared" si="68"/>
        <v>-2.244169218956003E-7</v>
      </c>
      <c r="S134" s="2"/>
      <c r="T134" s="6"/>
      <c r="U134" s="2"/>
      <c r="V134" s="7">
        <f t="shared" si="69"/>
        <v>0</v>
      </c>
      <c r="W134" s="2"/>
      <c r="X134" s="6">
        <f t="shared" si="70"/>
        <v>-0.52</v>
      </c>
      <c r="Y134" s="2"/>
      <c r="Z134" s="7">
        <f t="shared" si="71"/>
        <v>0</v>
      </c>
    </row>
    <row r="135" spans="1:26" s="23" customFormat="1" hidden="1" outlineLevel="2" x14ac:dyDescent="0.25">
      <c r="A135" s="27"/>
      <c r="B135" s="10" t="str">
        <f>CONCATENATE("          ", "6373", " - ", "MAINTENANCE CONTRACTS")</f>
        <v xml:space="preserve">          6373 - MAINTENANCE CONTRACTS</v>
      </c>
      <c r="C135" s="10"/>
      <c r="D135" s="6"/>
      <c r="E135" s="2"/>
      <c r="F135" s="7">
        <f t="shared" si="64"/>
        <v>0</v>
      </c>
      <c r="G135" s="2"/>
      <c r="H135" s="6"/>
      <c r="I135" s="2"/>
      <c r="J135" s="7">
        <f t="shared" si="65"/>
        <v>0</v>
      </c>
      <c r="K135" s="2"/>
      <c r="L135" s="6">
        <f t="shared" si="66"/>
        <v>0</v>
      </c>
      <c r="M135" s="2"/>
      <c r="N135" s="7">
        <f t="shared" si="67"/>
        <v>0</v>
      </c>
      <c r="O135" s="10"/>
      <c r="P135" s="6">
        <v>144.66999999999999</v>
      </c>
      <c r="Q135" s="2"/>
      <c r="R135" s="7">
        <f t="shared" si="68"/>
        <v>6.2435377097377868E-5</v>
      </c>
      <c r="S135" s="2"/>
      <c r="T135" s="6">
        <v>451.23</v>
      </c>
      <c r="U135" s="2"/>
      <c r="V135" s="7">
        <f t="shared" si="69"/>
        <v>1.6304878646759027E-4</v>
      </c>
      <c r="W135" s="2"/>
      <c r="X135" s="6">
        <f t="shared" si="70"/>
        <v>-306.56000000000006</v>
      </c>
      <c r="Y135" s="2"/>
      <c r="Z135" s="7">
        <f t="shared" si="71"/>
        <v>-0.67938745207543838</v>
      </c>
    </row>
    <row r="136" spans="1:26" s="23" customFormat="1" hidden="1" outlineLevel="2" x14ac:dyDescent="0.25">
      <c r="A136" s="27"/>
      <c r="B136" s="10" t="str">
        <f>CONCATENATE("          ", "6375", " - ", "OUTSIDE REPAIRS &amp; MAINTENANCE")</f>
        <v xml:space="preserve">          6375 - OUTSIDE REPAIRS &amp; MAINTENANCE</v>
      </c>
      <c r="C136" s="10"/>
      <c r="D136" s="6"/>
      <c r="E136" s="2"/>
      <c r="F136" s="7">
        <f t="shared" si="64"/>
        <v>0</v>
      </c>
      <c r="G136" s="2"/>
      <c r="H136" s="6"/>
      <c r="I136" s="2"/>
      <c r="J136" s="7">
        <f t="shared" si="65"/>
        <v>0</v>
      </c>
      <c r="K136" s="2"/>
      <c r="L136" s="6">
        <f t="shared" si="66"/>
        <v>0</v>
      </c>
      <c r="M136" s="2"/>
      <c r="N136" s="7">
        <f t="shared" si="67"/>
        <v>0</v>
      </c>
      <c r="O136" s="10"/>
      <c r="P136" s="6">
        <v>165.56</v>
      </c>
      <c r="Q136" s="2"/>
      <c r="R136" s="7">
        <f t="shared" si="68"/>
        <v>7.145089536352997E-5</v>
      </c>
      <c r="S136" s="2"/>
      <c r="T136" s="6">
        <v>182.53</v>
      </c>
      <c r="U136" s="2"/>
      <c r="V136" s="7">
        <f t="shared" si="69"/>
        <v>6.595593155138013E-5</v>
      </c>
      <c r="W136" s="2"/>
      <c r="X136" s="6">
        <f t="shared" si="70"/>
        <v>-16.97</v>
      </c>
      <c r="Y136" s="2"/>
      <c r="Z136" s="7">
        <f t="shared" si="71"/>
        <v>-9.2971018462718449E-2</v>
      </c>
    </row>
    <row r="137" spans="1:26" s="26" customFormat="1" outlineLevel="1" collapsed="1" x14ac:dyDescent="0.25">
      <c r="A137" s="25"/>
      <c r="B137" s="12" t="str">
        <f>CONCATENATE("     ","Royalty &amp; Commissions                             ")</f>
        <v xml:space="preserve">     Royalty &amp; Commissions                             </v>
      </c>
      <c r="C137" s="12"/>
      <c r="D137" s="1">
        <f>SUM(OSRRefD22_14x_0)</f>
        <v>0</v>
      </c>
      <c r="E137" s="1"/>
      <c r="F137" s="5">
        <f t="shared" ref="F137:F139" si="72">IF(D$12=0,0,D137/D$12)</f>
        <v>0</v>
      </c>
      <c r="G137" s="1"/>
      <c r="H137" s="1">
        <f>SUM(OSRRefH22_14x_0)</f>
        <v>0</v>
      </c>
      <c r="I137" s="1"/>
      <c r="J137" s="5">
        <f t="shared" ref="J137:J139" si="73">IF(H$12=0,0,H137/H$12)</f>
        <v>0</v>
      </c>
      <c r="K137" s="1"/>
      <c r="L137" s="1">
        <f t="shared" ref="L137:L139" si="74">+D137-H137</f>
        <v>0</v>
      </c>
      <c r="M137" s="1"/>
      <c r="N137" s="5">
        <f t="shared" ref="N137:N139" si="75">IF(H137=0,0,L137/H137)</f>
        <v>0</v>
      </c>
      <c r="O137" s="12"/>
      <c r="P137" s="1">
        <f>SUM(OSRRefP22_14x_0)</f>
        <v>35159.06</v>
      </c>
      <c r="Q137" s="1"/>
      <c r="R137" s="5">
        <f t="shared" ref="R137:R139" si="76">IF(P$12=0,0,P137/P$12)</f>
        <v>1.5173630811428316E-2</v>
      </c>
      <c r="S137" s="1"/>
      <c r="T137" s="1">
        <f>SUM(OSRRefT22_14x_0)</f>
        <v>40841.660000000003</v>
      </c>
      <c r="U137" s="1"/>
      <c r="V137" s="5">
        <f t="shared" ref="V137:V139" si="77">IF(T$12=0,0,T137/T$12)</f>
        <v>1.4757846553469237E-2</v>
      </c>
      <c r="W137" s="1"/>
      <c r="X137" s="1">
        <f t="shared" ref="X137:X139" si="78">+P137-T137</f>
        <v>-5682.6000000000058</v>
      </c>
      <c r="Y137" s="1"/>
      <c r="Z137" s="5">
        <f t="shared" ref="Z137:Z139" si="79">IF(T137=0,0,X137/T137)</f>
        <v>-0.139137341626173</v>
      </c>
    </row>
    <row r="138" spans="1:26" s="23" customFormat="1" hidden="1" outlineLevel="2" x14ac:dyDescent="0.25">
      <c r="A138" s="27"/>
      <c r="B138" s="10" t="str">
        <f>CONCATENATE("          ", "6253", " - ", "ROYALTY DUE ATHLETICS-LRG")</f>
        <v xml:space="preserve">          6253 - ROYALTY DUE ATHLETICS-LRG</v>
      </c>
      <c r="C138" s="10"/>
      <c r="D138" s="6"/>
      <c r="E138" s="2"/>
      <c r="F138" s="7">
        <f t="shared" si="72"/>
        <v>0</v>
      </c>
      <c r="G138" s="2"/>
      <c r="H138" s="6"/>
      <c r="I138" s="2"/>
      <c r="J138" s="7">
        <f t="shared" si="73"/>
        <v>0</v>
      </c>
      <c r="K138" s="2"/>
      <c r="L138" s="6">
        <f t="shared" si="74"/>
        <v>0</v>
      </c>
      <c r="M138" s="2"/>
      <c r="N138" s="7">
        <f t="shared" si="75"/>
        <v>0</v>
      </c>
      <c r="O138" s="10"/>
      <c r="P138" s="6">
        <v>35159.06</v>
      </c>
      <c r="Q138" s="2"/>
      <c r="R138" s="7">
        <f t="shared" si="76"/>
        <v>1.5173630811428316E-2</v>
      </c>
      <c r="S138" s="2"/>
      <c r="T138" s="6">
        <v>32870.44</v>
      </c>
      <c r="U138" s="2"/>
      <c r="V138" s="7">
        <f t="shared" si="77"/>
        <v>1.1877502277454377E-2</v>
      </c>
      <c r="W138" s="2"/>
      <c r="X138" s="6">
        <f t="shared" si="78"/>
        <v>2288.6199999999953</v>
      </c>
      <c r="Y138" s="2"/>
      <c r="Z138" s="7">
        <f t="shared" si="79"/>
        <v>6.962547504688088E-2</v>
      </c>
    </row>
    <row r="139" spans="1:26" s="23" customFormat="1" hidden="1" outlineLevel="2" x14ac:dyDescent="0.25">
      <c r="A139" s="27"/>
      <c r="B139" s="10" t="str">
        <f>CONCATENATE("          ", "6254", " - ", "ROYALTY &amp; COMMISSIONS")</f>
        <v xml:space="preserve">          6254 - ROYALTY &amp; COMMISSIONS</v>
      </c>
      <c r="C139" s="10"/>
      <c r="D139" s="6"/>
      <c r="E139" s="2"/>
      <c r="F139" s="7">
        <f t="shared" si="72"/>
        <v>0</v>
      </c>
      <c r="G139" s="2"/>
      <c r="H139" s="6"/>
      <c r="I139" s="2"/>
      <c r="J139" s="7">
        <f t="shared" si="73"/>
        <v>0</v>
      </c>
      <c r="K139" s="2"/>
      <c r="L139" s="6">
        <f t="shared" si="74"/>
        <v>0</v>
      </c>
      <c r="M139" s="2"/>
      <c r="N139" s="7">
        <f t="shared" si="75"/>
        <v>0</v>
      </c>
      <c r="O139" s="10"/>
      <c r="P139" s="6"/>
      <c r="Q139" s="2"/>
      <c r="R139" s="7">
        <f t="shared" si="76"/>
        <v>0</v>
      </c>
      <c r="S139" s="2"/>
      <c r="T139" s="6">
        <v>7971.22</v>
      </c>
      <c r="U139" s="2"/>
      <c r="V139" s="7">
        <f t="shared" si="77"/>
        <v>2.8803442760148594E-3</v>
      </c>
      <c r="W139" s="2"/>
      <c r="X139" s="6">
        <f t="shared" si="78"/>
        <v>-7971.22</v>
      </c>
      <c r="Y139" s="2"/>
      <c r="Z139" s="7">
        <f t="shared" si="79"/>
        <v>-1</v>
      </c>
    </row>
    <row r="140" spans="1:26" s="26" customFormat="1" outlineLevel="1" collapsed="1" x14ac:dyDescent="0.25">
      <c r="A140" s="25"/>
      <c r="B140" s="12" t="str">
        <f>CONCATENATE("     ","Services                                          ")</f>
        <v xml:space="preserve">     Services                                          </v>
      </c>
      <c r="C140" s="12"/>
      <c r="D140" s="1">
        <f>SUM(OSRRefD22_15x_0)</f>
        <v>155.59</v>
      </c>
      <c r="E140" s="1"/>
      <c r="F140" s="5">
        <f t="shared" ref="F140:F143" si="80">IF(D$12=0,0,D140/D$12)</f>
        <v>3.6173430851019298E-4</v>
      </c>
      <c r="G140" s="1"/>
      <c r="H140" s="1">
        <f>SUM(OSRRefH22_15x_0)</f>
        <v>189.45</v>
      </c>
      <c r="I140" s="1"/>
      <c r="J140" s="5">
        <f t="shared" ref="J140:J143" si="81">IF(H$12=0,0,H140/H$12)</f>
        <v>1.0555743015101312E-3</v>
      </c>
      <c r="K140" s="1"/>
      <c r="L140" s="1">
        <f t="shared" ref="L140:L143" si="82">+D140-H140</f>
        <v>-33.859999999999985</v>
      </c>
      <c r="M140" s="1"/>
      <c r="N140" s="5">
        <f t="shared" ref="N140:N143" si="83">IF(H140=0,0,L140/H140)</f>
        <v>-0.1787278965426233</v>
      </c>
      <c r="O140" s="12"/>
      <c r="P140" s="1">
        <f>SUM(OSRRefP22_15x_0)</f>
        <v>918.51999999999987</v>
      </c>
      <c r="Q140" s="1"/>
      <c r="R140" s="5">
        <f t="shared" ref="R140:R143" si="84">IF(P$12=0,0,P140/P$12)</f>
        <v>3.9640659826835914E-4</v>
      </c>
      <c r="S140" s="1"/>
      <c r="T140" s="1">
        <f>SUM(OSRRefT22_15x_0)</f>
        <v>2949.5299999999997</v>
      </c>
      <c r="U140" s="1"/>
      <c r="V140" s="5">
        <f t="shared" ref="V140:V143" si="85">IF(T$12=0,0,T140/T$12)</f>
        <v>1.0657919179791935E-3</v>
      </c>
      <c r="W140" s="1"/>
      <c r="X140" s="1">
        <f t="shared" ref="X140:X143" si="86">+P140-T140</f>
        <v>-2031.0099999999998</v>
      </c>
      <c r="Y140" s="1"/>
      <c r="Z140" s="5">
        <f t="shared" ref="Z140:Z143" si="87">IF(T140=0,0,X140/T140)</f>
        <v>-0.68858767329032078</v>
      </c>
    </row>
    <row r="141" spans="1:26" s="23" customFormat="1" hidden="1" outlineLevel="2" x14ac:dyDescent="0.25">
      <c r="A141" s="27"/>
      <c r="B141" s="10" t="str">
        <f>CONCATENATE("          ", "6283", " - ", "PLANT SERVICE")</f>
        <v xml:space="preserve">          6283 - PLANT SERVICE</v>
      </c>
      <c r="C141" s="10"/>
      <c r="D141" s="6"/>
      <c r="E141" s="2"/>
      <c r="F141" s="7">
        <f t="shared" si="80"/>
        <v>0</v>
      </c>
      <c r="G141" s="2"/>
      <c r="H141" s="6"/>
      <c r="I141" s="2"/>
      <c r="J141" s="7">
        <f t="shared" si="81"/>
        <v>0</v>
      </c>
      <c r="K141" s="2"/>
      <c r="L141" s="6">
        <f t="shared" si="82"/>
        <v>0</v>
      </c>
      <c r="M141" s="2"/>
      <c r="N141" s="7">
        <f t="shared" si="83"/>
        <v>0</v>
      </c>
      <c r="O141" s="10"/>
      <c r="P141" s="6">
        <v>41.31</v>
      </c>
      <c r="Q141" s="2"/>
      <c r="R141" s="7">
        <f t="shared" si="84"/>
        <v>1.7828198160590861E-5</v>
      </c>
      <c r="S141" s="2"/>
      <c r="T141" s="6">
        <v>178.65</v>
      </c>
      <c r="U141" s="2"/>
      <c r="V141" s="7">
        <f t="shared" si="85"/>
        <v>6.4553920843993088E-5</v>
      </c>
      <c r="W141" s="2"/>
      <c r="X141" s="6">
        <f t="shared" si="86"/>
        <v>-137.34</v>
      </c>
      <c r="Y141" s="2"/>
      <c r="Z141" s="7">
        <f t="shared" si="87"/>
        <v>-0.7687657430730479</v>
      </c>
    </row>
    <row r="142" spans="1:26" s="23" customFormat="1" hidden="1" outlineLevel="2" x14ac:dyDescent="0.25">
      <c r="A142" s="27"/>
      <c r="B142" s="10" t="str">
        <f>CONCATENATE("          ", "6284", " - ", "TRASH REMOVAL EXPENSE")</f>
        <v xml:space="preserve">          6284 - TRASH REMOVAL EXPENSE</v>
      </c>
      <c r="C142" s="10"/>
      <c r="D142" s="6">
        <v>142.57</v>
      </c>
      <c r="E142" s="2"/>
      <c r="F142" s="7">
        <f t="shared" si="80"/>
        <v>3.3146384963235562E-4</v>
      </c>
      <c r="G142" s="2"/>
      <c r="H142" s="6">
        <v>134.82</v>
      </c>
      <c r="I142" s="2"/>
      <c r="J142" s="7">
        <f t="shared" si="81"/>
        <v>7.511877927136231E-4</v>
      </c>
      <c r="K142" s="2"/>
      <c r="L142" s="6">
        <f t="shared" si="82"/>
        <v>7.75</v>
      </c>
      <c r="M142" s="2"/>
      <c r="N142" s="7">
        <f t="shared" si="83"/>
        <v>5.7484052811155616E-2</v>
      </c>
      <c r="O142" s="10"/>
      <c r="P142" s="6">
        <v>1583.29</v>
      </c>
      <c r="Q142" s="2"/>
      <c r="R142" s="7">
        <f t="shared" si="84"/>
        <v>6.8330205436170188E-4</v>
      </c>
      <c r="S142" s="2"/>
      <c r="T142" s="6">
        <v>1483.02</v>
      </c>
      <c r="U142" s="2"/>
      <c r="V142" s="7">
        <f t="shared" si="85"/>
        <v>5.3587884517245247E-4</v>
      </c>
      <c r="W142" s="2"/>
      <c r="X142" s="6">
        <f t="shared" si="86"/>
        <v>100.26999999999998</v>
      </c>
      <c r="Y142" s="2"/>
      <c r="Z142" s="7">
        <f t="shared" si="87"/>
        <v>6.761203490175452E-2</v>
      </c>
    </row>
    <row r="143" spans="1:26" s="23" customFormat="1" hidden="1" outlineLevel="2" x14ac:dyDescent="0.25">
      <c r="A143" s="27"/>
      <c r="B143" s="10" t="str">
        <f>CONCATENATE("          ", "6285", " - ", "JANITORIAL SERVICES")</f>
        <v xml:space="preserve">          6285 - JANITORIAL SERVICES</v>
      </c>
      <c r="C143" s="10"/>
      <c r="D143" s="6">
        <v>13.02</v>
      </c>
      <c r="E143" s="2"/>
      <c r="F143" s="7">
        <f t="shared" si="80"/>
        <v>3.0270458877837346E-5</v>
      </c>
      <c r="G143" s="2"/>
      <c r="H143" s="6">
        <v>54.63</v>
      </c>
      <c r="I143" s="2"/>
      <c r="J143" s="7">
        <f t="shared" si="81"/>
        <v>3.043865087965082E-4</v>
      </c>
      <c r="K143" s="2"/>
      <c r="L143" s="6">
        <f t="shared" si="82"/>
        <v>-41.61</v>
      </c>
      <c r="M143" s="2"/>
      <c r="N143" s="7">
        <f t="shared" si="83"/>
        <v>-0.76166941241076325</v>
      </c>
      <c r="O143" s="10"/>
      <c r="P143" s="6">
        <v>-706.08</v>
      </c>
      <c r="Q143" s="2"/>
      <c r="R143" s="7">
        <f t="shared" si="84"/>
        <v>-3.047236542539336E-4</v>
      </c>
      <c r="S143" s="2"/>
      <c r="T143" s="6">
        <v>1287.8599999999999</v>
      </c>
      <c r="U143" s="2"/>
      <c r="V143" s="7">
        <f t="shared" si="85"/>
        <v>4.6535915196274804E-4</v>
      </c>
      <c r="W143" s="2"/>
      <c r="X143" s="6">
        <f t="shared" si="86"/>
        <v>-1993.94</v>
      </c>
      <c r="Y143" s="2"/>
      <c r="Z143" s="7">
        <f t="shared" si="87"/>
        <v>-1.5482583510630039</v>
      </c>
    </row>
    <row r="144" spans="1:26" s="26" customFormat="1" outlineLevel="1" collapsed="1" x14ac:dyDescent="0.25">
      <c r="A144" s="25"/>
      <c r="B144" s="12" t="str">
        <f>CONCATENATE("     ","Subscriptions &amp; Dues                              ")</f>
        <v xml:space="preserve">     Subscriptions &amp; Dues                              </v>
      </c>
      <c r="C144" s="12"/>
      <c r="D144" s="1">
        <f>SUM(OSRRefD22_16x_0)</f>
        <v>25.15</v>
      </c>
      <c r="E144" s="1"/>
      <c r="F144" s="5">
        <f t="shared" ref="F144:F146" si="88">IF(D$12=0,0,D144/D$12)</f>
        <v>5.8471738923011459E-5</v>
      </c>
      <c r="G144" s="1"/>
      <c r="H144" s="1">
        <f>SUM(OSRRefH22_16x_0)</f>
        <v>0</v>
      </c>
      <c r="I144" s="1"/>
      <c r="J144" s="5">
        <f t="shared" ref="J144:J146" si="89">IF(H$12=0,0,H144/H$12)</f>
        <v>0</v>
      </c>
      <c r="K144" s="1"/>
      <c r="L144" s="1">
        <f t="shared" ref="L144:L146" si="90">+D144-H144</f>
        <v>25.15</v>
      </c>
      <c r="M144" s="1"/>
      <c r="N144" s="5">
        <f t="shared" ref="N144:N146" si="91">IF(H144=0,0,L144/H144)</f>
        <v>0</v>
      </c>
      <c r="O144" s="12"/>
      <c r="P144" s="1">
        <f>SUM(OSRRefP22_16x_0)</f>
        <v>2047.7199999999998</v>
      </c>
      <c r="Q144" s="1"/>
      <c r="R144" s="5">
        <f t="shared" ref="R144:R146" si="92">IF(P$12=0,0,P144/P$12)</f>
        <v>8.8373657558472808E-4</v>
      </c>
      <c r="S144" s="1"/>
      <c r="T144" s="1">
        <f>SUM(OSRRefT22_16x_0)</f>
        <v>647.99</v>
      </c>
      <c r="U144" s="1"/>
      <c r="V144" s="5">
        <f t="shared" ref="V144:V146" si="93">IF(T$12=0,0,T144/T$12)</f>
        <v>2.3414662842260892E-4</v>
      </c>
      <c r="W144" s="1"/>
      <c r="X144" s="1">
        <f t="shared" ref="X144:X146" si="94">+P144-T144</f>
        <v>1399.7299999999998</v>
      </c>
      <c r="Y144" s="1"/>
      <c r="Z144" s="5">
        <f t="shared" ref="Z144:Z146" si="95">IF(T144=0,0,X144/T144)</f>
        <v>2.1601104955323382</v>
      </c>
    </row>
    <row r="145" spans="1:26" s="23" customFormat="1" hidden="1" outlineLevel="2" x14ac:dyDescent="0.25">
      <c r="A145" s="27"/>
      <c r="B145" s="10" t="str">
        <f>CONCATENATE("          ", "6258", " - ", "MEMBERSHIP DUES")</f>
        <v xml:space="preserve">          6258 - MEMBERSHIP DUES</v>
      </c>
      <c r="C145" s="10"/>
      <c r="D145" s="6">
        <v>25.15</v>
      </c>
      <c r="E145" s="2"/>
      <c r="F145" s="7">
        <f t="shared" si="88"/>
        <v>5.8471738923011459E-5</v>
      </c>
      <c r="G145" s="2"/>
      <c r="H145" s="6"/>
      <c r="I145" s="2"/>
      <c r="J145" s="7">
        <f t="shared" si="89"/>
        <v>0</v>
      </c>
      <c r="K145" s="2"/>
      <c r="L145" s="6">
        <f t="shared" si="90"/>
        <v>25.15</v>
      </c>
      <c r="M145" s="2"/>
      <c r="N145" s="7">
        <f t="shared" si="91"/>
        <v>0</v>
      </c>
      <c r="O145" s="10"/>
      <c r="P145" s="6">
        <v>-342.88</v>
      </c>
      <c r="Q145" s="2"/>
      <c r="R145" s="7">
        <f t="shared" si="92"/>
        <v>-1.4797706572992967E-4</v>
      </c>
      <c r="S145" s="2"/>
      <c r="T145" s="6">
        <v>112.93</v>
      </c>
      <c r="U145" s="2"/>
      <c r="V145" s="7">
        <f t="shared" si="93"/>
        <v>4.0806461130210692E-5</v>
      </c>
      <c r="W145" s="2"/>
      <c r="X145" s="6">
        <f t="shared" si="94"/>
        <v>-455.81</v>
      </c>
      <c r="Y145" s="2"/>
      <c r="Z145" s="7">
        <f t="shared" si="95"/>
        <v>-4.0362171256530592</v>
      </c>
    </row>
    <row r="146" spans="1:26" s="23" customFormat="1" hidden="1" outlineLevel="2" x14ac:dyDescent="0.25">
      <c r="A146" s="27"/>
      <c r="B146" s="10" t="str">
        <f>CONCATENATE("          ", "6275", " - ", "SUBSCRIPTIONS")</f>
        <v xml:space="preserve">          6275 - SUBSCRIPTIONS</v>
      </c>
      <c r="C146" s="10"/>
      <c r="D146" s="6"/>
      <c r="E146" s="2"/>
      <c r="F146" s="7">
        <f t="shared" si="88"/>
        <v>0</v>
      </c>
      <c r="G146" s="2"/>
      <c r="H146" s="6"/>
      <c r="I146" s="2"/>
      <c r="J146" s="7">
        <f t="shared" si="89"/>
        <v>0</v>
      </c>
      <c r="K146" s="2"/>
      <c r="L146" s="6">
        <f t="shared" si="90"/>
        <v>0</v>
      </c>
      <c r="M146" s="2"/>
      <c r="N146" s="7">
        <f t="shared" si="91"/>
        <v>0</v>
      </c>
      <c r="O146" s="10"/>
      <c r="P146" s="6">
        <v>2390.6</v>
      </c>
      <c r="Q146" s="2"/>
      <c r="R146" s="7">
        <f t="shared" si="92"/>
        <v>1.0317136413146577E-3</v>
      </c>
      <c r="S146" s="2"/>
      <c r="T146" s="6">
        <v>535.05999999999995</v>
      </c>
      <c r="U146" s="2"/>
      <c r="V146" s="7">
        <f t="shared" si="93"/>
        <v>1.9334016729239821E-4</v>
      </c>
      <c r="W146" s="2"/>
      <c r="X146" s="6">
        <f t="shared" si="94"/>
        <v>1855.54</v>
      </c>
      <c r="Y146" s="2"/>
      <c r="Z146" s="7">
        <f t="shared" si="95"/>
        <v>3.4679101409187756</v>
      </c>
    </row>
    <row r="147" spans="1:26" s="26" customFormat="1" outlineLevel="1" collapsed="1" x14ac:dyDescent="0.25">
      <c r="A147" s="25"/>
      <c r="B147" s="12" t="str">
        <f>CONCATENATE("     ","Supplies                                          ")</f>
        <v xml:space="preserve">     Supplies                                          </v>
      </c>
      <c r="C147" s="12"/>
      <c r="D147" s="1">
        <f>SUM(OSRRefD22_17x_0)</f>
        <v>51.7</v>
      </c>
      <c r="E147" s="1"/>
      <c r="F147" s="5">
        <f t="shared" ref="F147:F153" si="96">IF(D$12=0,0,D147/D$12)</f>
        <v>1.2019836589740329E-4</v>
      </c>
      <c r="G147" s="1"/>
      <c r="H147" s="1">
        <f>SUM(OSRRefH22_17x_0)</f>
        <v>68.91</v>
      </c>
      <c r="I147" s="1"/>
      <c r="J147" s="5">
        <f t="shared" ref="J147:J153" si="97">IF(H$12=0,0,H147/H$12)</f>
        <v>3.8395157095309128E-4</v>
      </c>
      <c r="K147" s="1"/>
      <c r="L147" s="1">
        <f t="shared" ref="L147:L153" si="98">+D147-H147</f>
        <v>-17.209999999999994</v>
      </c>
      <c r="M147" s="1"/>
      <c r="N147" s="5">
        <f t="shared" ref="N147:N153" si="99">IF(H147=0,0,L147/H147)</f>
        <v>-0.24974604556668109</v>
      </c>
      <c r="O147" s="12"/>
      <c r="P147" s="1">
        <f>SUM(OSRRefP22_17x_0)</f>
        <v>4640.7700000000004</v>
      </c>
      <c r="Q147" s="1"/>
      <c r="R147" s="5">
        <f t="shared" ref="R147:R153" si="100">IF(P$12=0,0,P147/P$12)</f>
        <v>2.0028217665873944E-3</v>
      </c>
      <c r="S147" s="1"/>
      <c r="T147" s="1">
        <f>SUM(OSRRefT22_17x_0)</f>
        <v>7435.9099999999989</v>
      </c>
      <c r="U147" s="1"/>
      <c r="V147" s="5">
        <f t="shared" ref="V147:V153" si="101">IF(T$12=0,0,T147/T$12)</f>
        <v>2.6869137729810056E-3</v>
      </c>
      <c r="W147" s="1"/>
      <c r="X147" s="1">
        <f t="shared" ref="X147:X153" si="102">+P147-T147</f>
        <v>-2795.1399999999985</v>
      </c>
      <c r="Y147" s="1"/>
      <c r="Z147" s="5">
        <f t="shared" ref="Z147:Z153" si="103">IF(T147=0,0,X147/T147)</f>
        <v>-0.37589750279387446</v>
      </c>
    </row>
    <row r="148" spans="1:26" s="23" customFormat="1" hidden="1" outlineLevel="2" x14ac:dyDescent="0.25">
      <c r="A148" s="27"/>
      <c r="B148" s="10" t="str">
        <f>CONCATENATE("          ", "6234", " - ", "EXPENDABLE SUPPLIES &amp; EQUIPMEN")</f>
        <v xml:space="preserve">          6234 - EXPENDABLE SUPPLIES &amp; EQUIPMEN</v>
      </c>
      <c r="C148" s="10"/>
      <c r="D148" s="6"/>
      <c r="E148" s="2"/>
      <c r="F148" s="7">
        <f t="shared" si="96"/>
        <v>0</v>
      </c>
      <c r="G148" s="2"/>
      <c r="H148" s="6"/>
      <c r="I148" s="2"/>
      <c r="J148" s="7">
        <f t="shared" si="97"/>
        <v>0</v>
      </c>
      <c r="K148" s="2"/>
      <c r="L148" s="6">
        <f t="shared" si="98"/>
        <v>0</v>
      </c>
      <c r="M148" s="2"/>
      <c r="N148" s="7">
        <f t="shared" si="99"/>
        <v>0</v>
      </c>
      <c r="O148" s="10"/>
      <c r="P148" s="6">
        <v>449.5</v>
      </c>
      <c r="Q148" s="2"/>
      <c r="R148" s="7">
        <f t="shared" si="100"/>
        <v>1.9399116613860065E-4</v>
      </c>
      <c r="S148" s="2"/>
      <c r="T148" s="6">
        <v>976.24</v>
      </c>
      <c r="U148" s="2"/>
      <c r="V148" s="7">
        <f t="shared" si="101"/>
        <v>3.5275745695348345E-4</v>
      </c>
      <c r="W148" s="2"/>
      <c r="X148" s="6">
        <f t="shared" si="102"/>
        <v>-526.74</v>
      </c>
      <c r="Y148" s="2"/>
      <c r="Z148" s="7">
        <f t="shared" si="103"/>
        <v>-0.53955994427599774</v>
      </c>
    </row>
    <row r="149" spans="1:26" s="23" customFormat="1" hidden="1" outlineLevel="2" x14ac:dyDescent="0.25">
      <c r="A149" s="27"/>
      <c r="B149" s="10" t="str">
        <f>CONCATENATE("          ", "6235", " - ", "COVID-19 EXPENSES")</f>
        <v xml:space="preserve">          6235 - COVID-19 EXPENSES</v>
      </c>
      <c r="C149" s="10"/>
      <c r="D149" s="6"/>
      <c r="E149" s="2"/>
      <c r="F149" s="7">
        <f t="shared" si="96"/>
        <v>0</v>
      </c>
      <c r="G149" s="2"/>
      <c r="H149" s="6"/>
      <c r="I149" s="2"/>
      <c r="J149" s="7">
        <f t="shared" si="97"/>
        <v>0</v>
      </c>
      <c r="K149" s="2"/>
      <c r="L149" s="6">
        <f t="shared" si="98"/>
        <v>0</v>
      </c>
      <c r="M149" s="2"/>
      <c r="N149" s="7">
        <f t="shared" si="99"/>
        <v>0</v>
      </c>
      <c r="O149" s="10"/>
      <c r="P149" s="6">
        <v>1292.1300000000001</v>
      </c>
      <c r="Q149" s="2"/>
      <c r="R149" s="7">
        <f t="shared" si="100"/>
        <v>5.5764584094031159E-4</v>
      </c>
      <c r="S149" s="2"/>
      <c r="T149" s="6"/>
      <c r="U149" s="2"/>
      <c r="V149" s="7">
        <f t="shared" si="101"/>
        <v>0</v>
      </c>
      <c r="W149" s="2"/>
      <c r="X149" s="6">
        <f t="shared" si="102"/>
        <v>1292.1300000000001</v>
      </c>
      <c r="Y149" s="2"/>
      <c r="Z149" s="7">
        <f t="shared" si="103"/>
        <v>0</v>
      </c>
    </row>
    <row r="150" spans="1:26" s="23" customFormat="1" hidden="1" outlineLevel="2" x14ac:dyDescent="0.25">
      <c r="A150" s="27"/>
      <c r="B150" s="10" t="str">
        <f>CONCATENATE("          ", "6237", " - ", "JANITORIAL SUPPLIES")</f>
        <v xml:space="preserve">          6237 - JANITORIAL SUPPLIES</v>
      </c>
      <c r="C150" s="10"/>
      <c r="D150" s="6"/>
      <c r="E150" s="2"/>
      <c r="F150" s="7">
        <f t="shared" si="96"/>
        <v>0</v>
      </c>
      <c r="G150" s="2"/>
      <c r="H150" s="6"/>
      <c r="I150" s="2"/>
      <c r="J150" s="7">
        <f t="shared" si="97"/>
        <v>0</v>
      </c>
      <c r="K150" s="2"/>
      <c r="L150" s="6">
        <f t="shared" si="98"/>
        <v>0</v>
      </c>
      <c r="M150" s="2"/>
      <c r="N150" s="7">
        <f t="shared" si="99"/>
        <v>0</v>
      </c>
      <c r="O150" s="10"/>
      <c r="P150" s="6">
        <v>191.74</v>
      </c>
      <c r="Q150" s="2"/>
      <c r="R150" s="7">
        <f t="shared" si="100"/>
        <v>8.2749424238966158E-5</v>
      </c>
      <c r="S150" s="2"/>
      <c r="T150" s="6">
        <v>670.42</v>
      </c>
      <c r="U150" s="2"/>
      <c r="V150" s="7">
        <f t="shared" si="101"/>
        <v>2.4225155114598291E-4</v>
      </c>
      <c r="W150" s="2"/>
      <c r="X150" s="6">
        <f t="shared" si="102"/>
        <v>-478.67999999999995</v>
      </c>
      <c r="Y150" s="2"/>
      <c r="Z150" s="7">
        <f t="shared" si="103"/>
        <v>-0.71400017899227342</v>
      </c>
    </row>
    <row r="151" spans="1:26" s="23" customFormat="1" hidden="1" outlineLevel="2" x14ac:dyDescent="0.25">
      <c r="A151" s="27"/>
      <c r="B151" s="10" t="str">
        <f>CONCATENATE("          ", "6241", " - ", "OFFICE EXPENSE")</f>
        <v xml:space="preserve">          6241 - OFFICE EXPENSE</v>
      </c>
      <c r="C151" s="10"/>
      <c r="D151" s="6">
        <v>51.7</v>
      </c>
      <c r="E151" s="2"/>
      <c r="F151" s="7">
        <f t="shared" si="96"/>
        <v>1.2019836589740329E-4</v>
      </c>
      <c r="G151" s="2"/>
      <c r="H151" s="6">
        <v>68.91</v>
      </c>
      <c r="I151" s="2"/>
      <c r="J151" s="7">
        <f t="shared" si="97"/>
        <v>3.8395157095309128E-4</v>
      </c>
      <c r="K151" s="2"/>
      <c r="L151" s="6">
        <f t="shared" si="98"/>
        <v>-17.209999999999994</v>
      </c>
      <c r="M151" s="2"/>
      <c r="N151" s="7">
        <f t="shared" si="99"/>
        <v>-0.24974604556668109</v>
      </c>
      <c r="O151" s="10"/>
      <c r="P151" s="6">
        <v>1597.17</v>
      </c>
      <c r="Q151" s="2"/>
      <c r="R151" s="7">
        <f t="shared" si="100"/>
        <v>6.8929225989229983E-4</v>
      </c>
      <c r="S151" s="2"/>
      <c r="T151" s="6">
        <v>5056.82</v>
      </c>
      <c r="U151" s="2"/>
      <c r="V151" s="7">
        <f t="shared" si="101"/>
        <v>1.8272463364249712E-3</v>
      </c>
      <c r="W151" s="2"/>
      <c r="X151" s="6">
        <f t="shared" si="102"/>
        <v>-3459.6499999999996</v>
      </c>
      <c r="Y151" s="2"/>
      <c r="Z151" s="7">
        <f t="shared" si="103"/>
        <v>-0.68415525962956958</v>
      </c>
    </row>
    <row r="152" spans="1:26" s="23" customFormat="1" hidden="1" outlineLevel="2" x14ac:dyDescent="0.25">
      <c r="A152" s="27"/>
      <c r="B152" s="10" t="str">
        <f>CONCATENATE("          ", "6245", " - ", "PRINTING")</f>
        <v xml:space="preserve">          6245 - PRINTING</v>
      </c>
      <c r="C152" s="10"/>
      <c r="D152" s="6"/>
      <c r="E152" s="2"/>
      <c r="F152" s="7">
        <f t="shared" si="96"/>
        <v>0</v>
      </c>
      <c r="G152" s="2"/>
      <c r="H152" s="6"/>
      <c r="I152" s="2"/>
      <c r="J152" s="7">
        <f t="shared" si="97"/>
        <v>0</v>
      </c>
      <c r="K152" s="2"/>
      <c r="L152" s="6">
        <f t="shared" si="98"/>
        <v>0</v>
      </c>
      <c r="M152" s="2"/>
      <c r="N152" s="7">
        <f t="shared" si="99"/>
        <v>0</v>
      </c>
      <c r="O152" s="10"/>
      <c r="P152" s="6"/>
      <c r="Q152" s="2"/>
      <c r="R152" s="7">
        <f t="shared" si="100"/>
        <v>0</v>
      </c>
      <c r="S152" s="2"/>
      <c r="T152" s="6">
        <v>-506.93</v>
      </c>
      <c r="U152" s="2"/>
      <c r="V152" s="7">
        <f t="shared" si="101"/>
        <v>-1.8317558966384224E-4</v>
      </c>
      <c r="W152" s="2"/>
      <c r="X152" s="6">
        <f t="shared" si="102"/>
        <v>506.93</v>
      </c>
      <c r="Y152" s="2"/>
      <c r="Z152" s="7">
        <f t="shared" si="103"/>
        <v>-1</v>
      </c>
    </row>
    <row r="153" spans="1:26" s="23" customFormat="1" hidden="1" outlineLevel="2" x14ac:dyDescent="0.25">
      <c r="A153" s="27"/>
      <c r="B153" s="10" t="str">
        <f>CONCATENATE("          ", "6247", " - ", "STORE SUPPLIES")</f>
        <v xml:space="preserve">          6247 - STORE SUPPLIES</v>
      </c>
      <c r="C153" s="10"/>
      <c r="D153" s="6"/>
      <c r="E153" s="2"/>
      <c r="F153" s="7">
        <f t="shared" si="96"/>
        <v>0</v>
      </c>
      <c r="G153" s="2"/>
      <c r="H153" s="6"/>
      <c r="I153" s="2"/>
      <c r="J153" s="7">
        <f t="shared" si="97"/>
        <v>0</v>
      </c>
      <c r="K153" s="2"/>
      <c r="L153" s="6">
        <f t="shared" si="98"/>
        <v>0</v>
      </c>
      <c r="M153" s="2"/>
      <c r="N153" s="7">
        <f t="shared" si="99"/>
        <v>0</v>
      </c>
      <c r="O153" s="10"/>
      <c r="P153" s="6">
        <v>1110.23</v>
      </c>
      <c r="Q153" s="2"/>
      <c r="R153" s="7">
        <f t="shared" si="100"/>
        <v>4.7914307537721599E-4</v>
      </c>
      <c r="S153" s="2"/>
      <c r="T153" s="6">
        <v>1239.3599999999999</v>
      </c>
      <c r="U153" s="2"/>
      <c r="V153" s="7">
        <f t="shared" si="101"/>
        <v>4.4783401812041016E-4</v>
      </c>
      <c r="W153" s="2"/>
      <c r="X153" s="6">
        <f t="shared" si="102"/>
        <v>-129.12999999999988</v>
      </c>
      <c r="Y153" s="2"/>
      <c r="Z153" s="7">
        <f t="shared" si="103"/>
        <v>-0.10419087270849461</v>
      </c>
    </row>
    <row r="154" spans="1:26" s="26" customFormat="1" outlineLevel="1" collapsed="1" x14ac:dyDescent="0.25">
      <c r="A154" s="25"/>
      <c r="B154" s="12" t="str">
        <f>CONCATENATE("     ","Telephone/Data Lines                              ")</f>
        <v xml:space="preserve">     Telephone/Data Lines                              </v>
      </c>
      <c r="C154" s="12"/>
      <c r="D154" s="1">
        <f>SUM(OSRRefD22_18x_0)</f>
        <v>496.7</v>
      </c>
      <c r="E154" s="1"/>
      <c r="F154" s="5">
        <f t="shared" ref="F154:F160" si="104">IF(D$12=0,0,D154/D$12)</f>
        <v>1.1547877822290177E-3</v>
      </c>
      <c r="G154" s="1"/>
      <c r="H154" s="1">
        <f>SUM(OSRRefH22_18x_0)</f>
        <v>804.53</v>
      </c>
      <c r="I154" s="1"/>
      <c r="J154" s="5">
        <f t="shared" ref="J154:J160" si="105">IF(H$12=0,0,H154/H$12)</f>
        <v>4.4826666286299595E-3</v>
      </c>
      <c r="K154" s="1"/>
      <c r="L154" s="1">
        <f t="shared" ref="L154:L160" si="106">+D154-H154</f>
        <v>-307.83</v>
      </c>
      <c r="M154" s="1"/>
      <c r="N154" s="5">
        <f t="shared" ref="N154:N160" si="107">IF(H154=0,0,L154/H154)</f>
        <v>-0.38262090910220875</v>
      </c>
      <c r="O154" s="12"/>
      <c r="P154" s="1">
        <f>SUM(OSRRefP22_18x_0)</f>
        <v>6255.43</v>
      </c>
      <c r="Q154" s="1"/>
      <c r="R154" s="5">
        <f t="shared" ref="R154:R160" si="108">IF(P$12=0,0,P154/P$12)</f>
        <v>2.6996622033334519E-3</v>
      </c>
      <c r="S154" s="1"/>
      <c r="T154" s="1">
        <f>SUM(OSRRefT22_18x_0)</f>
        <v>8832.0400000000009</v>
      </c>
      <c r="U154" s="1"/>
      <c r="V154" s="5">
        <f t="shared" ref="V154:V160" si="109">IF(T$12=0,0,T154/T$12)</f>
        <v>3.1913955278532373E-3</v>
      </c>
      <c r="W154" s="1"/>
      <c r="X154" s="1">
        <f t="shared" ref="X154:X160" si="110">+P154-T154</f>
        <v>-2576.6100000000006</v>
      </c>
      <c r="Y154" s="1"/>
      <c r="Z154" s="5">
        <f t="shared" ref="Z154:Z160" si="111">IF(T154=0,0,X154/T154)</f>
        <v>-0.29173441243472631</v>
      </c>
    </row>
    <row r="155" spans="1:26" s="23" customFormat="1" hidden="1" outlineLevel="2" x14ac:dyDescent="0.25">
      <c r="A155" s="27"/>
      <c r="B155" s="10" t="str">
        <f>CONCATENATE("          ", "6309", " - ", "TELEPHONE")</f>
        <v xml:space="preserve">          6309 - TELEPHONE</v>
      </c>
      <c r="C155" s="10"/>
      <c r="D155" s="6">
        <v>496.7</v>
      </c>
      <c r="E155" s="2"/>
      <c r="F155" s="7">
        <f t="shared" si="104"/>
        <v>1.1547877822290177E-3</v>
      </c>
      <c r="G155" s="2"/>
      <c r="H155" s="6">
        <v>804.53</v>
      </c>
      <c r="I155" s="2"/>
      <c r="J155" s="7">
        <f t="shared" si="105"/>
        <v>4.4826666286299595E-3</v>
      </c>
      <c r="K155" s="2"/>
      <c r="L155" s="6">
        <f t="shared" si="106"/>
        <v>-307.83</v>
      </c>
      <c r="M155" s="2"/>
      <c r="N155" s="7">
        <f t="shared" si="107"/>
        <v>-0.38262090910220875</v>
      </c>
      <c r="O155" s="10"/>
      <c r="P155" s="6">
        <v>6255.43</v>
      </c>
      <c r="Q155" s="2"/>
      <c r="R155" s="7">
        <f t="shared" si="108"/>
        <v>2.6996622033334519E-3</v>
      </c>
      <c r="S155" s="2"/>
      <c r="T155" s="6">
        <v>8832.0400000000009</v>
      </c>
      <c r="U155" s="2"/>
      <c r="V155" s="7">
        <f t="shared" si="109"/>
        <v>3.1913955278532373E-3</v>
      </c>
      <c r="W155" s="2"/>
      <c r="X155" s="6">
        <f t="shared" si="110"/>
        <v>-2576.6100000000006</v>
      </c>
      <c r="Y155" s="2"/>
      <c r="Z155" s="7">
        <f t="shared" si="111"/>
        <v>-0.29173441243472631</v>
      </c>
    </row>
    <row r="156" spans="1:26" s="26" customFormat="1" outlineLevel="1" collapsed="1" x14ac:dyDescent="0.25">
      <c r="A156" s="25"/>
      <c r="B156" s="12" t="str">
        <f>CONCATENATE("     ","Training                                          ")</f>
        <v xml:space="preserve">     Training                                          </v>
      </c>
      <c r="C156" s="12"/>
      <c r="D156" s="1">
        <f>SUM(OSRRefD22_19x_0)</f>
        <v>0</v>
      </c>
      <c r="E156" s="1"/>
      <c r="F156" s="5">
        <f t="shared" si="104"/>
        <v>0</v>
      </c>
      <c r="G156" s="1"/>
      <c r="H156" s="1">
        <f>SUM(OSRRefH22_19x_0)</f>
        <v>0</v>
      </c>
      <c r="I156" s="1"/>
      <c r="J156" s="5">
        <f t="shared" si="105"/>
        <v>0</v>
      </c>
      <c r="K156" s="1"/>
      <c r="L156" s="1">
        <f t="shared" si="106"/>
        <v>0</v>
      </c>
      <c r="M156" s="1"/>
      <c r="N156" s="5">
        <f t="shared" si="107"/>
        <v>0</v>
      </c>
      <c r="O156" s="12"/>
      <c r="P156" s="1">
        <f>SUM(OSRRefP22_19x_0)</f>
        <v>0</v>
      </c>
      <c r="Q156" s="1"/>
      <c r="R156" s="5">
        <f t="shared" si="108"/>
        <v>0</v>
      </c>
      <c r="S156" s="1"/>
      <c r="T156" s="1">
        <f>SUM(OSRRefT22_19x_0)</f>
        <v>5264.54</v>
      </c>
      <c r="U156" s="1"/>
      <c r="V156" s="5">
        <f t="shared" si="109"/>
        <v>1.9023044972853926E-3</v>
      </c>
      <c r="W156" s="1"/>
      <c r="X156" s="1">
        <f t="shared" si="110"/>
        <v>-5264.54</v>
      </c>
      <c r="Y156" s="1"/>
      <c r="Z156" s="5">
        <f t="shared" si="111"/>
        <v>-1</v>
      </c>
    </row>
    <row r="157" spans="1:26" s="23" customFormat="1" hidden="1" outlineLevel="2" x14ac:dyDescent="0.25">
      <c r="A157" s="27"/>
      <c r="B157" s="10" t="str">
        <f>CONCATENATE("          ", "6376", " - ", "TRAINING")</f>
        <v xml:space="preserve">          6376 - TRAINING</v>
      </c>
      <c r="C157" s="10"/>
      <c r="D157" s="6"/>
      <c r="E157" s="2"/>
      <c r="F157" s="7">
        <f t="shared" si="104"/>
        <v>0</v>
      </c>
      <c r="G157" s="2"/>
      <c r="H157" s="6"/>
      <c r="I157" s="2"/>
      <c r="J157" s="7">
        <f t="shared" si="105"/>
        <v>0</v>
      </c>
      <c r="K157" s="2"/>
      <c r="L157" s="6">
        <f t="shared" si="106"/>
        <v>0</v>
      </c>
      <c r="M157" s="2"/>
      <c r="N157" s="7">
        <f t="shared" si="107"/>
        <v>0</v>
      </c>
      <c r="O157" s="10"/>
      <c r="P157" s="6"/>
      <c r="Q157" s="2"/>
      <c r="R157" s="7">
        <f t="shared" si="108"/>
        <v>0</v>
      </c>
      <c r="S157" s="2"/>
      <c r="T157" s="6">
        <v>5264.54</v>
      </c>
      <c r="U157" s="2"/>
      <c r="V157" s="7">
        <f t="shared" si="109"/>
        <v>1.9023044972853926E-3</v>
      </c>
      <c r="W157" s="2"/>
      <c r="X157" s="6">
        <f t="shared" si="110"/>
        <v>-5264.54</v>
      </c>
      <c r="Y157" s="2"/>
      <c r="Z157" s="7">
        <f t="shared" si="111"/>
        <v>-1</v>
      </c>
    </row>
    <row r="158" spans="1:26" s="26" customFormat="1" outlineLevel="1" collapsed="1" x14ac:dyDescent="0.25">
      <c r="A158" s="25"/>
      <c r="B158" s="12" t="str">
        <f>CONCATENATE("     ","Travel                                            ")</f>
        <v xml:space="preserve">     Travel                                            </v>
      </c>
      <c r="C158" s="12"/>
      <c r="D158" s="1">
        <f>SUM(OSRRefD22_20x_0)</f>
        <v>0</v>
      </c>
      <c r="E158" s="1"/>
      <c r="F158" s="5">
        <f t="shared" si="104"/>
        <v>0</v>
      </c>
      <c r="G158" s="1"/>
      <c r="H158" s="1">
        <f>SUM(OSRRefH22_20x_0)</f>
        <v>0</v>
      </c>
      <c r="I158" s="1"/>
      <c r="J158" s="5">
        <f t="shared" si="105"/>
        <v>0</v>
      </c>
      <c r="K158" s="1"/>
      <c r="L158" s="1">
        <f t="shared" si="106"/>
        <v>0</v>
      </c>
      <c r="M158" s="1"/>
      <c r="N158" s="5">
        <f t="shared" si="107"/>
        <v>0</v>
      </c>
      <c r="O158" s="12"/>
      <c r="P158" s="1">
        <f>SUM(OSRRefP22_20x_0)</f>
        <v>613.35</v>
      </c>
      <c r="Q158" s="1"/>
      <c r="R158" s="5">
        <f t="shared" si="108"/>
        <v>2.6470407508589702E-4</v>
      </c>
      <c r="S158" s="1"/>
      <c r="T158" s="1">
        <f>SUM(OSRRefT22_20x_0)</f>
        <v>612.98</v>
      </c>
      <c r="U158" s="1"/>
      <c r="V158" s="5">
        <f t="shared" si="109"/>
        <v>2.2149601118920173E-4</v>
      </c>
      <c r="W158" s="1"/>
      <c r="X158" s="1">
        <f t="shared" si="110"/>
        <v>0.37000000000000455</v>
      </c>
      <c r="Y158" s="1"/>
      <c r="Z158" s="5">
        <f t="shared" si="111"/>
        <v>6.0360860060687874E-4</v>
      </c>
    </row>
    <row r="159" spans="1:26" s="23" customFormat="1" hidden="1" outlineLevel="2" x14ac:dyDescent="0.25">
      <c r="A159" s="27"/>
      <c r="B159" s="10" t="str">
        <f>CONCATENATE("          ", "6292", " - ", "TRAVEL/CONFERENCE")</f>
        <v xml:space="preserve">          6292 - TRAVEL/CONFERENCE</v>
      </c>
      <c r="C159" s="10"/>
      <c r="D159" s="6"/>
      <c r="E159" s="2"/>
      <c r="F159" s="7">
        <f t="shared" si="104"/>
        <v>0</v>
      </c>
      <c r="G159" s="2"/>
      <c r="H159" s="6"/>
      <c r="I159" s="2"/>
      <c r="J159" s="7">
        <f t="shared" si="105"/>
        <v>0</v>
      </c>
      <c r="K159" s="2"/>
      <c r="L159" s="6">
        <f t="shared" si="106"/>
        <v>0</v>
      </c>
      <c r="M159" s="2"/>
      <c r="N159" s="7">
        <f t="shared" si="107"/>
        <v>0</v>
      </c>
      <c r="O159" s="10"/>
      <c r="P159" s="6"/>
      <c r="Q159" s="2"/>
      <c r="R159" s="7">
        <f t="shared" si="108"/>
        <v>0</v>
      </c>
      <c r="S159" s="2"/>
      <c r="T159" s="6">
        <v>107.04</v>
      </c>
      <c r="U159" s="2"/>
      <c r="V159" s="7">
        <f t="shared" si="109"/>
        <v>3.867815106152265E-5</v>
      </c>
      <c r="W159" s="2"/>
      <c r="X159" s="6">
        <f t="shared" si="110"/>
        <v>-107.04</v>
      </c>
      <c r="Y159" s="2"/>
      <c r="Z159" s="7">
        <f t="shared" si="111"/>
        <v>-1</v>
      </c>
    </row>
    <row r="160" spans="1:26" s="23" customFormat="1" hidden="1" outlineLevel="2" x14ac:dyDescent="0.25">
      <c r="A160" s="27"/>
      <c r="B160" s="10" t="str">
        <f>CONCATENATE("          ", "6294", " - ", "TRAVEL OPERATIONAL")</f>
        <v xml:space="preserve">          6294 - TRAVEL OPERATIONAL</v>
      </c>
      <c r="C160" s="10"/>
      <c r="D160" s="6"/>
      <c r="E160" s="2"/>
      <c r="F160" s="7">
        <f t="shared" si="104"/>
        <v>0</v>
      </c>
      <c r="G160" s="2"/>
      <c r="H160" s="6"/>
      <c r="I160" s="2"/>
      <c r="J160" s="7">
        <f t="shared" si="105"/>
        <v>0</v>
      </c>
      <c r="K160" s="2"/>
      <c r="L160" s="6">
        <f t="shared" si="106"/>
        <v>0</v>
      </c>
      <c r="M160" s="2"/>
      <c r="N160" s="7">
        <f t="shared" si="107"/>
        <v>0</v>
      </c>
      <c r="O160" s="10"/>
      <c r="P160" s="6">
        <v>613.35</v>
      </c>
      <c r="Q160" s="2"/>
      <c r="R160" s="7">
        <f t="shared" si="108"/>
        <v>2.6470407508589702E-4</v>
      </c>
      <c r="S160" s="2"/>
      <c r="T160" s="6">
        <v>505.94</v>
      </c>
      <c r="U160" s="2"/>
      <c r="V160" s="7">
        <f t="shared" si="109"/>
        <v>1.8281786012767906E-4</v>
      </c>
      <c r="W160" s="2"/>
      <c r="X160" s="6">
        <f t="shared" si="110"/>
        <v>107.41000000000003</v>
      </c>
      <c r="Y160" s="2"/>
      <c r="Z160" s="7">
        <f t="shared" si="111"/>
        <v>0.21229790093687004</v>
      </c>
    </row>
    <row r="161" spans="1:26" s="26" customFormat="1" outlineLevel="1" collapsed="1" x14ac:dyDescent="0.25">
      <c r="A161" s="25"/>
      <c r="B161" s="12" t="str">
        <f>CONCATENATE("     ","Utilities                                         ")</f>
        <v xml:space="preserve">     Utilities                                         </v>
      </c>
      <c r="C161" s="12"/>
      <c r="D161" s="1">
        <f>SUM(OSRRefD22_21x_0)</f>
        <v>29.9</v>
      </c>
      <c r="E161" s="1"/>
      <c r="F161" s="5">
        <f t="shared" ref="F161:F162" si="112">IF(D$12=0,0,D161/D$12)</f>
        <v>6.9515109097337678E-5</v>
      </c>
      <c r="G161" s="1"/>
      <c r="H161" s="1">
        <f>SUM(OSRRefH22_21x_0)</f>
        <v>26.43</v>
      </c>
      <c r="I161" s="1"/>
      <c r="J161" s="5">
        <f t="shared" ref="J161:J162" si="113">IF(H$12=0,0,H161/H$12)</f>
        <v>1.4726222638644903E-4</v>
      </c>
      <c r="K161" s="1"/>
      <c r="L161" s="1">
        <f t="shared" ref="L161:L162" si="114">+D161-H161</f>
        <v>3.4699999999999989</v>
      </c>
      <c r="M161" s="1"/>
      <c r="N161" s="5">
        <f t="shared" ref="N161:N162" si="115">IF(H161=0,0,L161/H161)</f>
        <v>0.13129020052970106</v>
      </c>
      <c r="O161" s="12"/>
      <c r="P161" s="1">
        <f>SUM(OSRRefP22_21x_0)</f>
        <v>294.43</v>
      </c>
      <c r="Q161" s="1"/>
      <c r="R161" s="5">
        <f t="shared" ref="R161:R162" si="116">IF(P$12=0,0,P161/P$12)</f>
        <v>1.2706745060331076E-4</v>
      </c>
      <c r="S161" s="1"/>
      <c r="T161" s="1">
        <f>SUM(OSRRefT22_21x_0)</f>
        <v>2959.78</v>
      </c>
      <c r="U161" s="1"/>
      <c r="V161" s="5">
        <f t="shared" ref="V161:V162" si="117">IF(T$12=0,0,T161/T$12)</f>
        <v>1.069495683378863E-3</v>
      </c>
      <c r="W161" s="1"/>
      <c r="X161" s="1">
        <f t="shared" ref="X161:X162" si="118">+P161-T161</f>
        <v>-2665.3500000000004</v>
      </c>
      <c r="Y161" s="1"/>
      <c r="Z161" s="5">
        <f t="shared" ref="Z161:Z162" si="119">IF(T161=0,0,X161/T161)</f>
        <v>-0.90052301184547512</v>
      </c>
    </row>
    <row r="162" spans="1:26" s="23" customFormat="1" hidden="1" outlineLevel="2" x14ac:dyDescent="0.25">
      <c r="A162" s="27"/>
      <c r="B162" s="10" t="str">
        <f>CONCATENATE("          ", "6274", " - ", "UTILITIES")</f>
        <v xml:space="preserve">          6274 - UTILITIES</v>
      </c>
      <c r="C162" s="10"/>
      <c r="D162" s="6">
        <v>29.9</v>
      </c>
      <c r="E162" s="2"/>
      <c r="F162" s="7">
        <f t="shared" si="112"/>
        <v>6.9515109097337678E-5</v>
      </c>
      <c r="G162" s="2"/>
      <c r="H162" s="6">
        <v>26.43</v>
      </c>
      <c r="I162" s="2"/>
      <c r="J162" s="7">
        <f t="shared" si="113"/>
        <v>1.4726222638644903E-4</v>
      </c>
      <c r="K162" s="2"/>
      <c r="L162" s="6">
        <f t="shared" si="114"/>
        <v>3.4699999999999989</v>
      </c>
      <c r="M162" s="2"/>
      <c r="N162" s="7">
        <f t="shared" si="115"/>
        <v>0.13129020052970106</v>
      </c>
      <c r="O162" s="10"/>
      <c r="P162" s="6">
        <v>294.43</v>
      </c>
      <c r="Q162" s="2"/>
      <c r="R162" s="7">
        <f t="shared" si="116"/>
        <v>1.2706745060331076E-4</v>
      </c>
      <c r="S162" s="2"/>
      <c r="T162" s="6">
        <v>2959.78</v>
      </c>
      <c r="U162" s="2"/>
      <c r="V162" s="7">
        <f t="shared" si="117"/>
        <v>1.069495683378863E-3</v>
      </c>
      <c r="W162" s="2"/>
      <c r="X162" s="6">
        <f t="shared" si="118"/>
        <v>-2665.3500000000004</v>
      </c>
      <c r="Y162" s="2"/>
      <c r="Z162" s="7">
        <f t="shared" si="119"/>
        <v>-0.90052301184547512</v>
      </c>
    </row>
    <row r="163" spans="1:26" s="57" customFormat="1" x14ac:dyDescent="0.25">
      <c r="A163" s="37"/>
      <c r="B163" s="37"/>
      <c r="C163" s="37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7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4" customFormat="1" collapsed="1" x14ac:dyDescent="0.25">
      <c r="A164" s="11"/>
      <c r="B164" s="29" t="s">
        <v>292</v>
      </c>
      <c r="C164" s="11"/>
      <c r="D164" s="4">
        <f>SUM(OSRRefD25x_0)</f>
        <v>1862</v>
      </c>
      <c r="E164" s="4"/>
      <c r="F164" s="13">
        <f t="shared" ref="F164:F167" si="120">IF(D$12=0,0,D164/D$12)</f>
        <v>4.3290011083358783E-3</v>
      </c>
      <c r="G164" s="4"/>
      <c r="H164" s="4">
        <f>SUM(OSRRefH25x_0)</f>
        <v>0</v>
      </c>
      <c r="I164" s="4"/>
      <c r="J164" s="13">
        <f t="shared" ref="J164:J167" si="121">IF(H$12=0,0,H164/H$12)</f>
        <v>0</v>
      </c>
      <c r="K164" s="4"/>
      <c r="L164" s="4">
        <f t="shared" ref="L164:L167" si="122">+D164-H164</f>
        <v>1862</v>
      </c>
      <c r="M164" s="4"/>
      <c r="N164" s="13">
        <f t="shared" ref="N164:N167" si="123">IF(H164=0,0,L164/H164)</f>
        <v>0</v>
      </c>
      <c r="O164" s="11"/>
      <c r="P164" s="4">
        <f>SUM(OSRRefP25x_0)</f>
        <v>412686.77999999997</v>
      </c>
      <c r="Q164" s="4"/>
      <c r="R164" s="13">
        <f t="shared" ref="R164:R167" si="124">IF(P$12=0,0,P164/P$12)</f>
        <v>0.17810364783578225</v>
      </c>
      <c r="S164" s="4"/>
      <c r="T164" s="4">
        <f>SUM(OSRRefT25x_0)</f>
        <v>96904.89</v>
      </c>
      <c r="U164" s="4"/>
      <c r="V164" s="13">
        <f t="shared" ref="V164:V167" si="125">IF(T$12=0,0,T164/T$12)</f>
        <v>3.5015900355196514E-2</v>
      </c>
      <c r="W164" s="4"/>
      <c r="X164" s="4">
        <f t="shared" ref="X164:X167" si="126">+P164-T164</f>
        <v>315781.88999999996</v>
      </c>
      <c r="Y164" s="4"/>
      <c r="Z164" s="13">
        <f t="shared" ref="Z164:Z167" si="127">IF(T164=0,0,X164/T164)</f>
        <v>3.2586785868081574</v>
      </c>
    </row>
    <row r="165" spans="1:26" s="23" customFormat="1" hidden="1" outlineLevel="1" x14ac:dyDescent="0.25">
      <c r="A165" s="44"/>
      <c r="B165" s="10" t="str">
        <f>CONCATENATE("          ", "4098", " - ", "TAXABLE SALES-GRAD RENTALS")</f>
        <v xml:space="preserve">          4098 - TAXABLE SALES-GRAD RENTALS</v>
      </c>
      <c r="C165" s="10"/>
      <c r="D165" s="2">
        <f t="shared" ref="D165:D166" si="128">0</f>
        <v>0</v>
      </c>
      <c r="E165" s="2"/>
      <c r="F165" s="19">
        <f t="shared" si="120"/>
        <v>0</v>
      </c>
      <c r="G165" s="2"/>
      <c r="H165" s="2">
        <f t="shared" ref="H165:H167" si="129">0</f>
        <v>0</v>
      </c>
      <c r="I165" s="2"/>
      <c r="J165" s="19">
        <f t="shared" si="121"/>
        <v>0</v>
      </c>
      <c r="K165" s="2"/>
      <c r="L165" s="2">
        <f t="shared" si="122"/>
        <v>0</v>
      </c>
      <c r="M165" s="2"/>
      <c r="N165" s="19">
        <f t="shared" si="123"/>
        <v>0</v>
      </c>
      <c r="O165" s="10"/>
      <c r="P165" s="2">
        <f>--49.95</f>
        <v>49.95</v>
      </c>
      <c r="Q165" s="2"/>
      <c r="R165" s="19">
        <f t="shared" si="124"/>
        <v>2.1556971632086991E-5</v>
      </c>
      <c r="S165" s="2"/>
      <c r="T165" s="2">
        <f>0</f>
        <v>0</v>
      </c>
      <c r="U165" s="2"/>
      <c r="V165" s="19">
        <f t="shared" si="125"/>
        <v>0</v>
      </c>
      <c r="W165" s="2"/>
      <c r="X165" s="2">
        <f t="shared" si="126"/>
        <v>49.95</v>
      </c>
      <c r="Y165" s="2"/>
      <c r="Z165" s="19">
        <f t="shared" si="127"/>
        <v>0</v>
      </c>
    </row>
    <row r="166" spans="1:26" s="23" customFormat="1" hidden="1" outlineLevel="1" x14ac:dyDescent="0.25">
      <c r="A166" s="44"/>
      <c r="B166" s="10" t="str">
        <f>CONCATENATE("          ", "9150", " - ", "MISC. INCOME")</f>
        <v xml:space="preserve">          9150 - MISC. INCOME</v>
      </c>
      <c r="C166" s="10"/>
      <c r="D166" s="2">
        <f t="shared" si="128"/>
        <v>0</v>
      </c>
      <c r="E166" s="2"/>
      <c r="F166" s="19">
        <f t="shared" si="120"/>
        <v>0</v>
      </c>
      <c r="G166" s="2"/>
      <c r="H166" s="2">
        <f t="shared" si="129"/>
        <v>0</v>
      </c>
      <c r="I166" s="2"/>
      <c r="J166" s="19">
        <f t="shared" si="121"/>
        <v>0</v>
      </c>
      <c r="K166" s="2"/>
      <c r="L166" s="2">
        <f t="shared" si="122"/>
        <v>0</v>
      </c>
      <c r="M166" s="2"/>
      <c r="N166" s="19">
        <f t="shared" si="123"/>
        <v>0</v>
      </c>
      <c r="O166" s="10"/>
      <c r="P166" s="2">
        <f>--64296.27</f>
        <v>64296.27</v>
      </c>
      <c r="Q166" s="2"/>
      <c r="R166" s="19">
        <f t="shared" si="124"/>
        <v>2.7748405774554667E-2</v>
      </c>
      <c r="S166" s="2"/>
      <c r="T166" s="2">
        <f>--96904.89</f>
        <v>96904.89</v>
      </c>
      <c r="U166" s="2"/>
      <c r="V166" s="19">
        <f t="shared" si="125"/>
        <v>3.5015900355196514E-2</v>
      </c>
      <c r="W166" s="2"/>
      <c r="X166" s="2">
        <f t="shared" si="126"/>
        <v>-32608.620000000003</v>
      </c>
      <c r="Y166" s="2"/>
      <c r="Z166" s="19">
        <f t="shared" si="127"/>
        <v>-0.33650128491967746</v>
      </c>
    </row>
    <row r="167" spans="1:26" s="23" customFormat="1" hidden="1" outlineLevel="1" x14ac:dyDescent="0.25">
      <c r="A167" s="44"/>
      <c r="B167" s="10" t="str">
        <f>CONCATENATE("          ", "9163", " - ", "MISC. INCOME")</f>
        <v xml:space="preserve">          9163 - MISC. INCOME</v>
      </c>
      <c r="C167" s="10"/>
      <c r="D167" s="2">
        <f>--1862</f>
        <v>1862</v>
      </c>
      <c r="E167" s="2"/>
      <c r="F167" s="19">
        <f t="shared" si="120"/>
        <v>4.3290011083358783E-3</v>
      </c>
      <c r="G167" s="2"/>
      <c r="H167" s="2">
        <f t="shared" si="129"/>
        <v>0</v>
      </c>
      <c r="I167" s="2"/>
      <c r="J167" s="19">
        <f t="shared" si="121"/>
        <v>0</v>
      </c>
      <c r="K167" s="2"/>
      <c r="L167" s="2">
        <f t="shared" si="122"/>
        <v>1862</v>
      </c>
      <c r="M167" s="2"/>
      <c r="N167" s="19">
        <f t="shared" si="123"/>
        <v>0</v>
      </c>
      <c r="O167" s="10"/>
      <c r="P167" s="2">
        <f>--348340.56</f>
        <v>348340.56</v>
      </c>
      <c r="Q167" s="2"/>
      <c r="R167" s="19">
        <f t="shared" si="124"/>
        <v>0.15033368508959552</v>
      </c>
      <c r="S167" s="2"/>
      <c r="T167" s="2">
        <f>0</f>
        <v>0</v>
      </c>
      <c r="U167" s="2"/>
      <c r="V167" s="19">
        <f t="shared" si="125"/>
        <v>0</v>
      </c>
      <c r="W167" s="2"/>
      <c r="X167" s="2">
        <f t="shared" si="126"/>
        <v>348340.56</v>
      </c>
      <c r="Y167" s="2"/>
      <c r="Z167" s="19">
        <f t="shared" si="127"/>
        <v>0</v>
      </c>
    </row>
    <row r="168" spans="1:26" x14ac:dyDescent="0.25">
      <c r="A168" s="9"/>
      <c r="B168" s="11"/>
      <c r="C168" s="11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1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4" customFormat="1" x14ac:dyDescent="0.25">
      <c r="A169" s="11"/>
      <c r="B169" s="28" t="s">
        <v>276</v>
      </c>
      <c r="C169" s="28"/>
      <c r="D169" s="20">
        <f>+D89-D91+D164</f>
        <v>171447.89000000013</v>
      </c>
      <c r="E169" s="14"/>
      <c r="F169" s="21">
        <f>IF(D$12=0,0,D169/D$12)</f>
        <v>0.39860263471098195</v>
      </c>
      <c r="G169" s="14"/>
      <c r="H169" s="20">
        <f>+H89-H91+H164</f>
        <v>7357.5700000000361</v>
      </c>
      <c r="I169" s="14"/>
      <c r="J169" s="21">
        <f>IF(H$12=0,0,H169/H$12)</f>
        <v>4.0994783919566825E-2</v>
      </c>
      <c r="K169" s="15"/>
      <c r="L169" s="20">
        <f>+D169-H169</f>
        <v>164090.32000000009</v>
      </c>
      <c r="M169" s="15"/>
      <c r="N169" s="21">
        <f>IF(H169=0,0,L169/H169)</f>
        <v>22.302243811475702</v>
      </c>
      <c r="O169" s="29"/>
      <c r="P169" s="20">
        <f>+P89-P91+P164</f>
        <v>753833.17000000062</v>
      </c>
      <c r="Q169" s="14"/>
      <c r="R169" s="21">
        <f>IF(P$12=0,0,P169/P$12)</f>
        <v>0.32533253775808252</v>
      </c>
      <c r="S169" s="14"/>
      <c r="T169" s="20">
        <f>+T89-T91+T164</f>
        <v>580150.67000000062</v>
      </c>
      <c r="U169" s="14"/>
      <c r="V169" s="21">
        <f>IF(T$12=0,0,T169/T$12)</f>
        <v>0.20963336372107247</v>
      </c>
      <c r="W169" s="15"/>
      <c r="X169" s="20">
        <f>+P169-T169</f>
        <v>173682.5</v>
      </c>
      <c r="Y169" s="15"/>
      <c r="Z169" s="21">
        <f>IF(T169=0,0,X169/T169)</f>
        <v>0.29937481585602549</v>
      </c>
    </row>
    <row r="170" spans="1:26" x14ac:dyDescent="0.25">
      <c r="A170" s="9"/>
      <c r="B170" s="11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4" customFormat="1" x14ac:dyDescent="0.25">
      <c r="A171" s="51"/>
      <c r="B171" s="11" t="s">
        <v>127</v>
      </c>
      <c r="C171" s="11"/>
      <c r="D171" s="4">
        <v>100378.98</v>
      </c>
      <c r="E171" s="4"/>
      <c r="F171" s="13">
        <f>IF(D$12=0,0,D171/D$12)</f>
        <v>0.23337310186553437</v>
      </c>
      <c r="G171" s="4"/>
      <c r="H171" s="4">
        <v>33877.089999999997</v>
      </c>
      <c r="I171" s="4"/>
      <c r="J171" s="13">
        <f>IF(H$12=0,0,H171/H$12)</f>
        <v>0.18875579632592163</v>
      </c>
      <c r="K171" s="4"/>
      <c r="L171" s="4">
        <f>+D171-H171</f>
        <v>66501.89</v>
      </c>
      <c r="M171" s="4"/>
      <c r="N171" s="13">
        <f>IF(H171=0,0,L171/H171)</f>
        <v>1.9630343102078722</v>
      </c>
      <c r="O171" s="11"/>
      <c r="P171" s="4">
        <v>495145.68</v>
      </c>
      <c r="Q171" s="4"/>
      <c r="R171" s="13">
        <f>IF(P$12=0,0,P171/P$12)</f>
        <v>0.21369051806827671</v>
      </c>
      <c r="S171" s="4"/>
      <c r="T171" s="4">
        <v>327723.48</v>
      </c>
      <c r="U171" s="4"/>
      <c r="V171" s="13">
        <f>IF(T$12=0,0,T171/T$12)</f>
        <v>0.11842057423251023</v>
      </c>
      <c r="W171" s="4"/>
      <c r="X171" s="4">
        <f>+P171-T171</f>
        <v>167422.20000000001</v>
      </c>
      <c r="Y171" s="4"/>
      <c r="Z171" s="13">
        <f>IF(T171=0,0,X171/T171)</f>
        <v>0.51086422004306808</v>
      </c>
    </row>
    <row r="172" spans="1:26" x14ac:dyDescent="0.25">
      <c r="A172" s="9"/>
      <c r="B172" s="11"/>
      <c r="C172" s="11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O172" s="11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s="24" customFormat="1" ht="15.75" thickBot="1" x14ac:dyDescent="0.3">
      <c r="A173" s="11"/>
      <c r="B173" s="28" t="s">
        <v>125</v>
      </c>
      <c r="C173" s="28"/>
      <c r="D173" s="35">
        <f>+D169-D171</f>
        <v>71068.910000000134</v>
      </c>
      <c r="E173" s="14"/>
      <c r="F173" s="36">
        <f>IF(D$12=0,0,D173/D$12)</f>
        <v>0.16522953284544759</v>
      </c>
      <c r="G173" s="14"/>
      <c r="H173" s="35">
        <f>+H169-H171</f>
        <v>-26519.51999999996</v>
      </c>
      <c r="I173" s="14"/>
      <c r="J173" s="36">
        <f>IF(H$12=0,0,H173/H$12)</f>
        <v>-0.14776101240635478</v>
      </c>
      <c r="K173" s="15"/>
      <c r="L173" s="35">
        <f>D173-H173</f>
        <v>97588.430000000095</v>
      </c>
      <c r="M173" s="15"/>
      <c r="N173" s="36">
        <f>IF(H173=0,0,L173/H173)</f>
        <v>-3.6798716568022436</v>
      </c>
      <c r="O173" s="29"/>
      <c r="P173" s="35">
        <f>+P169-P171</f>
        <v>258687.49000000063</v>
      </c>
      <c r="Q173" s="14"/>
      <c r="R173" s="36">
        <f>IF(P$12=0,0,P173/P$12)</f>
        <v>0.11164201968980582</v>
      </c>
      <c r="S173" s="14"/>
      <c r="T173" s="35">
        <f>+T169-T171</f>
        <v>252427.19000000064</v>
      </c>
      <c r="U173" s="14"/>
      <c r="V173" s="36">
        <f>IF(T$12=0,0,T173/T$12)</f>
        <v>9.1212789488562249E-2</v>
      </c>
      <c r="W173" s="15"/>
      <c r="X173" s="35">
        <f>P173-T173</f>
        <v>6260.2999999999884</v>
      </c>
      <c r="Y173" s="15"/>
      <c r="Z173" s="36">
        <f>IF(T173=0,0,X173/T173)</f>
        <v>2.4800418687067637E-2</v>
      </c>
    </row>
    <row r="174" spans="1:26" ht="15.75" thickTop="1" x14ac:dyDescent="0.25">
      <c r="A174" s="9"/>
      <c r="B174" s="9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x14ac:dyDescent="0.25">
      <c r="A175" s="9"/>
      <c r="B175" s="9"/>
      <c r="C175" s="9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4" customFormat="1" ht="15.75" thickBot="1" x14ac:dyDescent="0.3">
      <c r="A176" s="11"/>
      <c r="B176" s="28" t="s">
        <v>293</v>
      </c>
      <c r="C176" s="28"/>
      <c r="D176" s="30">
        <f>SUM(D173:D175)</f>
        <v>71068.910000000134</v>
      </c>
      <c r="E176" s="14"/>
      <c r="F176" s="31">
        <f>IF(D$12=0,0,D176/D$12)</f>
        <v>0.16522953284544759</v>
      </c>
      <c r="G176" s="14"/>
      <c r="H176" s="30">
        <f>SUM(H173:H175)</f>
        <v>-26519.51999999996</v>
      </c>
      <c r="I176" s="14"/>
      <c r="J176" s="31">
        <f>IF(H$12=0,0,H176/H$12)</f>
        <v>-0.14776101240635478</v>
      </c>
      <c r="K176" s="15"/>
      <c r="L176" s="30">
        <f>+D176-H176</f>
        <v>97588.430000000095</v>
      </c>
      <c r="M176" s="15"/>
      <c r="N176" s="31">
        <f>IF(H176=0,0,L176/H176)</f>
        <v>-3.6798716568022436</v>
      </c>
      <c r="O176" s="29"/>
      <c r="P176" s="30">
        <f>SUM(P173:P175)</f>
        <v>258687.49000000063</v>
      </c>
      <c r="Q176" s="14"/>
      <c r="R176" s="31">
        <f>IF(P$12=0,0,P176/P$12)</f>
        <v>0.11164201968980582</v>
      </c>
      <c r="S176" s="14"/>
      <c r="T176" s="30">
        <f>SUM(T173:T175)</f>
        <v>252427.19000000064</v>
      </c>
      <c r="U176" s="14"/>
      <c r="V176" s="31">
        <f>IF(T$12=0,0,T176/T$12)</f>
        <v>9.1212789488562249E-2</v>
      </c>
      <c r="W176" s="15"/>
      <c r="X176" s="30">
        <f>+P176-T176</f>
        <v>6260.2999999999884</v>
      </c>
      <c r="Y176" s="15"/>
      <c r="Z176" s="31">
        <f>IF(T176=0,0,X176/T176)</f>
        <v>2.4800418687067637E-2</v>
      </c>
    </row>
    <row r="177" spans="1:24" ht="15.75" thickTop="1" x14ac:dyDescent="0.25">
      <c r="A177" s="9"/>
      <c r="C177" s="9"/>
      <c r="D177" s="18"/>
      <c r="E177" s="18"/>
      <c r="G177" s="18"/>
      <c r="H177" s="18"/>
      <c r="I177" s="18"/>
      <c r="J177" s="42"/>
      <c r="K177" s="18"/>
      <c r="L177" s="18"/>
      <c r="M177" s="18"/>
      <c r="P177" s="18"/>
      <c r="Q177" s="18"/>
      <c r="R177" s="42"/>
      <c r="S177" s="18"/>
      <c r="T177" s="18"/>
      <c r="U177" s="18"/>
      <c r="V177" s="42"/>
      <c r="W177" s="18"/>
      <c r="X177" s="18"/>
    </row>
    <row r="178" spans="1:24" x14ac:dyDescent="0.25">
      <c r="A178" s="9"/>
      <c r="B178" s="59">
        <v>44356.893316550922</v>
      </c>
      <c r="D178" s="18"/>
      <c r="E178" s="18"/>
      <c r="G178" s="18"/>
      <c r="H178" s="18"/>
      <c r="I178" s="18"/>
      <c r="J178" s="42"/>
      <c r="K178" s="18"/>
      <c r="L178" s="18"/>
      <c r="M178" s="18"/>
      <c r="P178" s="18"/>
      <c r="Q178" s="18"/>
      <c r="R178" s="42"/>
      <c r="S178" s="18"/>
      <c r="T178" s="18"/>
      <c r="U178" s="18"/>
      <c r="V178" s="42"/>
      <c r="W178" s="18"/>
      <c r="X178" s="18"/>
    </row>
    <row r="179" spans="1:24" x14ac:dyDescent="0.25">
      <c r="A179" s="9"/>
      <c r="B179" s="52" t="s">
        <v>56</v>
      </c>
      <c r="D179" s="18"/>
      <c r="E179" s="18"/>
      <c r="G179" s="18"/>
      <c r="H179" s="18"/>
      <c r="I179" s="18"/>
      <c r="J179" s="42"/>
      <c r="K179" s="18"/>
      <c r="L179" s="18"/>
      <c r="M179" s="18"/>
      <c r="P179" s="18"/>
      <c r="Q179" s="18"/>
      <c r="R179" s="42"/>
      <c r="S179" s="18"/>
      <c r="T179" s="18"/>
      <c r="U179" s="18"/>
      <c r="V179" s="42"/>
      <c r="W179" s="18"/>
      <c r="X179" s="18"/>
    </row>
    <row r="180" spans="1:24" x14ac:dyDescent="0.25">
      <c r="A180" s="9"/>
      <c r="B180" s="54"/>
      <c r="D180" s="18"/>
      <c r="E180" s="18"/>
      <c r="G180" s="18"/>
      <c r="H180" s="18"/>
      <c r="I180" s="18"/>
      <c r="J180" s="42"/>
      <c r="K180" s="18"/>
      <c r="L180" s="18"/>
      <c r="M180" s="18"/>
      <c r="P180" s="18"/>
      <c r="Q180" s="18"/>
      <c r="R180" s="42"/>
      <c r="S180" s="18"/>
      <c r="T180" s="18"/>
      <c r="U180" s="18"/>
      <c r="V180" s="42"/>
      <c r="W180" s="18"/>
      <c r="X180" s="18"/>
    </row>
    <row r="181" spans="1:24" x14ac:dyDescent="0.25">
      <c r="D181" s="18"/>
      <c r="E181" s="18"/>
      <c r="G181" s="18"/>
      <c r="H181" s="18"/>
      <c r="I181" s="18"/>
      <c r="J181" s="42"/>
      <c r="K181" s="18"/>
      <c r="L181" s="18"/>
      <c r="M181" s="18"/>
      <c r="P181" s="18"/>
      <c r="Q181" s="18"/>
      <c r="R181" s="42"/>
      <c r="S181" s="18"/>
      <c r="T181" s="18"/>
      <c r="U181" s="18"/>
      <c r="V181" s="42"/>
      <c r="W181" s="18"/>
      <c r="X181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","315", " - ", "Beach Shop")</f>
        <v>Department 315 - Beach Shop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395418.14</v>
      </c>
      <c r="E12" s="4"/>
      <c r="F12" s="13"/>
      <c r="G12" s="4"/>
      <c r="H12" s="4">
        <f>SUM(OSRRefH13x_0)</f>
        <v>179475.76000000004</v>
      </c>
      <c r="I12" s="4"/>
      <c r="J12" s="13"/>
      <c r="K12" s="4"/>
      <c r="L12" s="4">
        <f t="shared" ref="L12:L51" si="0">+D12-H12</f>
        <v>215942.37999999998</v>
      </c>
      <c r="M12" s="4"/>
      <c r="N12" s="13">
        <f t="shared" ref="N12:N51" si="1">IF(H12=0,0,L12/H12)</f>
        <v>1.2031840957241242</v>
      </c>
      <c r="O12" s="11"/>
      <c r="P12" s="4">
        <f>SUM(OSRRefP13x_0)</f>
        <v>2031106.8100000005</v>
      </c>
      <c r="Q12" s="4"/>
      <c r="R12" s="13"/>
      <c r="S12" s="4"/>
      <c r="T12" s="4">
        <f>SUM(OSRRefT13x_0)</f>
        <v>2337613.0300000003</v>
      </c>
      <c r="U12" s="4"/>
      <c r="V12" s="13"/>
      <c r="W12" s="4"/>
      <c r="X12" s="4">
        <f t="shared" ref="X12:X51" si="2">+P12-T12</f>
        <v>-306506.21999999974</v>
      </c>
      <c r="Y12" s="4"/>
      <c r="Z12" s="13">
        <f t="shared" ref="Z12:Z51" si="3">IF(T12=0,0,X12/T12)</f>
        <v>-0.13111931532996277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-10285.7</f>
        <v>-10285.700000000001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-10285.700000000001</v>
      </c>
      <c r="M13" s="2"/>
      <c r="N13" s="19">
        <f t="shared" si="1"/>
        <v>0</v>
      </c>
      <c r="O13" s="10"/>
      <c r="P13" s="2">
        <f>-127703.96</f>
        <v>-127703.96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-127703.96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"4026", " - ", "TAXABLE SALES-WRITING INSTRUME")</f>
        <v xml:space="preserve">          4026 - TAXABLE SALES-WRITING INSTRUME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3" customFormat="1" hidden="1" outlineLevel="1" x14ac:dyDescent="0.25">
      <c r="A15" s="44"/>
      <c r="B15" s="10" t="str">
        <f>CONCATENATE("          ", "4027", " - ", "TAXABLE SALES-SCHOOL SUPPLIES")</f>
        <v xml:space="preserve">          4027 - TAXABLE SALES-SCHOOL SUPPLIES</v>
      </c>
      <c r="C15" s="10"/>
      <c r="D15" s="2">
        <f>--6013.61</f>
        <v>6013.61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6013.61</v>
      </c>
      <c r="M15" s="2"/>
      <c r="N15" s="19">
        <f t="shared" si="1"/>
        <v>0</v>
      </c>
      <c r="O15" s="10"/>
      <c r="P15" s="2">
        <f>--61680.34</f>
        <v>61680.34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61680.34</v>
      </c>
      <c r="Y15" s="2"/>
      <c r="Z15" s="19">
        <f t="shared" si="3"/>
        <v>0</v>
      </c>
    </row>
    <row r="16" spans="1:26" s="23" customFormat="1" hidden="1" outlineLevel="1" x14ac:dyDescent="0.25">
      <c r="A16" s="44"/>
      <c r="B16" s="10" t="str">
        <f>CONCATENATE("          ", "4028", " - ", "TAXABLE SALES-ART/TECH")</f>
        <v xml:space="preserve">          4028 - TAXABLE SALES-ART/TECH</v>
      </c>
      <c r="C16" s="10"/>
      <c r="D16" s="2">
        <f>--1495.15</f>
        <v>1495.15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1495.15</v>
      </c>
      <c r="M16" s="2"/>
      <c r="N16" s="19">
        <f t="shared" si="1"/>
        <v>0</v>
      </c>
      <c r="O16" s="10"/>
      <c r="P16" s="2">
        <f>--35887.03</f>
        <v>35887.03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35887.03</v>
      </c>
      <c r="Y16" s="2"/>
      <c r="Z16" s="19">
        <f t="shared" si="3"/>
        <v>0</v>
      </c>
    </row>
    <row r="17" spans="1:26" s="23" customFormat="1" hidden="1" outlineLevel="1" x14ac:dyDescent="0.25">
      <c r="A17" s="44"/>
      <c r="B17" s="10" t="str">
        <f>CONCATENATE("          ", "4031", " - ", "TAXABLE SALES-FOOD")</f>
        <v xml:space="preserve">          4031 - TAXABLE SALES-FOOD</v>
      </c>
      <c r="C17" s="10"/>
      <c r="D17" s="2">
        <f>--490.12</f>
        <v>490.12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490.12</v>
      </c>
      <c r="M17" s="2"/>
      <c r="N17" s="19">
        <f t="shared" si="1"/>
        <v>0</v>
      </c>
      <c r="O17" s="10"/>
      <c r="P17" s="2">
        <f>--4326.16</f>
        <v>4326.16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4326.16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"4034", " - ", "TAXABLE SALES-SODA")</f>
        <v xml:space="preserve">          4034 - TAXABLE SALES-SODA</v>
      </c>
      <c r="C18" s="10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"4040", " - ", "TAXABLE SALES-LOGO CLOTHING")</f>
        <v xml:space="preserve">          4040 - TAXABLE SALES-LOGO CLOTHING</v>
      </c>
      <c r="C19" s="10"/>
      <c r="D19" s="2">
        <f>--157116.65</f>
        <v>157116.65</v>
      </c>
      <c r="E19" s="2"/>
      <c r="F19" s="19"/>
      <c r="G19" s="2"/>
      <c r="H19" s="2">
        <f>--50806.72</f>
        <v>50806.720000000001</v>
      </c>
      <c r="I19" s="2"/>
      <c r="J19" s="19"/>
      <c r="K19" s="2"/>
      <c r="L19" s="2">
        <f t="shared" si="0"/>
        <v>106309.93</v>
      </c>
      <c r="M19" s="2"/>
      <c r="N19" s="19">
        <f t="shared" si="1"/>
        <v>2.0924383624843328</v>
      </c>
      <c r="O19" s="10"/>
      <c r="P19" s="2">
        <f>--858577.8</f>
        <v>858577.8</v>
      </c>
      <c r="Q19" s="2"/>
      <c r="R19" s="19"/>
      <c r="S19" s="2"/>
      <c r="T19" s="2">
        <f>--1533036.45</f>
        <v>1533036.45</v>
      </c>
      <c r="U19" s="2"/>
      <c r="V19" s="19"/>
      <c r="W19" s="2"/>
      <c r="X19" s="2">
        <f t="shared" si="2"/>
        <v>-674458.64999999991</v>
      </c>
      <c r="Y19" s="2"/>
      <c r="Z19" s="19">
        <f t="shared" si="3"/>
        <v>-0.43994951979126129</v>
      </c>
    </row>
    <row r="20" spans="1:26" s="23" customFormat="1" hidden="1" outlineLevel="1" x14ac:dyDescent="0.25">
      <c r="A20" s="44"/>
      <c r="B20" s="10" t="str">
        <f>CONCATENATE("          ", "4041", " - ", "TAXABLE SALES-LOGO GIFTS")</f>
        <v xml:space="preserve">          4041 - TAXABLE SALES-LOGO GIFTS</v>
      </c>
      <c r="C20" s="10"/>
      <c r="D20" s="2">
        <f>--186288</f>
        <v>186288</v>
      </c>
      <c r="E20" s="2"/>
      <c r="F20" s="19"/>
      <c r="G20" s="2"/>
      <c r="H20" s="2">
        <f>--44686.17</f>
        <v>44686.17</v>
      </c>
      <c r="I20" s="2"/>
      <c r="J20" s="19"/>
      <c r="K20" s="2"/>
      <c r="L20" s="2">
        <f t="shared" si="0"/>
        <v>141601.83000000002</v>
      </c>
      <c r="M20" s="2"/>
      <c r="N20" s="19">
        <f t="shared" si="1"/>
        <v>3.168806590495449</v>
      </c>
      <c r="O20" s="10"/>
      <c r="P20" s="2">
        <f>--502311.48</f>
        <v>502311.48</v>
      </c>
      <c r="Q20" s="2"/>
      <c r="R20" s="19"/>
      <c r="S20" s="2"/>
      <c r="T20" s="2">
        <f>--302567.67</f>
        <v>302567.67</v>
      </c>
      <c r="U20" s="2"/>
      <c r="V20" s="19"/>
      <c r="W20" s="2"/>
      <c r="X20" s="2">
        <f t="shared" si="2"/>
        <v>199743.81</v>
      </c>
      <c r="Y20" s="2"/>
      <c r="Z20" s="19">
        <f t="shared" si="3"/>
        <v>0.66016243572884048</v>
      </c>
    </row>
    <row r="21" spans="1:26" s="23" customFormat="1" hidden="1" outlineLevel="1" x14ac:dyDescent="0.25">
      <c r="A21" s="44"/>
      <c r="B21" s="10" t="str">
        <f>CONCATENATE("          ", "4042", " - ", "TAXABLE SALES-EVERYDAY GIFTS")</f>
        <v xml:space="preserve">          4042 - TAXABLE SALES-EVERYDAY GIFTS</v>
      </c>
      <c r="C21" s="10"/>
      <c r="D21" s="2">
        <f>--6323.77</f>
        <v>6323.77</v>
      </c>
      <c r="E21" s="2"/>
      <c r="F21" s="19"/>
      <c r="G21" s="2"/>
      <c r="H21" s="2">
        <f>--1342.97</f>
        <v>1342.97</v>
      </c>
      <c r="I21" s="2"/>
      <c r="J21" s="19"/>
      <c r="K21" s="2"/>
      <c r="L21" s="2">
        <f t="shared" si="0"/>
        <v>4980.8</v>
      </c>
      <c r="M21" s="2"/>
      <c r="N21" s="19">
        <f t="shared" si="1"/>
        <v>3.7087946864040151</v>
      </c>
      <c r="O21" s="10"/>
      <c r="P21" s="2">
        <f>--80711.2</f>
        <v>80711.199999999997</v>
      </c>
      <c r="Q21" s="2"/>
      <c r="R21" s="19"/>
      <c r="S21" s="2"/>
      <c r="T21" s="2">
        <f>--174913.27</f>
        <v>174913.27</v>
      </c>
      <c r="U21" s="2"/>
      <c r="V21" s="19"/>
      <c r="W21" s="2"/>
      <c r="X21" s="2">
        <f t="shared" si="2"/>
        <v>-94202.069999999992</v>
      </c>
      <c r="Y21" s="2"/>
      <c r="Z21" s="19">
        <f t="shared" si="3"/>
        <v>-0.53856445540123965</v>
      </c>
    </row>
    <row r="22" spans="1:26" s="23" customFormat="1" hidden="1" outlineLevel="1" x14ac:dyDescent="0.25">
      <c r="A22" s="44"/>
      <c r="B22" s="10" t="str">
        <f>CONCATENATE("          ", "4043", " - ", "TAXABLE SALES-CARDS")</f>
        <v xml:space="preserve">          4043 - TAXABLE SALES-CARDS</v>
      </c>
      <c r="C22" s="10"/>
      <c r="D22" s="2">
        <f>--7105.94</f>
        <v>7105.94</v>
      </c>
      <c r="E22" s="2"/>
      <c r="F22" s="19"/>
      <c r="G22" s="2"/>
      <c r="H22" s="2">
        <f>--49.95</f>
        <v>49.95</v>
      </c>
      <c r="I22" s="2"/>
      <c r="J22" s="19"/>
      <c r="K22" s="2"/>
      <c r="L22" s="2">
        <f t="shared" si="0"/>
        <v>7055.99</v>
      </c>
      <c r="M22" s="2"/>
      <c r="N22" s="19">
        <f t="shared" si="1"/>
        <v>141.26106106106104</v>
      </c>
      <c r="O22" s="10"/>
      <c r="P22" s="2">
        <f>--132965.39</f>
        <v>132965.39000000001</v>
      </c>
      <c r="Q22" s="2"/>
      <c r="R22" s="19"/>
      <c r="S22" s="2"/>
      <c r="T22" s="2">
        <f>--74803.44</f>
        <v>74803.44</v>
      </c>
      <c r="U22" s="2"/>
      <c r="V22" s="19"/>
      <c r="W22" s="2"/>
      <c r="X22" s="2">
        <f t="shared" si="2"/>
        <v>58161.950000000012</v>
      </c>
      <c r="Y22" s="2"/>
      <c r="Z22" s="19">
        <f t="shared" si="3"/>
        <v>0.77753041838717596</v>
      </c>
    </row>
    <row r="23" spans="1:26" s="23" customFormat="1" hidden="1" outlineLevel="1" x14ac:dyDescent="0.25">
      <c r="A23" s="44"/>
      <c r="B23" s="10" t="str">
        <f>CONCATENATE("          ", "4044", " - ", "TAXABLE SALES-ACCESSORIES")</f>
        <v xml:space="preserve">          4044 - TAXABLE SALES-ACCESSORIES</v>
      </c>
      <c r="C23" s="10"/>
      <c r="D23" s="2">
        <f>--4850.33</f>
        <v>4850.33</v>
      </c>
      <c r="E23" s="2"/>
      <c r="F23" s="19"/>
      <c r="G23" s="2"/>
      <c r="H23" s="2">
        <f>--3915.24</f>
        <v>3915.24</v>
      </c>
      <c r="I23" s="2"/>
      <c r="J23" s="19"/>
      <c r="K23" s="2"/>
      <c r="L23" s="2">
        <f t="shared" si="0"/>
        <v>935.09000000000015</v>
      </c>
      <c r="M23" s="2"/>
      <c r="N23" s="19">
        <f t="shared" si="1"/>
        <v>0.23883337930752654</v>
      </c>
      <c r="O23" s="10"/>
      <c r="P23" s="2">
        <f>--38141.31</f>
        <v>38141.31</v>
      </c>
      <c r="Q23" s="2"/>
      <c r="R23" s="19"/>
      <c r="S23" s="2"/>
      <c r="T23" s="2">
        <f>--66739.53</f>
        <v>66739.53</v>
      </c>
      <c r="U23" s="2"/>
      <c r="V23" s="19"/>
      <c r="W23" s="2"/>
      <c r="X23" s="2">
        <f t="shared" si="2"/>
        <v>-28598.22</v>
      </c>
      <c r="Y23" s="2"/>
      <c r="Z23" s="19">
        <f t="shared" si="3"/>
        <v>-0.42850496549795902</v>
      </c>
    </row>
    <row r="24" spans="1:26" s="23" customFormat="1" hidden="1" outlineLevel="1" x14ac:dyDescent="0.25">
      <c r="A24" s="44"/>
      <c r="B24" s="10" t="str">
        <f>CONCATENATE("          ", "4045", " - ", "TAXABLE SALES-SPECIAL ORDERS")</f>
        <v xml:space="preserve">          4045 - TAXABLE SALES-SPECIAL ORDERS</v>
      </c>
      <c r="C24" s="10"/>
      <c r="D24" s="2">
        <f>--26335.59</f>
        <v>26335.59</v>
      </c>
      <c r="E24" s="2"/>
      <c r="F24" s="19"/>
      <c r="G24" s="2"/>
      <c r="H24" s="2">
        <f>--13525.59</f>
        <v>13525.59</v>
      </c>
      <c r="I24" s="2"/>
      <c r="J24" s="19"/>
      <c r="K24" s="2"/>
      <c r="L24" s="2">
        <f t="shared" si="0"/>
        <v>12810</v>
      </c>
      <c r="M24" s="2"/>
      <c r="N24" s="19">
        <f t="shared" si="1"/>
        <v>0.947093620315269</v>
      </c>
      <c r="O24" s="10"/>
      <c r="P24" s="2">
        <f>--233251.56</f>
        <v>233251.56</v>
      </c>
      <c r="Q24" s="2"/>
      <c r="R24" s="19"/>
      <c r="S24" s="2"/>
      <c r="T24" s="2">
        <f>--96371.96</f>
        <v>96371.96</v>
      </c>
      <c r="U24" s="2"/>
      <c r="V24" s="19"/>
      <c r="W24" s="2"/>
      <c r="X24" s="2">
        <f t="shared" si="2"/>
        <v>136879.59999999998</v>
      </c>
      <c r="Y24" s="2"/>
      <c r="Z24" s="19">
        <f t="shared" si="3"/>
        <v>1.4203259952376186</v>
      </c>
    </row>
    <row r="25" spans="1:26" s="23" customFormat="1" hidden="1" outlineLevel="1" x14ac:dyDescent="0.25">
      <c r="A25" s="44"/>
      <c r="B25" s="10" t="str">
        <f>CONCATENATE("          ", "4126", " - ", "NON-TAXABLE SALES-WRITING INST")</f>
        <v xml:space="preserve">          4126 - NON-TAXABLE SALES-WRITING INST</v>
      </c>
      <c r="C25" s="10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3" customFormat="1" hidden="1" outlineLevel="1" x14ac:dyDescent="0.25">
      <c r="A26" s="44"/>
      <c r="B26" s="10" t="str">
        <f>CONCATENATE("          ", "4127", " - ", "NON-TAXABLE SALES-SCHOOL SUPPL")</f>
        <v xml:space="preserve">          4127 - NON-TAXABLE SALES-SCHOOL SUPPL</v>
      </c>
      <c r="C26" s="10"/>
      <c r="D26" s="2">
        <f>--548.05</f>
        <v>548.04999999999995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548.04999999999995</v>
      </c>
      <c r="M26" s="2"/>
      <c r="N26" s="19">
        <f t="shared" si="1"/>
        <v>0</v>
      </c>
      <c r="O26" s="10"/>
      <c r="P26" s="2">
        <f>--7648.73</f>
        <v>7648.73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7648.73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"4128", " - ", "NON-TAXABLE SALES-ART/TECH")</f>
        <v xml:space="preserve">          4128 - NON-TAXABLE SALES-ART/TECH</v>
      </c>
      <c r="C27" s="10"/>
      <c r="D27" s="2">
        <f>--45.96</f>
        <v>45.96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45.96</v>
      </c>
      <c r="M27" s="2"/>
      <c r="N27" s="19">
        <f t="shared" si="1"/>
        <v>0</v>
      </c>
      <c r="O27" s="10"/>
      <c r="P27" s="2">
        <f>--115.91</f>
        <v>115.91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3" customFormat="1" hidden="1" outlineLevel="1" x14ac:dyDescent="0.25">
      <c r="A28" s="44"/>
      <c r="B28" s="10" t="str">
        <f>CONCATENATE("          ", "4131", " - ", "NON-TAXABLE SALES-FOOD")</f>
        <v xml:space="preserve">          4131 - NON-TAXABLE SALES-FOOD</v>
      </c>
      <c r="C28" s="10"/>
      <c r="D28" s="2">
        <f>--772.78</f>
        <v>772.78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772.78</v>
      </c>
      <c r="M28" s="2"/>
      <c r="N28" s="19">
        <f t="shared" si="1"/>
        <v>0</v>
      </c>
      <c r="O28" s="10"/>
      <c r="P28" s="2">
        <f>--10245.98</f>
        <v>10245.98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10245.98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"4132", " - ", "NON-TAXABLE SALES-JUICE")</f>
        <v xml:space="preserve">          4132 - NON-TAXABLE SALES-JUICE</v>
      </c>
      <c r="C29" s="10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"4133", " - ", "NON-TAXABLE SALES-CANDY")</f>
        <v xml:space="preserve">          4133 - NON-TAXABLE SALES-CANDY</v>
      </c>
      <c r="C30" s="10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"4134", " - ", "NON-TAXABLE SALES-SODA")</f>
        <v xml:space="preserve">          4134 - NON-TAXABLE SALES-SODA</v>
      </c>
      <c r="C31" s="10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"4137", " - ", "NON-TAXABLE SALES-WATER")</f>
        <v xml:space="preserve">          4137 - NON-TAXABLE SALES-WATER</v>
      </c>
      <c r="C32" s="10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"4140", " - ", "NON-TAXABLE SALES-LOGO CLOTHIN")</f>
        <v xml:space="preserve">          4140 - NON-TAXABLE SALES-LOGO CLOTHIN</v>
      </c>
      <c r="C33" s="10"/>
      <c r="D33" s="2">
        <f>--16839.53</f>
        <v>16839.53</v>
      </c>
      <c r="E33" s="2"/>
      <c r="F33" s="19"/>
      <c r="G33" s="2"/>
      <c r="H33" s="2">
        <f>--56556.05</f>
        <v>56556.05</v>
      </c>
      <c r="I33" s="2"/>
      <c r="J33" s="19"/>
      <c r="K33" s="2"/>
      <c r="L33" s="2">
        <f t="shared" si="0"/>
        <v>-39716.520000000004</v>
      </c>
      <c r="M33" s="2"/>
      <c r="N33" s="19">
        <f t="shared" si="1"/>
        <v>-0.70225059918434907</v>
      </c>
      <c r="O33" s="10"/>
      <c r="P33" s="2">
        <f>--171307.58</f>
        <v>171307.58</v>
      </c>
      <c r="Q33" s="2"/>
      <c r="R33" s="19"/>
      <c r="S33" s="2"/>
      <c r="T33" s="2">
        <f>--135480.76</f>
        <v>135480.76</v>
      </c>
      <c r="U33" s="2"/>
      <c r="V33" s="19"/>
      <c r="W33" s="2"/>
      <c r="X33" s="2">
        <f t="shared" si="2"/>
        <v>35826.819999999978</v>
      </c>
      <c r="Y33" s="2"/>
      <c r="Z33" s="19">
        <f t="shared" si="3"/>
        <v>0.26444212447582943</v>
      </c>
    </row>
    <row r="34" spans="1:26" s="23" customFormat="1" hidden="1" outlineLevel="1" x14ac:dyDescent="0.25">
      <c r="A34" s="44"/>
      <c r="B34" s="10" t="str">
        <f>CONCATENATE("          ", "4141", " - ", "NON-TAXABLE SALES-LOGO GIFTS")</f>
        <v xml:space="preserve">          4141 - NON-TAXABLE SALES-LOGO GIFTS</v>
      </c>
      <c r="C34" s="10"/>
      <c r="D34" s="2">
        <f>--1882.42</f>
        <v>1882.42</v>
      </c>
      <c r="E34" s="2"/>
      <c r="F34" s="19"/>
      <c r="G34" s="2"/>
      <c r="H34" s="2">
        <f>--4127.98</f>
        <v>4127.9799999999996</v>
      </c>
      <c r="I34" s="2"/>
      <c r="J34" s="19"/>
      <c r="K34" s="2"/>
      <c r="L34" s="2">
        <f t="shared" si="0"/>
        <v>-2245.5599999999995</v>
      </c>
      <c r="M34" s="2"/>
      <c r="N34" s="19">
        <f t="shared" si="1"/>
        <v>-0.54398519372671372</v>
      </c>
      <c r="O34" s="10"/>
      <c r="P34" s="2">
        <f>--37399.99</f>
        <v>37399.99</v>
      </c>
      <c r="Q34" s="2"/>
      <c r="R34" s="19"/>
      <c r="S34" s="2"/>
      <c r="T34" s="2">
        <f>--16038.71</f>
        <v>16038.71</v>
      </c>
      <c r="U34" s="2"/>
      <c r="V34" s="19"/>
      <c r="W34" s="2"/>
      <c r="X34" s="2">
        <f t="shared" si="2"/>
        <v>21361.279999999999</v>
      </c>
      <c r="Y34" s="2"/>
      <c r="Z34" s="19">
        <f t="shared" si="3"/>
        <v>1.3318577366882998</v>
      </c>
    </row>
    <row r="35" spans="1:26" s="23" customFormat="1" hidden="1" outlineLevel="1" x14ac:dyDescent="0.25">
      <c r="A35" s="44"/>
      <c r="B35" s="10" t="str">
        <f>CONCATENATE("          ", "4142", " - ", "NON-TAXABLE SALES-EVERYDAY GIF")</f>
        <v xml:space="preserve">          4142 - NON-TAXABLE SALES-EVERYDAY GIF</v>
      </c>
      <c r="C35" s="10"/>
      <c r="D35" s="2">
        <f>--11.96</f>
        <v>11.96</v>
      </c>
      <c r="E35" s="2"/>
      <c r="F35" s="19"/>
      <c r="G35" s="2"/>
      <c r="H35" s="2">
        <f>--1204.14</f>
        <v>1204.1400000000001</v>
      </c>
      <c r="I35" s="2"/>
      <c r="J35" s="19"/>
      <c r="K35" s="2"/>
      <c r="L35" s="2">
        <f t="shared" si="0"/>
        <v>-1192.18</v>
      </c>
      <c r="M35" s="2"/>
      <c r="N35" s="19">
        <f t="shared" si="1"/>
        <v>-0.9900676001129437</v>
      </c>
      <c r="O35" s="10"/>
      <c r="P35" s="2">
        <f>--1467.37</f>
        <v>1467.37</v>
      </c>
      <c r="Q35" s="2"/>
      <c r="R35" s="19"/>
      <c r="S35" s="2"/>
      <c r="T35" s="2">
        <f>--5816.34</f>
        <v>5816.34</v>
      </c>
      <c r="U35" s="2"/>
      <c r="V35" s="19"/>
      <c r="W35" s="2"/>
      <c r="X35" s="2">
        <f t="shared" si="2"/>
        <v>-4348.97</v>
      </c>
      <c r="Y35" s="2"/>
      <c r="Z35" s="19">
        <f t="shared" si="3"/>
        <v>-0.74771591757015587</v>
      </c>
    </row>
    <row r="36" spans="1:26" s="23" customFormat="1" hidden="1" outlineLevel="1" x14ac:dyDescent="0.25">
      <c r="A36" s="44"/>
      <c r="B36" s="10" t="str">
        <f>CONCATENATE("          ", "4143", " - ", "NON-TAXABLE SALES-CARDS")</f>
        <v xml:space="preserve">          4143 - NON-TAXABLE SALES-CARDS</v>
      </c>
      <c r="C36" s="10"/>
      <c r="D36" s="2">
        <f>--120.71</f>
        <v>120.71</v>
      </c>
      <c r="E36" s="2"/>
      <c r="F36" s="19"/>
      <c r="G36" s="2"/>
      <c r="H36" s="2">
        <f>--19.98</f>
        <v>19.98</v>
      </c>
      <c r="I36" s="2"/>
      <c r="J36" s="19"/>
      <c r="K36" s="2"/>
      <c r="L36" s="2">
        <f t="shared" si="0"/>
        <v>100.72999999999999</v>
      </c>
      <c r="M36" s="2"/>
      <c r="N36" s="19">
        <f t="shared" si="1"/>
        <v>5.041541541541541</v>
      </c>
      <c r="O36" s="10"/>
      <c r="P36" s="2">
        <f>--2552.16</f>
        <v>2552.16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2532.1799999999998</v>
      </c>
      <c r="Y36" s="2"/>
      <c r="Z36" s="19">
        <f t="shared" si="3"/>
        <v>126.73573573573573</v>
      </c>
    </row>
    <row r="37" spans="1:26" s="23" customFormat="1" hidden="1" outlineLevel="1" x14ac:dyDescent="0.25">
      <c r="A37" s="44"/>
      <c r="B37" s="10" t="str">
        <f>CONCATENATE("          ", "4144", " - ", "NON-TAXABLE SALES-ACCESSORIES")</f>
        <v xml:space="preserve">          4144 - NON-TAXABLE SALES-ACCESSORIES</v>
      </c>
      <c r="C37" s="10"/>
      <c r="D37" s="2">
        <f>--164.7</f>
        <v>164.7</v>
      </c>
      <c r="E37" s="2"/>
      <c r="F37" s="19"/>
      <c r="G37" s="2"/>
      <c r="H37" s="2">
        <f>--984.35</f>
        <v>984.35</v>
      </c>
      <c r="I37" s="2"/>
      <c r="J37" s="19"/>
      <c r="K37" s="2"/>
      <c r="L37" s="2">
        <f t="shared" si="0"/>
        <v>-819.65000000000009</v>
      </c>
      <c r="M37" s="2"/>
      <c r="N37" s="19">
        <f t="shared" si="1"/>
        <v>-0.83268146492609341</v>
      </c>
      <c r="O37" s="10"/>
      <c r="P37" s="2">
        <f>--873.8</f>
        <v>873.8</v>
      </c>
      <c r="Q37" s="2"/>
      <c r="R37" s="19"/>
      <c r="S37" s="2"/>
      <c r="T37" s="2">
        <f>--3324.02</f>
        <v>3324.02</v>
      </c>
      <c r="U37" s="2"/>
      <c r="V37" s="19"/>
      <c r="W37" s="2"/>
      <c r="X37" s="2">
        <f t="shared" si="2"/>
        <v>-2450.2200000000003</v>
      </c>
      <c r="Y37" s="2"/>
      <c r="Z37" s="19">
        <f t="shared" si="3"/>
        <v>-0.737125528727264</v>
      </c>
    </row>
    <row r="38" spans="1:26" s="23" customFormat="1" hidden="1" outlineLevel="1" x14ac:dyDescent="0.25">
      <c r="A38" s="44"/>
      <c r="B38" s="10" t="str">
        <f>CONCATENATE("          ", "4145", " - ", "NON-TAXABLE SALES-SPECIAL ORDE")</f>
        <v xml:space="preserve">          4145 - NON-TAXABLE SALES-SPECIAL ORDE</v>
      </c>
      <c r="C38" s="10"/>
      <c r="D38" s="2">
        <f t="shared" ref="D38:D39" si="9">0</f>
        <v>0</v>
      </c>
      <c r="E38" s="2"/>
      <c r="F38" s="19"/>
      <c r="G38" s="2"/>
      <c r="H38" s="2">
        <f>--7688.68</f>
        <v>7688.68</v>
      </c>
      <c r="I38" s="2"/>
      <c r="J38" s="19"/>
      <c r="K38" s="2"/>
      <c r="L38" s="2">
        <f t="shared" si="0"/>
        <v>-7688.68</v>
      </c>
      <c r="M38" s="2"/>
      <c r="N38" s="19">
        <f t="shared" si="1"/>
        <v>-1</v>
      </c>
      <c r="O38" s="10"/>
      <c r="P38" s="2">
        <f>--74059.89</f>
        <v>74059.89</v>
      </c>
      <c r="Q38" s="2"/>
      <c r="R38" s="19"/>
      <c r="S38" s="2"/>
      <c r="T38" s="2">
        <f>--7828.68</f>
        <v>7828.68</v>
      </c>
      <c r="U38" s="2"/>
      <c r="V38" s="19"/>
      <c r="W38" s="2"/>
      <c r="X38" s="2">
        <f t="shared" si="2"/>
        <v>66231.209999999992</v>
      </c>
      <c r="Y38" s="2"/>
      <c r="Z38" s="19">
        <f t="shared" si="3"/>
        <v>8.4600737289044883</v>
      </c>
    </row>
    <row r="39" spans="1:26" s="23" customFormat="1" hidden="1" outlineLevel="1" x14ac:dyDescent="0.25">
      <c r="A39" s="44"/>
      <c r="B39" s="10" t="str">
        <f>CONCATENATE("          ", "4226", " - ", "SALES RETURN TAXABLE-WRITING I")</f>
        <v xml:space="preserve">          4226 - SALES RETURN TAXABLE-WRITING I</v>
      </c>
      <c r="C39" s="10"/>
      <c r="D39" s="2">
        <f t="shared" si="9"/>
        <v>0</v>
      </c>
      <c r="E39" s="2"/>
      <c r="F39" s="19"/>
      <c r="G39" s="2"/>
      <c r="H39" s="2">
        <f t="shared" ref="H39:H41" si="10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-6.38</f>
        <v>-6.38</v>
      </c>
      <c r="Q39" s="2"/>
      <c r="R39" s="19"/>
      <c r="S39" s="2"/>
      <c r="T39" s="2">
        <f t="shared" ref="T39:T41" si="11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3" customFormat="1" hidden="1" outlineLevel="1" x14ac:dyDescent="0.25">
      <c r="A40" s="44"/>
      <c r="B40" s="10" t="str">
        <f>CONCATENATE("          ", "4227", " - ", "SALES RETURN TAXABLE-SCHOOL SU")</f>
        <v xml:space="preserve">          4227 - SALES RETURN TAXABLE-SCHOOL SU</v>
      </c>
      <c r="C40" s="10"/>
      <c r="D40" s="2">
        <f>-137.82</f>
        <v>-137.82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-137.82</v>
      </c>
      <c r="M40" s="2"/>
      <c r="N40" s="19">
        <f t="shared" si="1"/>
        <v>0</v>
      </c>
      <c r="O40" s="10"/>
      <c r="P40" s="2">
        <f>-1281.3</f>
        <v>-1281.3</v>
      </c>
      <c r="Q40" s="2"/>
      <c r="R40" s="19"/>
      <c r="S40" s="2"/>
      <c r="T40" s="2">
        <f t="shared" si="11"/>
        <v>0</v>
      </c>
      <c r="U40" s="2"/>
      <c r="V40" s="19"/>
      <c r="W40" s="2"/>
      <c r="X40" s="2">
        <f t="shared" si="2"/>
        <v>-1281.3</v>
      </c>
      <c r="Y40" s="2"/>
      <c r="Z40" s="19">
        <f t="shared" si="3"/>
        <v>0</v>
      </c>
    </row>
    <row r="41" spans="1:26" s="23" customFormat="1" hidden="1" outlineLevel="1" x14ac:dyDescent="0.25">
      <c r="A41" s="44"/>
      <c r="B41" s="10" t="str">
        <f>CONCATENATE("          ", "4228", " - ", "SALES RETURN TAXABLE-ART/TECH")</f>
        <v xml:space="preserve">          4228 - SALES RETURN TAXABLE-ART/TECH</v>
      </c>
      <c r="C41" s="10"/>
      <c r="D41" s="2">
        <f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>-12751.53</f>
        <v>-12751.53</v>
      </c>
      <c r="Q41" s="2"/>
      <c r="R41" s="19"/>
      <c r="S41" s="2"/>
      <c r="T41" s="2">
        <f t="shared" si="11"/>
        <v>0</v>
      </c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3" customFormat="1" hidden="1" outlineLevel="1" x14ac:dyDescent="0.25">
      <c r="A42" s="44"/>
      <c r="B42" s="10" t="str">
        <f>CONCATENATE("          ", "4240", " - ", "SALES RETURN TAXABLE-LOGO CLOT")</f>
        <v xml:space="preserve">          4240 - SALES RETURN TAXABLE-LOGO CLOT</v>
      </c>
      <c r="C42" s="10"/>
      <c r="D42" s="2">
        <f>-5729.02</f>
        <v>-5729.02</v>
      </c>
      <c r="E42" s="2"/>
      <c r="F42" s="19"/>
      <c r="G42" s="2"/>
      <c r="H42" s="2">
        <f>-3229.58</f>
        <v>-3229.58</v>
      </c>
      <c r="I42" s="2"/>
      <c r="J42" s="19"/>
      <c r="K42" s="2"/>
      <c r="L42" s="2">
        <f t="shared" si="0"/>
        <v>-2499.4400000000005</v>
      </c>
      <c r="M42" s="2"/>
      <c r="N42" s="19">
        <f t="shared" si="1"/>
        <v>0.77392106713566489</v>
      </c>
      <c r="O42" s="10"/>
      <c r="P42" s="2">
        <f>-37199.06</f>
        <v>-37199.06</v>
      </c>
      <c r="Q42" s="2"/>
      <c r="R42" s="19"/>
      <c r="S42" s="2"/>
      <c r="T42" s="2">
        <f>-61562.58</f>
        <v>-61562.58</v>
      </c>
      <c r="U42" s="2"/>
      <c r="V42" s="19"/>
      <c r="W42" s="2"/>
      <c r="X42" s="2">
        <f t="shared" si="2"/>
        <v>24363.520000000004</v>
      </c>
      <c r="Y42" s="2"/>
      <c r="Z42" s="19">
        <f t="shared" si="3"/>
        <v>-0.39575209486022195</v>
      </c>
    </row>
    <row r="43" spans="1:26" s="23" customFormat="1" hidden="1" outlineLevel="1" x14ac:dyDescent="0.25">
      <c r="A43" s="44"/>
      <c r="B43" s="10" t="str">
        <f>CONCATENATE("          ", "4241", " - ", "SALES RETURN TAXABLE-LOGO GIFT")</f>
        <v xml:space="preserve">          4241 - SALES RETURN TAXABLE-LOGO GIFT</v>
      </c>
      <c r="C43" s="10"/>
      <c r="D43" s="2">
        <f>-4446.08</f>
        <v>-4446.08</v>
      </c>
      <c r="E43" s="2"/>
      <c r="F43" s="19"/>
      <c r="G43" s="2"/>
      <c r="H43" s="2">
        <f>-1133.39</f>
        <v>-1133.3900000000001</v>
      </c>
      <c r="I43" s="2"/>
      <c r="J43" s="19"/>
      <c r="K43" s="2"/>
      <c r="L43" s="2">
        <f t="shared" si="0"/>
        <v>-3312.6899999999996</v>
      </c>
      <c r="M43" s="2"/>
      <c r="N43" s="19">
        <f t="shared" si="1"/>
        <v>2.9228156239246856</v>
      </c>
      <c r="O43" s="10"/>
      <c r="P43" s="2">
        <f>-14687.63</f>
        <v>-14687.63</v>
      </c>
      <c r="Q43" s="2"/>
      <c r="R43" s="19"/>
      <c r="S43" s="2"/>
      <c r="T43" s="2">
        <f>-5145.76</f>
        <v>-5145.76</v>
      </c>
      <c r="U43" s="2"/>
      <c r="V43" s="19"/>
      <c r="W43" s="2"/>
      <c r="X43" s="2">
        <f t="shared" si="2"/>
        <v>-9541.869999999999</v>
      </c>
      <c r="Y43" s="2"/>
      <c r="Z43" s="19">
        <f t="shared" si="3"/>
        <v>1.8543169522091971</v>
      </c>
    </row>
    <row r="44" spans="1:26" s="23" customFormat="1" hidden="1" outlineLevel="1" x14ac:dyDescent="0.25">
      <c r="A44" s="44"/>
      <c r="B44" s="10" t="str">
        <f>CONCATENATE("          ", "4242", " - ", "SALES RETURN TAXABLE-EVERYDAY")</f>
        <v xml:space="preserve">          4242 - SALES RETURN TAXABLE-EVERYDAY</v>
      </c>
      <c r="C44" s="10"/>
      <c r="D44" s="2">
        <f>-107</f>
        <v>-107</v>
      </c>
      <c r="E44" s="2"/>
      <c r="F44" s="19"/>
      <c r="G44" s="2"/>
      <c r="H44" s="2">
        <f t="shared" ref="H44:H45" si="12">0</f>
        <v>0</v>
      </c>
      <c r="I44" s="2"/>
      <c r="J44" s="19"/>
      <c r="K44" s="2"/>
      <c r="L44" s="2">
        <f t="shared" si="0"/>
        <v>-107</v>
      </c>
      <c r="M44" s="2"/>
      <c r="N44" s="19">
        <f t="shared" si="1"/>
        <v>0</v>
      </c>
      <c r="O44" s="10"/>
      <c r="P44" s="2">
        <f>-2417.03</f>
        <v>-2417.0300000000002</v>
      </c>
      <c r="Q44" s="2"/>
      <c r="R44" s="19"/>
      <c r="S44" s="2"/>
      <c r="T44" s="2">
        <f>-3103.4</f>
        <v>-3103.4</v>
      </c>
      <c r="U44" s="2"/>
      <c r="V44" s="19"/>
      <c r="W44" s="2"/>
      <c r="X44" s="2">
        <f t="shared" si="2"/>
        <v>686.36999999999989</v>
      </c>
      <c r="Y44" s="2"/>
      <c r="Z44" s="19">
        <f t="shared" si="3"/>
        <v>-0.22116710704388731</v>
      </c>
    </row>
    <row r="45" spans="1:26" s="23" customFormat="1" hidden="1" outlineLevel="1" x14ac:dyDescent="0.25">
      <c r="A45" s="44"/>
      <c r="B45" s="10" t="str">
        <f>CONCATENATE("          ", "4243", " - ", "SALES RETURN TAXABLE-CARDS")</f>
        <v xml:space="preserve">          4243 - SALES RETURN TAXABLE-CARDS</v>
      </c>
      <c r="C45" s="10"/>
      <c r="D45" s="2">
        <f>-76.9</f>
        <v>-76.900000000000006</v>
      </c>
      <c r="E45" s="2"/>
      <c r="F45" s="19"/>
      <c r="G45" s="2"/>
      <c r="H45" s="2">
        <f t="shared" si="12"/>
        <v>0</v>
      </c>
      <c r="I45" s="2"/>
      <c r="J45" s="19"/>
      <c r="K45" s="2"/>
      <c r="L45" s="2">
        <f t="shared" si="0"/>
        <v>-76.900000000000006</v>
      </c>
      <c r="M45" s="2"/>
      <c r="N45" s="19">
        <f t="shared" si="1"/>
        <v>0</v>
      </c>
      <c r="O45" s="10"/>
      <c r="P45" s="2">
        <f>-6218.99</f>
        <v>-6218.99</v>
      </c>
      <c r="Q45" s="2"/>
      <c r="R45" s="19"/>
      <c r="S45" s="2"/>
      <c r="T45" s="2">
        <f>-3006.31</f>
        <v>-3006.31</v>
      </c>
      <c r="U45" s="2"/>
      <c r="V45" s="19"/>
      <c r="W45" s="2"/>
      <c r="X45" s="2">
        <f t="shared" si="2"/>
        <v>-3212.68</v>
      </c>
      <c r="Y45" s="2"/>
      <c r="Z45" s="19">
        <f t="shared" si="3"/>
        <v>1.0686456153889652</v>
      </c>
    </row>
    <row r="46" spans="1:26" s="23" customFormat="1" hidden="1" outlineLevel="1" x14ac:dyDescent="0.25">
      <c r="A46" s="44"/>
      <c r="B46" s="10" t="str">
        <f>CONCATENATE("          ", "4244", " - ", "SALES RETURN TAXABLE-ACCESSORI")</f>
        <v xml:space="preserve">          4244 - SALES RETURN TAXABLE-ACCESSORI</v>
      </c>
      <c r="C46" s="10"/>
      <c r="D46" s="2">
        <f>-7.46</f>
        <v>-7.46</v>
      </c>
      <c r="E46" s="2"/>
      <c r="F46" s="19"/>
      <c r="G46" s="2"/>
      <c r="H46" s="2">
        <f>-255.71</f>
        <v>-255.71</v>
      </c>
      <c r="I46" s="2"/>
      <c r="J46" s="19"/>
      <c r="K46" s="2"/>
      <c r="L46" s="2">
        <f t="shared" si="0"/>
        <v>248.25</v>
      </c>
      <c r="M46" s="2"/>
      <c r="N46" s="19">
        <f t="shared" si="1"/>
        <v>-0.97082632669821278</v>
      </c>
      <c r="O46" s="10"/>
      <c r="P46" s="2">
        <f>-1208.08</f>
        <v>-1208.08</v>
      </c>
      <c r="Q46" s="2"/>
      <c r="R46" s="19"/>
      <c r="S46" s="2"/>
      <c r="T46" s="2">
        <f>-2595.61</f>
        <v>-2595.61</v>
      </c>
      <c r="U46" s="2"/>
      <c r="V46" s="19"/>
      <c r="W46" s="2"/>
      <c r="X46" s="2">
        <f t="shared" si="2"/>
        <v>1387.5300000000002</v>
      </c>
      <c r="Y46" s="2"/>
      <c r="Z46" s="19">
        <f t="shared" si="3"/>
        <v>-0.5345679820928414</v>
      </c>
    </row>
    <row r="47" spans="1:26" s="23" customFormat="1" hidden="1" outlineLevel="1" x14ac:dyDescent="0.25">
      <c r="A47" s="44"/>
      <c r="B47" s="10" t="str">
        <f>CONCATENATE("          ", "4245", " - ", "SALES RETURN TAXABLE-SPECIAL O")</f>
        <v xml:space="preserve">          4245 - SALES RETURN TAXABLE-SPECIAL O</v>
      </c>
      <c r="C47" s="10"/>
      <c r="D47" s="2">
        <f>-36</f>
        <v>-36</v>
      </c>
      <c r="E47" s="2"/>
      <c r="F47" s="19"/>
      <c r="G47" s="2"/>
      <c r="H47" s="2">
        <f>-175</f>
        <v>-175</v>
      </c>
      <c r="I47" s="2"/>
      <c r="J47" s="19"/>
      <c r="K47" s="2"/>
      <c r="L47" s="2">
        <f t="shared" si="0"/>
        <v>139</v>
      </c>
      <c r="M47" s="2"/>
      <c r="N47" s="19">
        <f t="shared" si="1"/>
        <v>-0.79428571428571426</v>
      </c>
      <c r="O47" s="10"/>
      <c r="P47" s="2">
        <f>-15453.73</f>
        <v>-15453.73</v>
      </c>
      <c r="Q47" s="2"/>
      <c r="R47" s="19"/>
      <c r="S47" s="2"/>
      <c r="T47" s="2">
        <f>-1900.04</f>
        <v>-1900.04</v>
      </c>
      <c r="U47" s="2"/>
      <c r="V47" s="19"/>
      <c r="W47" s="2"/>
      <c r="X47" s="2">
        <f t="shared" si="2"/>
        <v>-13553.689999999999</v>
      </c>
      <c r="Y47" s="2"/>
      <c r="Z47" s="19">
        <f t="shared" si="3"/>
        <v>7.1333708764026014</v>
      </c>
    </row>
    <row r="48" spans="1:26" s="23" customFormat="1" hidden="1" outlineLevel="1" x14ac:dyDescent="0.25">
      <c r="A48" s="44"/>
      <c r="B48" s="10" t="str">
        <f>CONCATENATE("          ", "4327", " - ", "SALES RETURN NON TAXABLE-SCHOO")</f>
        <v xml:space="preserve">          4327 - SALES RETURN NON TAXABLE-SCHOO</v>
      </c>
      <c r="C48" s="10"/>
      <c r="D48" s="2">
        <f>-17.41</f>
        <v>-17.41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-17.41</v>
      </c>
      <c r="M48" s="2"/>
      <c r="N48" s="19">
        <f t="shared" si="1"/>
        <v>0</v>
      </c>
      <c r="O48" s="10"/>
      <c r="P48" s="2">
        <f>-17.41</f>
        <v>-17.41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3" customFormat="1" hidden="1" outlineLevel="1" x14ac:dyDescent="0.25">
      <c r="A49" s="44"/>
      <c r="B49" s="10" t="str">
        <f>CONCATENATE("          ", "4340", " - ", "SALES RETURN NON TAXABLE-LOGO")</f>
        <v xml:space="preserve">          4340 - SALES RETURN NON TAXABLE-LOGO</v>
      </c>
      <c r="C49" s="10"/>
      <c r="D49" s="2">
        <f>-143.74</f>
        <v>-143.74</v>
      </c>
      <c r="E49" s="2"/>
      <c r="F49" s="19"/>
      <c r="G49" s="2"/>
      <c r="H49" s="2">
        <f>-598.43</f>
        <v>-598.42999999999995</v>
      </c>
      <c r="I49" s="2"/>
      <c r="J49" s="19"/>
      <c r="K49" s="2"/>
      <c r="L49" s="2">
        <f t="shared" si="0"/>
        <v>454.68999999999994</v>
      </c>
      <c r="M49" s="2"/>
      <c r="N49" s="19">
        <f t="shared" si="1"/>
        <v>-0.7598048226191868</v>
      </c>
      <c r="O49" s="10"/>
      <c r="P49" s="2">
        <f>-3451.26</f>
        <v>-3451.26</v>
      </c>
      <c r="Q49" s="2"/>
      <c r="R49" s="19"/>
      <c r="S49" s="2"/>
      <c r="T49" s="2">
        <f>-1618.83</f>
        <v>-1618.83</v>
      </c>
      <c r="U49" s="2"/>
      <c r="V49" s="19"/>
      <c r="W49" s="2"/>
      <c r="X49" s="2">
        <f t="shared" si="2"/>
        <v>-1832.4300000000003</v>
      </c>
      <c r="Y49" s="2"/>
      <c r="Z49" s="19">
        <f t="shared" si="3"/>
        <v>1.131947147013584</v>
      </c>
    </row>
    <row r="50" spans="1:26" s="23" customFormat="1" hidden="1" outlineLevel="1" x14ac:dyDescent="0.25">
      <c r="A50" s="44"/>
      <c r="B50" s="10" t="str">
        <f>CONCATENATE("          ", "4341", " - ", "SALES RETURN NON TAXABLE-LOGO")</f>
        <v xml:space="preserve">          4341 - SALES RETURN NON TAXABLE-LOGO</v>
      </c>
      <c r="C50" s="10"/>
      <c r="D50" s="2">
        <f t="shared" ref="D50:D51" si="13">0</f>
        <v>0</v>
      </c>
      <c r="E50" s="2"/>
      <c r="F50" s="19"/>
      <c r="G50" s="2"/>
      <c r="H50" s="2">
        <f>-39.95</f>
        <v>-39.950000000000003</v>
      </c>
      <c r="I50" s="2"/>
      <c r="J50" s="19"/>
      <c r="K50" s="2"/>
      <c r="L50" s="2">
        <f t="shared" si="0"/>
        <v>39.950000000000003</v>
      </c>
      <c r="M50" s="2"/>
      <c r="N50" s="19">
        <f t="shared" si="1"/>
        <v>-1</v>
      </c>
      <c r="O50" s="10"/>
      <c r="P50" s="2">
        <f>-391.24</f>
        <v>-391.24</v>
      </c>
      <c r="Q50" s="2"/>
      <c r="R50" s="19"/>
      <c r="S50" s="2"/>
      <c r="T50" s="2">
        <f>-285.45</f>
        <v>-285.45</v>
      </c>
      <c r="U50" s="2"/>
      <c r="V50" s="19"/>
      <c r="W50" s="2"/>
      <c r="X50" s="2">
        <f t="shared" si="2"/>
        <v>-105.79000000000002</v>
      </c>
      <c r="Y50" s="2"/>
      <c r="Z50" s="19">
        <f t="shared" si="3"/>
        <v>0.3706078122263094</v>
      </c>
    </row>
    <row r="51" spans="1:26" s="23" customFormat="1" hidden="1" outlineLevel="1" x14ac:dyDescent="0.25">
      <c r="A51" s="44"/>
      <c r="B51" s="10" t="str">
        <f>CONCATENATE("          ", "4342", " - ", "SALES RETURN NON TAXABLE-EVERY")</f>
        <v xml:space="preserve">          4342 - SALES RETURN NON TAXABLE-EVERY</v>
      </c>
      <c r="C51" s="10"/>
      <c r="D51" s="2">
        <f t="shared" si="13"/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-118.7</f>
        <v>-118.7</v>
      </c>
      <c r="Q51" s="2"/>
      <c r="R51" s="19"/>
      <c r="S51" s="2"/>
      <c r="T51" s="2">
        <f>-109.8</f>
        <v>-109.8</v>
      </c>
      <c r="U51" s="2"/>
      <c r="V51" s="19"/>
      <c r="W51" s="2"/>
      <c r="X51" s="2">
        <f t="shared" si="2"/>
        <v>-8.9000000000000057</v>
      </c>
      <c r="Y51" s="2"/>
      <c r="Z51" s="19">
        <f t="shared" si="3"/>
        <v>8.1056466302367999E-2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collapsed="1" x14ac:dyDescent="0.25">
      <c r="A53" s="11"/>
      <c r="B53" s="29" t="s">
        <v>256</v>
      </c>
      <c r="C53" s="11"/>
      <c r="D53" s="4">
        <f>SUM(OSRRefD16x_0)</f>
        <v>175207</v>
      </c>
      <c r="E53" s="4"/>
      <c r="F53" s="13">
        <f t="shared" ref="F53:F78" si="14">IF(D$12=0,0,D53/D$12)</f>
        <v>0.44309297494545896</v>
      </c>
      <c r="G53" s="4"/>
      <c r="H53" s="4">
        <f>SUM(OSRRefH16x_0)</f>
        <v>89971.280000000013</v>
      </c>
      <c r="I53" s="4"/>
      <c r="J53" s="13">
        <f t="shared" ref="J53:J78" si="15">IF(H$12=0,0,H53/H$12)</f>
        <v>0.50130045416718105</v>
      </c>
      <c r="K53" s="4"/>
      <c r="L53" s="4">
        <f t="shared" ref="L53:L78" si="16">+D53-H53</f>
        <v>85235.719999999987</v>
      </c>
      <c r="M53" s="4"/>
      <c r="N53" s="13">
        <f t="shared" ref="N53:N78" si="17">IF(H53=0,0,L53/H53)</f>
        <v>0.94736587053112919</v>
      </c>
      <c r="O53" s="11"/>
      <c r="P53" s="4">
        <f>SUM(OSRRefP16x_0)</f>
        <v>1090522.5399999998</v>
      </c>
      <c r="Q53" s="4"/>
      <c r="R53" s="13">
        <f t="shared" ref="R53:R78" si="18">IF(P$12=0,0,P53/P$12)</f>
        <v>0.53691048379676276</v>
      </c>
      <c r="S53" s="4"/>
      <c r="T53" s="4">
        <f>SUM(OSRRefT16x_0)</f>
        <v>1097477.5000000002</v>
      </c>
      <c r="U53" s="4"/>
      <c r="V53" s="13">
        <f t="shared" ref="V53:V78" si="19">IF(T$12=0,0,T53/T$12)</f>
        <v>0.46948638885709842</v>
      </c>
      <c r="W53" s="4"/>
      <c r="X53" s="4">
        <f t="shared" ref="X53:X78" si="20">+P53-T53</f>
        <v>-6954.9600000004284</v>
      </c>
      <c r="Y53" s="4"/>
      <c r="Z53" s="13">
        <f t="shared" ref="Z53:Z78" si="21">IF(T53=0,0,X53/T53)</f>
        <v>-6.337223314373577E-3</v>
      </c>
    </row>
    <row r="54" spans="1:26" s="23" customFormat="1" hidden="1" outlineLevel="1" x14ac:dyDescent="0.25">
      <c r="A54" s="44"/>
      <c r="B54" s="10" t="str">
        <f>CONCATENATE("          ", "5000", " - ", "PURCHASES @ COST")</f>
        <v xml:space="preserve">          5000 - PURCHASES @ COST</v>
      </c>
      <c r="C54" s="10"/>
      <c r="D54" s="2"/>
      <c r="E54" s="2"/>
      <c r="F54" s="19">
        <f t="shared" si="14"/>
        <v>0</v>
      </c>
      <c r="G54" s="2"/>
      <c r="H54" s="2"/>
      <c r="I54" s="2"/>
      <c r="J54" s="19">
        <f t="shared" si="15"/>
        <v>0</v>
      </c>
      <c r="K54" s="2"/>
      <c r="L54" s="2">
        <f t="shared" si="16"/>
        <v>0</v>
      </c>
      <c r="M54" s="2"/>
      <c r="N54" s="19">
        <f t="shared" si="17"/>
        <v>0</v>
      </c>
      <c r="O54" s="10"/>
      <c r="P54" s="2"/>
      <c r="Q54" s="2"/>
      <c r="R54" s="19">
        <f t="shared" si="18"/>
        <v>0</v>
      </c>
      <c r="S54" s="2"/>
      <c r="T54" s="2">
        <v>0</v>
      </c>
      <c r="U54" s="2"/>
      <c r="V54" s="19">
        <f t="shared" si="19"/>
        <v>0</v>
      </c>
      <c r="W54" s="2"/>
      <c r="X54" s="2">
        <f t="shared" si="20"/>
        <v>0</v>
      </c>
      <c r="Y54" s="2"/>
      <c r="Z54" s="19">
        <f t="shared" si="21"/>
        <v>0</v>
      </c>
    </row>
    <row r="55" spans="1:26" s="23" customFormat="1" hidden="1" outlineLevel="1" x14ac:dyDescent="0.25">
      <c r="A55" s="44"/>
      <c r="B55" s="10" t="str">
        <f>CONCATENATE("          ", "5025", " - ", "PURCHASES @ COST-TEST FORMS")</f>
        <v xml:space="preserve">          5025 - PURCHASES @ COST-TEST FORMS</v>
      </c>
      <c r="C55" s="10"/>
      <c r="D55" s="2"/>
      <c r="E55" s="2"/>
      <c r="F55" s="19">
        <f t="shared" si="14"/>
        <v>0</v>
      </c>
      <c r="G55" s="2"/>
      <c r="H55" s="2"/>
      <c r="I55" s="2"/>
      <c r="J55" s="19">
        <f t="shared" si="15"/>
        <v>0</v>
      </c>
      <c r="K55" s="2"/>
      <c r="L55" s="2">
        <f t="shared" si="16"/>
        <v>0</v>
      </c>
      <c r="M55" s="2"/>
      <c r="N55" s="19">
        <f t="shared" si="17"/>
        <v>0</v>
      </c>
      <c r="O55" s="10"/>
      <c r="P55" s="2">
        <v>599.29</v>
      </c>
      <c r="Q55" s="2"/>
      <c r="R55" s="19">
        <f t="shared" si="18"/>
        <v>2.9505587645585208E-4</v>
      </c>
      <c r="S55" s="2"/>
      <c r="T55" s="2"/>
      <c r="U55" s="2"/>
      <c r="V55" s="19">
        <f t="shared" si="19"/>
        <v>0</v>
      </c>
      <c r="W55" s="2"/>
      <c r="X55" s="2">
        <f t="shared" si="20"/>
        <v>599.29</v>
      </c>
      <c r="Y55" s="2"/>
      <c r="Z55" s="19">
        <f t="shared" si="21"/>
        <v>0</v>
      </c>
    </row>
    <row r="56" spans="1:26" s="23" customFormat="1" hidden="1" outlineLevel="1" x14ac:dyDescent="0.25">
      <c r="A56" s="44"/>
      <c r="B56" s="10" t="str">
        <f>CONCATENATE("          ", "5026", " - ", "PURCHASES @ COST-WRITING INSTR")</f>
        <v xml:space="preserve">          5026 - PURCHASES @ COST-WRITING INSTR</v>
      </c>
      <c r="C56" s="10"/>
      <c r="D56" s="2"/>
      <c r="E56" s="2"/>
      <c r="F56" s="19">
        <f t="shared" si="14"/>
        <v>0</v>
      </c>
      <c r="G56" s="2"/>
      <c r="H56" s="2"/>
      <c r="I56" s="2"/>
      <c r="J56" s="19">
        <f t="shared" si="15"/>
        <v>0</v>
      </c>
      <c r="K56" s="2"/>
      <c r="L56" s="2">
        <f t="shared" si="16"/>
        <v>0</v>
      </c>
      <c r="M56" s="2"/>
      <c r="N56" s="19">
        <f t="shared" si="17"/>
        <v>0</v>
      </c>
      <c r="O56" s="10"/>
      <c r="P56" s="2">
        <v>219.64</v>
      </c>
      <c r="Q56" s="2"/>
      <c r="R56" s="19">
        <f t="shared" si="18"/>
        <v>1.0813808457468562E-4</v>
      </c>
      <c r="S56" s="2"/>
      <c r="T56" s="2"/>
      <c r="U56" s="2"/>
      <c r="V56" s="19">
        <f t="shared" si="19"/>
        <v>0</v>
      </c>
      <c r="W56" s="2"/>
      <c r="X56" s="2">
        <f t="shared" si="20"/>
        <v>219.64</v>
      </c>
      <c r="Y56" s="2"/>
      <c r="Z56" s="19">
        <f t="shared" si="21"/>
        <v>0</v>
      </c>
    </row>
    <row r="57" spans="1:26" s="23" customFormat="1" hidden="1" outlineLevel="1" x14ac:dyDescent="0.25">
      <c r="A57" s="44"/>
      <c r="B57" s="10" t="str">
        <f>CONCATENATE("          ", "5027", " - ", "PURCHASES @ COST-SCHOOL SUPPLI")</f>
        <v xml:space="preserve">          5027 - PURCHASES @ COST-SCHOOL SUPPLI</v>
      </c>
      <c r="C57" s="10"/>
      <c r="D57" s="2">
        <v>0.39</v>
      </c>
      <c r="E57" s="2"/>
      <c r="F57" s="19">
        <f t="shared" si="14"/>
        <v>9.8629769489078059E-7</v>
      </c>
      <c r="G57" s="2"/>
      <c r="H57" s="2"/>
      <c r="I57" s="2"/>
      <c r="J57" s="19">
        <f t="shared" si="15"/>
        <v>0</v>
      </c>
      <c r="K57" s="2"/>
      <c r="L57" s="2">
        <f t="shared" si="16"/>
        <v>0.39</v>
      </c>
      <c r="M57" s="2"/>
      <c r="N57" s="19">
        <f t="shared" si="17"/>
        <v>0</v>
      </c>
      <c r="O57" s="10"/>
      <c r="P57" s="2">
        <v>22839.52</v>
      </c>
      <c r="Q57" s="2"/>
      <c r="R57" s="19">
        <f t="shared" si="18"/>
        <v>1.1244864074873538E-2</v>
      </c>
      <c r="S57" s="2"/>
      <c r="T57" s="2"/>
      <c r="U57" s="2"/>
      <c r="V57" s="19">
        <f t="shared" si="19"/>
        <v>0</v>
      </c>
      <c r="W57" s="2"/>
      <c r="X57" s="2">
        <f t="shared" si="20"/>
        <v>22839.52</v>
      </c>
      <c r="Y57" s="2"/>
      <c r="Z57" s="19">
        <f t="shared" si="21"/>
        <v>0</v>
      </c>
    </row>
    <row r="58" spans="1:26" s="23" customFormat="1" hidden="1" outlineLevel="1" x14ac:dyDescent="0.25">
      <c r="A58" s="44"/>
      <c r="B58" s="10" t="str">
        <f>CONCATENATE("          ", "5028", " - ", "PURCHASES @ COST-ART/TECH")</f>
        <v xml:space="preserve">          5028 - PURCHASES @ COST-ART/TECH</v>
      </c>
      <c r="C58" s="10"/>
      <c r="D58" s="2">
        <v>674.12</v>
      </c>
      <c r="E58" s="2"/>
      <c r="F58" s="19">
        <f t="shared" si="14"/>
        <v>1.7048282104609566E-3</v>
      </c>
      <c r="G58" s="2"/>
      <c r="H58" s="2"/>
      <c r="I58" s="2"/>
      <c r="J58" s="19">
        <f t="shared" si="15"/>
        <v>0</v>
      </c>
      <c r="K58" s="2"/>
      <c r="L58" s="2">
        <f t="shared" si="16"/>
        <v>674.12</v>
      </c>
      <c r="M58" s="2"/>
      <c r="N58" s="19">
        <f t="shared" si="17"/>
        <v>0</v>
      </c>
      <c r="O58" s="10"/>
      <c r="P58" s="2">
        <v>6238.89</v>
      </c>
      <c r="Q58" s="2"/>
      <c r="R58" s="19">
        <f t="shared" si="18"/>
        <v>3.0716700713538541E-3</v>
      </c>
      <c r="S58" s="2"/>
      <c r="T58" s="2"/>
      <c r="U58" s="2"/>
      <c r="V58" s="19">
        <f t="shared" si="19"/>
        <v>0</v>
      </c>
      <c r="W58" s="2"/>
      <c r="X58" s="2">
        <f t="shared" si="20"/>
        <v>6238.89</v>
      </c>
      <c r="Y58" s="2"/>
      <c r="Z58" s="19">
        <f t="shared" si="21"/>
        <v>0</v>
      </c>
    </row>
    <row r="59" spans="1:26" s="23" customFormat="1" hidden="1" outlineLevel="1" x14ac:dyDescent="0.25">
      <c r="A59" s="44"/>
      <c r="B59" s="10" t="str">
        <f>CONCATENATE("          ", "5031", " - ", "PURCHASES @ COST-FOOD")</f>
        <v xml:space="preserve">          5031 - PURCHASES @ COST-FOOD</v>
      </c>
      <c r="C59" s="10"/>
      <c r="D59" s="2">
        <v>280.37</v>
      </c>
      <c r="E59" s="2"/>
      <c r="F59" s="19">
        <f t="shared" si="14"/>
        <v>7.0904688388853383E-4</v>
      </c>
      <c r="G59" s="2"/>
      <c r="H59" s="2"/>
      <c r="I59" s="2"/>
      <c r="J59" s="19">
        <f t="shared" si="15"/>
        <v>0</v>
      </c>
      <c r="K59" s="2"/>
      <c r="L59" s="2">
        <f t="shared" si="16"/>
        <v>280.37</v>
      </c>
      <c r="M59" s="2"/>
      <c r="N59" s="19">
        <f t="shared" si="17"/>
        <v>0</v>
      </c>
      <c r="O59" s="10"/>
      <c r="P59" s="2">
        <v>5624.52</v>
      </c>
      <c r="Q59" s="2"/>
      <c r="R59" s="19">
        <f t="shared" si="18"/>
        <v>2.7691896715170772E-3</v>
      </c>
      <c r="S59" s="2"/>
      <c r="T59" s="2"/>
      <c r="U59" s="2"/>
      <c r="V59" s="19">
        <f t="shared" si="19"/>
        <v>0</v>
      </c>
      <c r="W59" s="2"/>
      <c r="X59" s="2">
        <f t="shared" si="20"/>
        <v>5624.52</v>
      </c>
      <c r="Y59" s="2"/>
      <c r="Z59" s="19">
        <f t="shared" si="21"/>
        <v>0</v>
      </c>
    </row>
    <row r="60" spans="1:26" s="23" customFormat="1" hidden="1" outlineLevel="1" x14ac:dyDescent="0.25">
      <c r="A60" s="44"/>
      <c r="B60" s="10" t="str">
        <f>CONCATENATE("          ", "5040", " - ", "PURCHASES @ COST-LOGO CLOTHING")</f>
        <v xml:space="preserve">          5040 - PURCHASES @ COST-LOGO CLOTHING</v>
      </c>
      <c r="C60" s="10"/>
      <c r="D60" s="2">
        <v>48288.73</v>
      </c>
      <c r="E60" s="2"/>
      <c r="F60" s="19">
        <f t="shared" si="14"/>
        <v>0.12212067458513665</v>
      </c>
      <c r="G60" s="2"/>
      <c r="H60" s="2">
        <v>33887.879999999997</v>
      </c>
      <c r="I60" s="2"/>
      <c r="J60" s="19">
        <f t="shared" si="15"/>
        <v>0.1888159158651842</v>
      </c>
      <c r="K60" s="2"/>
      <c r="L60" s="2">
        <f t="shared" si="16"/>
        <v>14400.850000000006</v>
      </c>
      <c r="M60" s="2"/>
      <c r="N60" s="19">
        <f t="shared" si="17"/>
        <v>0.42495576589624395</v>
      </c>
      <c r="O60" s="10"/>
      <c r="P60" s="2">
        <v>327378.98</v>
      </c>
      <c r="Q60" s="2"/>
      <c r="R60" s="19">
        <f t="shared" si="18"/>
        <v>0.16118255248230884</v>
      </c>
      <c r="S60" s="2"/>
      <c r="T60" s="2">
        <v>812810.5</v>
      </c>
      <c r="U60" s="2"/>
      <c r="V60" s="19">
        <f t="shared" si="19"/>
        <v>0.34770960358652686</v>
      </c>
      <c r="W60" s="2"/>
      <c r="X60" s="2">
        <f t="shared" si="20"/>
        <v>-485431.52</v>
      </c>
      <c r="Y60" s="2"/>
      <c r="Z60" s="19">
        <f t="shared" si="21"/>
        <v>-0.59722594626914882</v>
      </c>
    </row>
    <row r="61" spans="1:26" s="23" customFormat="1" hidden="1" outlineLevel="1" x14ac:dyDescent="0.25">
      <c r="A61" s="44"/>
      <c r="B61" s="10" t="str">
        <f>CONCATENATE("          ", "5041", " - ", "PURCHASES @ COST-LOGO GIFTS")</f>
        <v xml:space="preserve">          5041 - PURCHASES @ COST-LOGO GIFTS</v>
      </c>
      <c r="C61" s="10"/>
      <c r="D61" s="2">
        <v>22136.9</v>
      </c>
      <c r="E61" s="2"/>
      <c r="F61" s="19">
        <f t="shared" si="14"/>
        <v>5.5983521646224929E-2</v>
      </c>
      <c r="G61" s="2"/>
      <c r="H61" s="2">
        <v>6504.55</v>
      </c>
      <c r="I61" s="2"/>
      <c r="J61" s="19">
        <f t="shared" si="15"/>
        <v>3.6241941530154261E-2</v>
      </c>
      <c r="K61" s="2"/>
      <c r="L61" s="2">
        <f t="shared" si="16"/>
        <v>15632.350000000002</v>
      </c>
      <c r="M61" s="2"/>
      <c r="N61" s="19">
        <f t="shared" si="17"/>
        <v>2.4032946168451317</v>
      </c>
      <c r="O61" s="10"/>
      <c r="P61" s="2">
        <v>106191.25</v>
      </c>
      <c r="Q61" s="2"/>
      <c r="R61" s="19">
        <f t="shared" si="18"/>
        <v>5.2282454806007947E-2</v>
      </c>
      <c r="S61" s="2"/>
      <c r="T61" s="2">
        <v>124983.66</v>
      </c>
      <c r="U61" s="2"/>
      <c r="V61" s="19">
        <f t="shared" si="19"/>
        <v>5.346636008441482E-2</v>
      </c>
      <c r="W61" s="2"/>
      <c r="X61" s="2">
        <f t="shared" si="20"/>
        <v>-18792.410000000003</v>
      </c>
      <c r="Y61" s="2"/>
      <c r="Z61" s="19">
        <f t="shared" si="21"/>
        <v>-0.15035893491997276</v>
      </c>
    </row>
    <row r="62" spans="1:26" s="23" customFormat="1" hidden="1" outlineLevel="1" x14ac:dyDescent="0.25">
      <c r="A62" s="44"/>
      <c r="B62" s="10" t="str">
        <f>CONCATENATE("          ", "5042", " - ", "PURCHASES @ COST-EVERYDAY GIFT")</f>
        <v xml:space="preserve">          5042 - PURCHASES @ COST-EVERYDAY GIFT</v>
      </c>
      <c r="C62" s="10"/>
      <c r="D62" s="2">
        <v>-0.11</v>
      </c>
      <c r="E62" s="2"/>
      <c r="F62" s="19">
        <f t="shared" si="14"/>
        <v>-2.7818652932816893E-7</v>
      </c>
      <c r="G62" s="2"/>
      <c r="H62" s="2">
        <v>10895.09</v>
      </c>
      <c r="I62" s="2"/>
      <c r="J62" s="19">
        <f t="shared" si="15"/>
        <v>6.0705077944787626E-2</v>
      </c>
      <c r="K62" s="2"/>
      <c r="L62" s="2">
        <f t="shared" si="16"/>
        <v>-10895.2</v>
      </c>
      <c r="M62" s="2"/>
      <c r="N62" s="19">
        <f t="shared" si="17"/>
        <v>-1.0000100962910816</v>
      </c>
      <c r="O62" s="10"/>
      <c r="P62" s="2">
        <v>10802.03</v>
      </c>
      <c r="Q62" s="2"/>
      <c r="R62" s="19">
        <f t="shared" si="18"/>
        <v>5.3182973671384607E-3</v>
      </c>
      <c r="S62" s="2"/>
      <c r="T62" s="2">
        <v>106262.5</v>
      </c>
      <c r="U62" s="2"/>
      <c r="V62" s="19">
        <f t="shared" si="19"/>
        <v>4.5457694937643289E-2</v>
      </c>
      <c r="W62" s="2"/>
      <c r="X62" s="2">
        <f t="shared" si="20"/>
        <v>-95460.47</v>
      </c>
      <c r="Y62" s="2"/>
      <c r="Z62" s="19">
        <f t="shared" si="21"/>
        <v>-0.89834579461239861</v>
      </c>
    </row>
    <row r="63" spans="1:26" s="23" customFormat="1" hidden="1" outlineLevel="1" x14ac:dyDescent="0.25">
      <c r="A63" s="44"/>
      <c r="B63" s="10" t="str">
        <f>CONCATENATE("          ", "5043", " - ", "PURCHASES @ COST-CARDS")</f>
        <v xml:space="preserve">          5043 - PURCHASES @ COST-CARDS</v>
      </c>
      <c r="C63" s="10"/>
      <c r="D63" s="2">
        <v>178</v>
      </c>
      <c r="E63" s="2"/>
      <c r="F63" s="19">
        <f t="shared" si="14"/>
        <v>4.5015638382194602E-4</v>
      </c>
      <c r="G63" s="2"/>
      <c r="H63" s="2"/>
      <c r="I63" s="2"/>
      <c r="J63" s="19">
        <f t="shared" si="15"/>
        <v>0</v>
      </c>
      <c r="K63" s="2"/>
      <c r="L63" s="2">
        <f t="shared" si="16"/>
        <v>178</v>
      </c>
      <c r="M63" s="2"/>
      <c r="N63" s="19">
        <f t="shared" si="17"/>
        <v>0</v>
      </c>
      <c r="O63" s="10"/>
      <c r="P63" s="2">
        <v>55583.33</v>
      </c>
      <c r="Q63" s="2"/>
      <c r="R63" s="19">
        <f t="shared" si="18"/>
        <v>2.7366030051368884E-2</v>
      </c>
      <c r="S63" s="2"/>
      <c r="T63" s="2">
        <v>30760.19</v>
      </c>
      <c r="U63" s="2"/>
      <c r="V63" s="19">
        <f t="shared" si="19"/>
        <v>1.3158803277204523E-2</v>
      </c>
      <c r="W63" s="2"/>
      <c r="X63" s="2">
        <f t="shared" si="20"/>
        <v>24823.140000000003</v>
      </c>
      <c r="Y63" s="2"/>
      <c r="Z63" s="19">
        <f t="shared" si="21"/>
        <v>0.80698916359099226</v>
      </c>
    </row>
    <row r="64" spans="1:26" s="23" customFormat="1" hidden="1" outlineLevel="1" x14ac:dyDescent="0.25">
      <c r="A64" s="44"/>
      <c r="B64" s="10" t="str">
        <f>CONCATENATE("          ", "5044", " - ", "PURCHASES @ COST-ACCESSORIES")</f>
        <v xml:space="preserve">          5044 - PURCHASES @ COST-ACCESSORIES</v>
      </c>
      <c r="C64" s="10"/>
      <c r="D64" s="2"/>
      <c r="E64" s="2"/>
      <c r="F64" s="19">
        <f t="shared" si="14"/>
        <v>0</v>
      </c>
      <c r="G64" s="2"/>
      <c r="H64" s="2">
        <v>1486.8</v>
      </c>
      <c r="I64" s="2"/>
      <c r="J64" s="19">
        <f t="shared" si="15"/>
        <v>8.2841270598324798E-3</v>
      </c>
      <c r="K64" s="2"/>
      <c r="L64" s="2">
        <f t="shared" si="16"/>
        <v>-1486.8</v>
      </c>
      <c r="M64" s="2"/>
      <c r="N64" s="19">
        <f t="shared" si="17"/>
        <v>-1</v>
      </c>
      <c r="O64" s="10"/>
      <c r="P64" s="2">
        <v>2555.71</v>
      </c>
      <c r="Q64" s="2"/>
      <c r="R64" s="19">
        <f t="shared" si="18"/>
        <v>1.2582843932269615E-3</v>
      </c>
      <c r="S64" s="2"/>
      <c r="T64" s="2">
        <v>42341.88</v>
      </c>
      <c r="U64" s="2"/>
      <c r="V64" s="19">
        <f t="shared" si="19"/>
        <v>1.8113297392083751E-2</v>
      </c>
      <c r="W64" s="2"/>
      <c r="X64" s="2">
        <f t="shared" si="20"/>
        <v>-39786.17</v>
      </c>
      <c r="Y64" s="2"/>
      <c r="Z64" s="19">
        <f t="shared" si="21"/>
        <v>-0.93964108348519249</v>
      </c>
    </row>
    <row r="65" spans="1:26" s="23" customFormat="1" hidden="1" outlineLevel="1" x14ac:dyDescent="0.25">
      <c r="A65" s="44"/>
      <c r="B65" s="10" t="str">
        <f>CONCATENATE("          ", "5045", " - ", "PURCHASES @ COST-SPECIAL ORDER")</f>
        <v xml:space="preserve">          5045 - PURCHASES @ COST-SPECIAL ORDER</v>
      </c>
      <c r="C65" s="10"/>
      <c r="D65" s="2">
        <v>24141.17</v>
      </c>
      <c r="E65" s="2"/>
      <c r="F65" s="19">
        <f t="shared" si="14"/>
        <v>6.1052257238375554E-2</v>
      </c>
      <c r="G65" s="2"/>
      <c r="H65" s="2">
        <v>16919.25</v>
      </c>
      <c r="I65" s="2"/>
      <c r="J65" s="19">
        <f t="shared" si="15"/>
        <v>9.4270390608737334E-2</v>
      </c>
      <c r="K65" s="2"/>
      <c r="L65" s="2">
        <f t="shared" si="16"/>
        <v>7221.9199999999983</v>
      </c>
      <c r="M65" s="2"/>
      <c r="N65" s="19">
        <f t="shared" si="17"/>
        <v>0.42684634366180524</v>
      </c>
      <c r="O65" s="10"/>
      <c r="P65" s="2">
        <v>139139.24</v>
      </c>
      <c r="Q65" s="2"/>
      <c r="R65" s="19">
        <f t="shared" si="18"/>
        <v>6.8504147253585321E-2</v>
      </c>
      <c r="S65" s="2"/>
      <c r="T65" s="2">
        <v>79840.600000000006</v>
      </c>
      <c r="U65" s="2"/>
      <c r="V65" s="19">
        <f t="shared" si="19"/>
        <v>3.41547548612013E-2</v>
      </c>
      <c r="W65" s="2"/>
      <c r="X65" s="2">
        <f t="shared" si="20"/>
        <v>59298.639999999985</v>
      </c>
      <c r="Y65" s="2"/>
      <c r="Z65" s="19">
        <f t="shared" si="21"/>
        <v>0.7427128553643132</v>
      </c>
    </row>
    <row r="66" spans="1:26" s="23" customFormat="1" hidden="1" outlineLevel="1" x14ac:dyDescent="0.25">
      <c r="A66" s="44"/>
      <c r="B66" s="10" t="str">
        <f>CONCATENATE("          ", "5200", " - ", "PURCHASES OFFSET")</f>
        <v xml:space="preserve">          5200 - PURCHASES OFFSET</v>
      </c>
      <c r="C66" s="10"/>
      <c r="D66" s="2">
        <v>-98978.36</v>
      </c>
      <c r="E66" s="2"/>
      <c r="F66" s="19">
        <f t="shared" si="14"/>
        <v>-0.25031314951812783</v>
      </c>
      <c r="G66" s="2"/>
      <c r="H66" s="2">
        <v>-71377</v>
      </c>
      <c r="I66" s="2"/>
      <c r="J66" s="19">
        <f t="shared" si="15"/>
        <v>-0.39769715977243936</v>
      </c>
      <c r="K66" s="2"/>
      <c r="L66" s="2">
        <f t="shared" si="16"/>
        <v>-27601.360000000001</v>
      </c>
      <c r="M66" s="2"/>
      <c r="N66" s="19">
        <f t="shared" si="17"/>
        <v>0.38669823612648335</v>
      </c>
      <c r="O66" s="10"/>
      <c r="P66" s="2">
        <v>-705437.34</v>
      </c>
      <c r="Q66" s="2"/>
      <c r="R66" s="19">
        <f t="shared" si="18"/>
        <v>-0.34731671250710827</v>
      </c>
      <c r="S66" s="2"/>
      <c r="T66" s="2">
        <v>-1241389</v>
      </c>
      <c r="U66" s="2"/>
      <c r="V66" s="19">
        <f t="shared" si="19"/>
        <v>-0.53104982906430831</v>
      </c>
      <c r="W66" s="2"/>
      <c r="X66" s="2">
        <f t="shared" si="20"/>
        <v>535951.66</v>
      </c>
      <c r="Y66" s="2"/>
      <c r="Z66" s="19">
        <f t="shared" si="21"/>
        <v>-0.43173546728704704</v>
      </c>
    </row>
    <row r="67" spans="1:26" s="23" customFormat="1" hidden="1" outlineLevel="1" x14ac:dyDescent="0.25">
      <c r="A67" s="44"/>
      <c r="B67" s="10" t="str">
        <f>CONCATENATE("          ", "5300", " - ", "COG$ OFFSET")</f>
        <v xml:space="preserve">          5300 - COG$ OFFSET</v>
      </c>
      <c r="C67" s="10"/>
      <c r="D67" s="2">
        <v>175207</v>
      </c>
      <c r="E67" s="2"/>
      <c r="F67" s="19">
        <f t="shared" si="14"/>
        <v>0.44309297494545896</v>
      </c>
      <c r="G67" s="2"/>
      <c r="H67" s="2">
        <v>89972</v>
      </c>
      <c r="I67" s="2"/>
      <c r="J67" s="19">
        <f t="shared" si="15"/>
        <v>0.5013044658509872</v>
      </c>
      <c r="K67" s="2"/>
      <c r="L67" s="2">
        <f t="shared" si="16"/>
        <v>85235</v>
      </c>
      <c r="M67" s="2"/>
      <c r="N67" s="19">
        <f t="shared" si="17"/>
        <v>0.94735028675587962</v>
      </c>
      <c r="O67" s="10"/>
      <c r="P67" s="2">
        <v>1089606</v>
      </c>
      <c r="Q67" s="2"/>
      <c r="R67" s="19">
        <f t="shared" si="18"/>
        <v>0.53645923229414005</v>
      </c>
      <c r="S67" s="2"/>
      <c r="T67" s="2">
        <v>1097450</v>
      </c>
      <c r="U67" s="2"/>
      <c r="V67" s="19">
        <f t="shared" si="19"/>
        <v>0.46947462472007179</v>
      </c>
      <c r="W67" s="2"/>
      <c r="X67" s="2">
        <f t="shared" si="20"/>
        <v>-7844</v>
      </c>
      <c r="Y67" s="2"/>
      <c r="Z67" s="19">
        <f t="shared" si="21"/>
        <v>-7.1474782450225522E-3</v>
      </c>
    </row>
    <row r="68" spans="1:26" s="23" customFormat="1" hidden="1" outlineLevel="1" x14ac:dyDescent="0.25">
      <c r="A68" s="44"/>
      <c r="B68" s="10" t="str">
        <f>CONCATENATE("          ", "5500", " - ", "FREIGHT-IN")</f>
        <v xml:space="preserve">          5500 - FREIGHT-IN</v>
      </c>
      <c r="C68" s="10"/>
      <c r="D68" s="2">
        <v>0</v>
      </c>
      <c r="E68" s="2"/>
      <c r="F68" s="19">
        <f t="shared" si="14"/>
        <v>0</v>
      </c>
      <c r="G68" s="2"/>
      <c r="H68" s="2"/>
      <c r="I68" s="2"/>
      <c r="J68" s="19">
        <f t="shared" si="15"/>
        <v>0</v>
      </c>
      <c r="K68" s="2"/>
      <c r="L68" s="2">
        <f t="shared" si="16"/>
        <v>0</v>
      </c>
      <c r="M68" s="2"/>
      <c r="N68" s="19">
        <f t="shared" si="17"/>
        <v>0</v>
      </c>
      <c r="O68" s="10"/>
      <c r="P68" s="2">
        <v>0</v>
      </c>
      <c r="Q68" s="2"/>
      <c r="R68" s="19">
        <f t="shared" si="18"/>
        <v>0</v>
      </c>
      <c r="S68" s="2"/>
      <c r="T68" s="2">
        <v>29.23</v>
      </c>
      <c r="U68" s="2"/>
      <c r="V68" s="19">
        <f t="shared" si="19"/>
        <v>1.2504208192234451E-5</v>
      </c>
      <c r="W68" s="2"/>
      <c r="X68" s="2">
        <f t="shared" si="20"/>
        <v>-29.23</v>
      </c>
      <c r="Y68" s="2"/>
      <c r="Z68" s="19">
        <f t="shared" si="21"/>
        <v>-1</v>
      </c>
    </row>
    <row r="69" spans="1:26" s="23" customFormat="1" hidden="1" outlineLevel="1" x14ac:dyDescent="0.25">
      <c r="A69" s="44"/>
      <c r="B69" s="10" t="str">
        <f>CONCATENATE("          ", "5525", " - ", "FREIGHT-IN-TEST FORMS")</f>
        <v xml:space="preserve">          5525 - FREIGHT-IN-TEST FORMS</v>
      </c>
      <c r="C69" s="10"/>
      <c r="D69" s="2"/>
      <c r="E69" s="2"/>
      <c r="F69" s="19">
        <f t="shared" si="14"/>
        <v>0</v>
      </c>
      <c r="G69" s="2"/>
      <c r="H69" s="2"/>
      <c r="I69" s="2"/>
      <c r="J69" s="19">
        <f t="shared" si="15"/>
        <v>0</v>
      </c>
      <c r="K69" s="2"/>
      <c r="L69" s="2">
        <f t="shared" si="16"/>
        <v>0</v>
      </c>
      <c r="M69" s="2"/>
      <c r="N69" s="19">
        <f t="shared" si="17"/>
        <v>0</v>
      </c>
      <c r="O69" s="10"/>
      <c r="P69" s="2">
        <v>48.14</v>
      </c>
      <c r="Q69" s="2"/>
      <c r="R69" s="19">
        <f t="shared" si="18"/>
        <v>2.3701363100643627E-5</v>
      </c>
      <c r="S69" s="2"/>
      <c r="T69" s="2"/>
      <c r="U69" s="2"/>
      <c r="V69" s="19">
        <f t="shared" si="19"/>
        <v>0</v>
      </c>
      <c r="W69" s="2"/>
      <c r="X69" s="2">
        <f t="shared" si="20"/>
        <v>48.14</v>
      </c>
      <c r="Y69" s="2"/>
      <c r="Z69" s="19">
        <f t="shared" si="21"/>
        <v>0</v>
      </c>
    </row>
    <row r="70" spans="1:26" s="23" customFormat="1" hidden="1" outlineLevel="1" x14ac:dyDescent="0.25">
      <c r="A70" s="44"/>
      <c r="B70" s="10" t="str">
        <f>CONCATENATE("          ", "5526", " - ", "FREIGHT-IN-WRITING INSTRUMENTS")</f>
        <v xml:space="preserve">          5526 - FREIGHT-IN-WRITING INSTRUMENTS</v>
      </c>
      <c r="C70" s="10"/>
      <c r="D70" s="2"/>
      <c r="E70" s="2"/>
      <c r="F70" s="19">
        <f t="shared" si="14"/>
        <v>0</v>
      </c>
      <c r="G70" s="2"/>
      <c r="H70" s="2"/>
      <c r="I70" s="2"/>
      <c r="J70" s="19">
        <f t="shared" si="15"/>
        <v>0</v>
      </c>
      <c r="K70" s="2"/>
      <c r="L70" s="2">
        <f t="shared" si="16"/>
        <v>0</v>
      </c>
      <c r="M70" s="2"/>
      <c r="N70" s="19">
        <f t="shared" si="17"/>
        <v>0</v>
      </c>
      <c r="O70" s="10"/>
      <c r="P70" s="2">
        <v>0</v>
      </c>
      <c r="Q70" s="2"/>
      <c r="R70" s="19">
        <f t="shared" si="18"/>
        <v>0</v>
      </c>
      <c r="S70" s="2"/>
      <c r="T70" s="2"/>
      <c r="U70" s="2"/>
      <c r="V70" s="19">
        <f t="shared" si="19"/>
        <v>0</v>
      </c>
      <c r="W70" s="2"/>
      <c r="X70" s="2">
        <f t="shared" si="20"/>
        <v>0</v>
      </c>
      <c r="Y70" s="2"/>
      <c r="Z70" s="19">
        <f t="shared" si="21"/>
        <v>0</v>
      </c>
    </row>
    <row r="71" spans="1:26" s="23" customFormat="1" hidden="1" outlineLevel="1" x14ac:dyDescent="0.25">
      <c r="A71" s="44"/>
      <c r="B71" s="10" t="str">
        <f>CONCATENATE("          ", "5527", " - ", "FREIGHT-IN-SCHOOL SUPPLIES")</f>
        <v xml:space="preserve">          5527 - FREIGHT-IN-SCHOOL SUPPLIES</v>
      </c>
      <c r="C71" s="10"/>
      <c r="D71" s="2"/>
      <c r="E71" s="2"/>
      <c r="F71" s="19">
        <f t="shared" si="14"/>
        <v>0</v>
      </c>
      <c r="G71" s="2"/>
      <c r="H71" s="2"/>
      <c r="I71" s="2"/>
      <c r="J71" s="19">
        <f t="shared" si="15"/>
        <v>0</v>
      </c>
      <c r="K71" s="2"/>
      <c r="L71" s="2">
        <f t="shared" si="16"/>
        <v>0</v>
      </c>
      <c r="M71" s="2"/>
      <c r="N71" s="19">
        <f t="shared" si="17"/>
        <v>0</v>
      </c>
      <c r="O71" s="10"/>
      <c r="P71" s="2">
        <v>218.62</v>
      </c>
      <c r="Q71" s="2"/>
      <c r="R71" s="19">
        <f t="shared" si="18"/>
        <v>1.0763589532743477E-4</v>
      </c>
      <c r="S71" s="2"/>
      <c r="T71" s="2"/>
      <c r="U71" s="2"/>
      <c r="V71" s="19">
        <f t="shared" si="19"/>
        <v>0</v>
      </c>
      <c r="W71" s="2"/>
      <c r="X71" s="2">
        <f t="shared" si="20"/>
        <v>218.62</v>
      </c>
      <c r="Y71" s="2"/>
      <c r="Z71" s="19">
        <f t="shared" si="21"/>
        <v>0</v>
      </c>
    </row>
    <row r="72" spans="1:26" s="23" customFormat="1" hidden="1" outlineLevel="1" x14ac:dyDescent="0.25">
      <c r="A72" s="44"/>
      <c r="B72" s="10" t="str">
        <f>CONCATENATE("          ", "5528", " - ", "FREIGHT-IN-ART/TECH")</f>
        <v xml:space="preserve">          5528 - FREIGHT-IN-ART/TECH</v>
      </c>
      <c r="C72" s="10"/>
      <c r="D72" s="2"/>
      <c r="E72" s="2"/>
      <c r="F72" s="19">
        <f t="shared" si="14"/>
        <v>0</v>
      </c>
      <c r="G72" s="2"/>
      <c r="H72" s="2"/>
      <c r="I72" s="2"/>
      <c r="J72" s="19">
        <f t="shared" si="15"/>
        <v>0</v>
      </c>
      <c r="K72" s="2"/>
      <c r="L72" s="2">
        <f t="shared" si="16"/>
        <v>0</v>
      </c>
      <c r="M72" s="2"/>
      <c r="N72" s="19">
        <f t="shared" si="17"/>
        <v>0</v>
      </c>
      <c r="O72" s="10"/>
      <c r="P72" s="2">
        <v>176.91</v>
      </c>
      <c r="Q72" s="2"/>
      <c r="R72" s="19">
        <f t="shared" si="18"/>
        <v>8.7100293854068631E-5</v>
      </c>
      <c r="S72" s="2"/>
      <c r="T72" s="2"/>
      <c r="U72" s="2"/>
      <c r="V72" s="19">
        <f t="shared" si="19"/>
        <v>0</v>
      </c>
      <c r="W72" s="2"/>
      <c r="X72" s="2">
        <f t="shared" si="20"/>
        <v>176.91</v>
      </c>
      <c r="Y72" s="2"/>
      <c r="Z72" s="19">
        <f t="shared" si="21"/>
        <v>0</v>
      </c>
    </row>
    <row r="73" spans="1:26" s="23" customFormat="1" hidden="1" outlineLevel="1" x14ac:dyDescent="0.25">
      <c r="A73" s="44"/>
      <c r="B73" s="10" t="str">
        <f>CONCATENATE("          ", "5540", " - ", "FREIGHT-IN-LOGO CLOTHING")</f>
        <v xml:space="preserve">          5540 - FREIGHT-IN-LOGO CLOTHING</v>
      </c>
      <c r="C73" s="10"/>
      <c r="D73" s="2">
        <v>1283.68</v>
      </c>
      <c r="E73" s="2"/>
      <c r="F73" s="19">
        <f t="shared" si="14"/>
        <v>3.2463862178907623E-3</v>
      </c>
      <c r="G73" s="2"/>
      <c r="H73" s="2">
        <v>782.02</v>
      </c>
      <c r="I73" s="2"/>
      <c r="J73" s="19">
        <f t="shared" si="15"/>
        <v>4.3572457918551223E-3</v>
      </c>
      <c r="K73" s="2"/>
      <c r="L73" s="2">
        <f t="shared" si="16"/>
        <v>501.66000000000008</v>
      </c>
      <c r="M73" s="2"/>
      <c r="N73" s="19">
        <f t="shared" si="17"/>
        <v>0.64149254494769969</v>
      </c>
      <c r="O73" s="10"/>
      <c r="P73" s="2">
        <v>10499.7</v>
      </c>
      <c r="Q73" s="2"/>
      <c r="R73" s="19">
        <f t="shared" si="18"/>
        <v>5.169447489568507E-3</v>
      </c>
      <c r="S73" s="2"/>
      <c r="T73" s="2">
        <v>32462.81</v>
      </c>
      <c r="U73" s="2"/>
      <c r="V73" s="19">
        <f t="shared" si="19"/>
        <v>1.3887161640265154E-2</v>
      </c>
      <c r="W73" s="2"/>
      <c r="X73" s="2">
        <f t="shared" si="20"/>
        <v>-21963.11</v>
      </c>
      <c r="Y73" s="2"/>
      <c r="Z73" s="19">
        <f t="shared" si="21"/>
        <v>-0.67656219532443429</v>
      </c>
    </row>
    <row r="74" spans="1:26" s="23" customFormat="1" hidden="1" outlineLevel="1" x14ac:dyDescent="0.25">
      <c r="A74" s="44"/>
      <c r="B74" s="10" t="str">
        <f>CONCATENATE("          ", "5541", " - ", "FREIGHT-IN-LOGO GIFTS")</f>
        <v xml:space="preserve">          5541 - FREIGHT-IN-LOGO GIFTS</v>
      </c>
      <c r="C74" s="10"/>
      <c r="D74" s="2">
        <v>961.21</v>
      </c>
      <c r="E74" s="2"/>
      <c r="F74" s="19">
        <f t="shared" si="14"/>
        <v>2.4308697623229929E-3</v>
      </c>
      <c r="G74" s="2"/>
      <c r="H74" s="2">
        <v>343.16</v>
      </c>
      <c r="I74" s="2"/>
      <c r="J74" s="19">
        <f t="shared" si="15"/>
        <v>1.9120130763062373E-3</v>
      </c>
      <c r="K74" s="2"/>
      <c r="L74" s="2">
        <f t="shared" si="16"/>
        <v>618.04999999999995</v>
      </c>
      <c r="M74" s="2"/>
      <c r="N74" s="19">
        <f t="shared" si="17"/>
        <v>1.8010549015036714</v>
      </c>
      <c r="O74" s="10"/>
      <c r="P74" s="2">
        <v>5977.2</v>
      </c>
      <c r="Q74" s="2"/>
      <c r="R74" s="19">
        <f t="shared" si="18"/>
        <v>2.9428289888900516E-3</v>
      </c>
      <c r="S74" s="2"/>
      <c r="T74" s="2">
        <v>5226.1000000000004</v>
      </c>
      <c r="U74" s="2"/>
      <c r="V74" s="19">
        <f t="shared" si="19"/>
        <v>2.2356566005281037E-3</v>
      </c>
      <c r="W74" s="2"/>
      <c r="X74" s="2">
        <f t="shared" si="20"/>
        <v>751.09999999999945</v>
      </c>
      <c r="Y74" s="2"/>
      <c r="Z74" s="19">
        <f t="shared" si="21"/>
        <v>0.14372093913243134</v>
      </c>
    </row>
    <row r="75" spans="1:26" s="23" customFormat="1" hidden="1" outlineLevel="1" x14ac:dyDescent="0.25">
      <c r="A75" s="44"/>
      <c r="B75" s="10" t="str">
        <f>CONCATENATE("          ", "5542", " - ", "FREIGHT-IN-EVERYDAY GIFTS")</f>
        <v xml:space="preserve">          5542 - FREIGHT-IN-EVERYDAY GIFTS</v>
      </c>
      <c r="C75" s="10"/>
      <c r="D75" s="2"/>
      <c r="E75" s="2"/>
      <c r="F75" s="19">
        <f t="shared" si="14"/>
        <v>0</v>
      </c>
      <c r="G75" s="2"/>
      <c r="H75" s="2">
        <v>384.47</v>
      </c>
      <c r="I75" s="2"/>
      <c r="J75" s="19">
        <f t="shared" si="15"/>
        <v>2.1421834346877816E-3</v>
      </c>
      <c r="K75" s="2"/>
      <c r="L75" s="2">
        <f t="shared" si="16"/>
        <v>-384.47</v>
      </c>
      <c r="M75" s="2"/>
      <c r="N75" s="19">
        <f t="shared" si="17"/>
        <v>-1</v>
      </c>
      <c r="O75" s="10"/>
      <c r="P75" s="2">
        <v>681.72</v>
      </c>
      <c r="Q75" s="2"/>
      <c r="R75" s="19">
        <f t="shared" si="18"/>
        <v>3.3563966042731146E-4</v>
      </c>
      <c r="S75" s="2"/>
      <c r="T75" s="2">
        <v>2223.5100000000002</v>
      </c>
      <c r="U75" s="2"/>
      <c r="V75" s="19">
        <f t="shared" si="19"/>
        <v>9.511882298157792E-4</v>
      </c>
      <c r="W75" s="2"/>
      <c r="X75" s="2">
        <f t="shared" si="20"/>
        <v>-1541.7900000000002</v>
      </c>
      <c r="Y75" s="2"/>
      <c r="Z75" s="19">
        <f t="shared" si="21"/>
        <v>-0.69340367257174473</v>
      </c>
    </row>
    <row r="76" spans="1:26" s="23" customFormat="1" hidden="1" outlineLevel="1" x14ac:dyDescent="0.25">
      <c r="A76" s="44"/>
      <c r="B76" s="10" t="str">
        <f>CONCATENATE("          ", "5543", " - ", "FREIGHT-IN-CARDS")</f>
        <v xml:space="preserve">          5543 - FREIGHT-IN-CARDS</v>
      </c>
      <c r="C76" s="10"/>
      <c r="D76" s="2"/>
      <c r="E76" s="2"/>
      <c r="F76" s="19">
        <f t="shared" si="14"/>
        <v>0</v>
      </c>
      <c r="G76" s="2"/>
      <c r="H76" s="2"/>
      <c r="I76" s="2"/>
      <c r="J76" s="19">
        <f t="shared" si="15"/>
        <v>0</v>
      </c>
      <c r="K76" s="2"/>
      <c r="L76" s="2">
        <f t="shared" si="16"/>
        <v>0</v>
      </c>
      <c r="M76" s="2"/>
      <c r="N76" s="19">
        <f t="shared" si="17"/>
        <v>0</v>
      </c>
      <c r="O76" s="10"/>
      <c r="P76" s="2">
        <v>9110.5300000000007</v>
      </c>
      <c r="Q76" s="2"/>
      <c r="R76" s="19">
        <f t="shared" si="18"/>
        <v>4.4855001987807808E-3</v>
      </c>
      <c r="S76" s="2"/>
      <c r="T76" s="2">
        <v>2926.76</v>
      </c>
      <c r="U76" s="2"/>
      <c r="V76" s="19">
        <f t="shared" si="19"/>
        <v>1.252029297595077E-3</v>
      </c>
      <c r="W76" s="2"/>
      <c r="X76" s="2">
        <f t="shared" si="20"/>
        <v>6183.77</v>
      </c>
      <c r="Y76" s="2"/>
      <c r="Z76" s="19">
        <f t="shared" si="21"/>
        <v>2.112838087168063</v>
      </c>
    </row>
    <row r="77" spans="1:26" s="23" customFormat="1" hidden="1" outlineLevel="1" x14ac:dyDescent="0.25">
      <c r="A77" s="44"/>
      <c r="B77" s="10" t="str">
        <f>CONCATENATE("          ", "5544", " - ", "FREIGHT-IN-ACCESSORIES")</f>
        <v xml:space="preserve">          5544 - FREIGHT-IN-ACCESSORIES</v>
      </c>
      <c r="C77" s="10"/>
      <c r="D77" s="2"/>
      <c r="E77" s="2"/>
      <c r="F77" s="19">
        <f t="shared" si="14"/>
        <v>0</v>
      </c>
      <c r="G77" s="2"/>
      <c r="H77" s="2"/>
      <c r="I77" s="2"/>
      <c r="J77" s="19">
        <f t="shared" si="15"/>
        <v>0</v>
      </c>
      <c r="K77" s="2"/>
      <c r="L77" s="2">
        <f t="shared" si="16"/>
        <v>0</v>
      </c>
      <c r="M77" s="2"/>
      <c r="N77" s="19">
        <f t="shared" si="17"/>
        <v>0</v>
      </c>
      <c r="O77" s="10"/>
      <c r="P77" s="2"/>
      <c r="Q77" s="2"/>
      <c r="R77" s="19">
        <f t="shared" si="18"/>
        <v>0</v>
      </c>
      <c r="S77" s="2"/>
      <c r="T77" s="2">
        <v>483.44</v>
      </c>
      <c r="U77" s="2"/>
      <c r="V77" s="19">
        <f t="shared" si="19"/>
        <v>2.0680925105897444E-4</v>
      </c>
      <c r="W77" s="2"/>
      <c r="X77" s="2">
        <f t="shared" si="20"/>
        <v>-483.44</v>
      </c>
      <c r="Y77" s="2"/>
      <c r="Z77" s="19">
        <f t="shared" si="21"/>
        <v>-1</v>
      </c>
    </row>
    <row r="78" spans="1:26" s="23" customFormat="1" hidden="1" outlineLevel="1" x14ac:dyDescent="0.25">
      <c r="A78" s="44"/>
      <c r="B78" s="10" t="str">
        <f>CONCATENATE("          ", "5545", " - ", "FREIGHT-IN-SPECIAL ORDERS")</f>
        <v xml:space="preserve">          5545 - FREIGHT-IN-SPECIAL ORDERS</v>
      </c>
      <c r="C78" s="10"/>
      <c r="D78" s="2">
        <v>1033.9000000000001</v>
      </c>
      <c r="E78" s="2"/>
      <c r="F78" s="19">
        <f t="shared" si="14"/>
        <v>2.614700478839944E-3</v>
      </c>
      <c r="G78" s="2"/>
      <c r="H78" s="2">
        <v>173.06</v>
      </c>
      <c r="I78" s="2"/>
      <c r="J78" s="19">
        <f t="shared" si="15"/>
        <v>9.6425277708811464E-4</v>
      </c>
      <c r="K78" s="2"/>
      <c r="L78" s="2">
        <f t="shared" si="16"/>
        <v>860.84000000000015</v>
      </c>
      <c r="M78" s="2"/>
      <c r="N78" s="19">
        <f t="shared" si="17"/>
        <v>4.974228591240033</v>
      </c>
      <c r="O78" s="10"/>
      <c r="P78" s="2">
        <v>2468.66</v>
      </c>
      <c r="Q78" s="2"/>
      <c r="R78" s="19">
        <f t="shared" si="18"/>
        <v>1.2154259873708951E-3</v>
      </c>
      <c r="S78" s="2"/>
      <c r="T78" s="2">
        <v>1065.32</v>
      </c>
      <c r="U78" s="2"/>
      <c r="V78" s="19">
        <f t="shared" si="19"/>
        <v>4.5572983480503607E-4</v>
      </c>
      <c r="W78" s="2"/>
      <c r="X78" s="2">
        <f t="shared" si="20"/>
        <v>1403.34</v>
      </c>
      <c r="Y78" s="2"/>
      <c r="Z78" s="19">
        <f t="shared" si="21"/>
        <v>1.3172943340967973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x14ac:dyDescent="0.25">
      <c r="A80" s="11"/>
      <c r="B80" s="28" t="s">
        <v>107</v>
      </c>
      <c r="C80" s="28"/>
      <c r="D80" s="20">
        <f>D12-D53</f>
        <v>220211.14</v>
      </c>
      <c r="E80" s="14"/>
      <c r="F80" s="21">
        <f>IF(D$12=0,0,D80/D$12)</f>
        <v>0.55690702505454104</v>
      </c>
      <c r="G80" s="14"/>
      <c r="H80" s="20">
        <f>H12-H53</f>
        <v>89504.480000000025</v>
      </c>
      <c r="I80" s="14"/>
      <c r="J80" s="21">
        <f>IF(H$12=0,0,H80/H$12)</f>
        <v>0.49869954583281889</v>
      </c>
      <c r="K80" s="15"/>
      <c r="L80" s="20">
        <f>+D80-H80</f>
        <v>130706.65999999999</v>
      </c>
      <c r="M80" s="15"/>
      <c r="N80" s="21">
        <f>IF(H80=0,0,L80/H80)</f>
        <v>1.4603365105299753</v>
      </c>
      <c r="O80" s="29"/>
      <c r="P80" s="20">
        <f>P12-P53</f>
        <v>940584.27000000072</v>
      </c>
      <c r="Q80" s="14"/>
      <c r="R80" s="21">
        <f>IF(P$12=0,0,P80/P$12)</f>
        <v>0.46308951620323724</v>
      </c>
      <c r="S80" s="14"/>
      <c r="T80" s="20">
        <f>T12-T53</f>
        <v>1240135.53</v>
      </c>
      <c r="U80" s="14"/>
      <c r="V80" s="21">
        <f>IF(T$12=0,0,T80/T$12)</f>
        <v>0.53051361114290152</v>
      </c>
      <c r="W80" s="15"/>
      <c r="X80" s="20">
        <f>+P80-T80</f>
        <v>-299551.25999999931</v>
      </c>
      <c r="Y80" s="15"/>
      <c r="Z80" s="21">
        <f>IF(T80=0,0,X80/T80)</f>
        <v>-0.2415471960552564</v>
      </c>
    </row>
    <row r="81" spans="1:26" x14ac:dyDescent="0.25">
      <c r="A81" s="9"/>
      <c r="B81" s="11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9" t="s">
        <v>294</v>
      </c>
      <c r="C82" s="11"/>
      <c r="D82" s="22">
        <f>SUM(OSRRefD22x_0)</f>
        <v>45740.41</v>
      </c>
      <c r="E82" s="22"/>
      <c r="F82" s="32">
        <f t="shared" ref="F82:F91" si="22">IF(D$12=0,0,D82/D$12)</f>
        <v>0.11567605370861338</v>
      </c>
      <c r="G82" s="22"/>
      <c r="H82" s="22">
        <f>SUM(OSRRefH22x_0)</f>
        <v>62854.810000000005</v>
      </c>
      <c r="I82" s="22"/>
      <c r="J82" s="32">
        <f t="shared" ref="J82:J91" si="23">IF(H$12=0,0,H82/H$12)</f>
        <v>0.35021336586065993</v>
      </c>
      <c r="K82" s="4"/>
      <c r="L82" s="22">
        <f t="shared" ref="L82:L91" si="24">+D82-H82</f>
        <v>-17114.400000000001</v>
      </c>
      <c r="M82" s="4"/>
      <c r="N82" s="32">
        <f t="shared" ref="N82:N91" si="25">IF(H82=0,0,L82/H82)</f>
        <v>-0.27228465092806742</v>
      </c>
      <c r="O82" s="11"/>
      <c r="P82" s="22">
        <f>SUM(OSRRefP22x_0)</f>
        <v>518177.35999999987</v>
      </c>
      <c r="Q82" s="22"/>
      <c r="R82" s="32">
        <f t="shared" ref="R82:R91" si="26">IF(P$12=0,0,P82/P$12)</f>
        <v>0.25512068466748911</v>
      </c>
      <c r="S82" s="22"/>
      <c r="T82" s="22">
        <f>SUM(OSRRefT22x_0)</f>
        <v>683398.83</v>
      </c>
      <c r="U82" s="22"/>
      <c r="V82" s="32">
        <f t="shared" ref="V82:V91" si="27">IF(T$12=0,0,T82/T$12)</f>
        <v>0.29234899926956681</v>
      </c>
      <c r="W82" s="4"/>
      <c r="X82" s="22">
        <f t="shared" ref="X82:X91" si="28">+P82-T82</f>
        <v>-165221.47000000009</v>
      </c>
      <c r="Y82" s="4"/>
      <c r="Z82" s="32">
        <f t="shared" ref="Z82:Z91" si="29">IF(T82=0,0,X82/T82)</f>
        <v>-0.24176434425560855</v>
      </c>
    </row>
    <row r="83" spans="1:26" s="26" customFormat="1" outlineLevel="1" collapsed="1" x14ac:dyDescent="0.25">
      <c r="A83" s="25"/>
      <c r="B83" s="12" t="str">
        <f>CONCATENATE("     ","*Benefits                                         ")</f>
        <v xml:space="preserve">     *Benefits                                         </v>
      </c>
      <c r="C83" s="12"/>
      <c r="D83" s="1">
        <f>SUM(OSRRefD22_0x_0)</f>
        <v>10208.519999999999</v>
      </c>
      <c r="E83" s="1"/>
      <c r="F83" s="5">
        <f t="shared" si="22"/>
        <v>2.581702498524726E-2</v>
      </c>
      <c r="G83" s="1"/>
      <c r="H83" s="1">
        <f>SUM(OSRRefH22_0x_0)</f>
        <v>4822.2</v>
      </c>
      <c r="I83" s="1"/>
      <c r="J83" s="5">
        <f t="shared" si="23"/>
        <v>2.6868252292120112E-2</v>
      </c>
      <c r="K83" s="1"/>
      <c r="L83" s="1">
        <f t="shared" si="24"/>
        <v>5386.3199999999988</v>
      </c>
      <c r="M83" s="1"/>
      <c r="N83" s="5">
        <f t="shared" si="25"/>
        <v>1.1169839492347888</v>
      </c>
      <c r="O83" s="12"/>
      <c r="P83" s="1">
        <f>SUM(OSRRefP22_0x_0)</f>
        <v>112407.53</v>
      </c>
      <c r="Q83" s="1"/>
      <c r="R83" s="5">
        <f t="shared" si="26"/>
        <v>5.5342993015714409E-2</v>
      </c>
      <c r="S83" s="1"/>
      <c r="T83" s="1">
        <f>SUM(OSRRefT22_0x_0)</f>
        <v>73846.239999999991</v>
      </c>
      <c r="U83" s="1"/>
      <c r="V83" s="5">
        <f t="shared" si="27"/>
        <v>3.1590446772963097E-2</v>
      </c>
      <c r="W83" s="1"/>
      <c r="X83" s="1">
        <f t="shared" si="28"/>
        <v>38561.290000000008</v>
      </c>
      <c r="Y83" s="1"/>
      <c r="Z83" s="5">
        <f t="shared" si="29"/>
        <v>0.52218352620255293</v>
      </c>
    </row>
    <row r="84" spans="1:26" s="23" customFormat="1" hidden="1" outlineLevel="2" x14ac:dyDescent="0.25">
      <c r="A84" s="27"/>
      <c r="B84" s="10" t="str">
        <f>CONCATENATE("          ", "6111", " - ", "F.I.C.A.")</f>
        <v xml:space="preserve">          6111 - F.I.C.A.</v>
      </c>
      <c r="C84" s="10"/>
      <c r="D84" s="6">
        <v>2184.59</v>
      </c>
      <c r="E84" s="2"/>
      <c r="F84" s="7">
        <f t="shared" si="22"/>
        <v>5.5247591827729502E-3</v>
      </c>
      <c r="G84" s="2"/>
      <c r="H84" s="6">
        <v>973.91</v>
      </c>
      <c r="I84" s="2"/>
      <c r="J84" s="7">
        <f t="shared" si="23"/>
        <v>5.4264152440418678E-3</v>
      </c>
      <c r="K84" s="2"/>
      <c r="L84" s="6">
        <f t="shared" si="24"/>
        <v>1210.6800000000003</v>
      </c>
      <c r="M84" s="2"/>
      <c r="N84" s="7">
        <f t="shared" si="25"/>
        <v>1.2431128132989704</v>
      </c>
      <c r="O84" s="10"/>
      <c r="P84" s="6">
        <v>25191.1</v>
      </c>
      <c r="Q84" s="2"/>
      <c r="R84" s="7">
        <f t="shared" si="26"/>
        <v>1.2402646614138422E-2</v>
      </c>
      <c r="S84" s="2"/>
      <c r="T84" s="6">
        <v>13786.37</v>
      </c>
      <c r="U84" s="2"/>
      <c r="V84" s="7">
        <f t="shared" si="27"/>
        <v>5.897627119232818E-3</v>
      </c>
      <c r="W84" s="2"/>
      <c r="X84" s="6">
        <f t="shared" si="28"/>
        <v>11404.729999999998</v>
      </c>
      <c r="Y84" s="2"/>
      <c r="Z84" s="7">
        <f t="shared" si="29"/>
        <v>0.82724676619008464</v>
      </c>
    </row>
    <row r="85" spans="1:26" s="23" customFormat="1" hidden="1" outlineLevel="2" x14ac:dyDescent="0.25">
      <c r="A85" s="27"/>
      <c r="B85" s="10" t="str">
        <f>CONCATENATE("          ", "6112", " - ", "COMPENSATION INSURANCE")</f>
        <v xml:space="preserve">          6112 - COMPENSATION INSURANCE</v>
      </c>
      <c r="C85" s="10"/>
      <c r="D85" s="6">
        <v>950.2</v>
      </c>
      <c r="E85" s="2"/>
      <c r="F85" s="7">
        <f t="shared" si="22"/>
        <v>2.4030258197056918E-3</v>
      </c>
      <c r="G85" s="2"/>
      <c r="H85" s="6">
        <v>304.39</v>
      </c>
      <c r="I85" s="2"/>
      <c r="J85" s="7">
        <f t="shared" si="23"/>
        <v>1.6959950469077269E-3</v>
      </c>
      <c r="K85" s="2"/>
      <c r="L85" s="6">
        <f t="shared" si="24"/>
        <v>645.81000000000006</v>
      </c>
      <c r="M85" s="2"/>
      <c r="N85" s="7">
        <f t="shared" si="25"/>
        <v>2.1216531423502745</v>
      </c>
      <c r="O85" s="10"/>
      <c r="P85" s="6">
        <v>8683.58</v>
      </c>
      <c r="Q85" s="2"/>
      <c r="R85" s="7">
        <f t="shared" si="26"/>
        <v>4.2752946114143538E-3</v>
      </c>
      <c r="S85" s="2"/>
      <c r="T85" s="6">
        <v>4337.67</v>
      </c>
      <c r="U85" s="2"/>
      <c r="V85" s="7">
        <f t="shared" si="27"/>
        <v>1.8555979729459326E-3</v>
      </c>
      <c r="W85" s="2"/>
      <c r="X85" s="6">
        <f t="shared" si="28"/>
        <v>4345.91</v>
      </c>
      <c r="Y85" s="2"/>
      <c r="Z85" s="7">
        <f t="shared" si="29"/>
        <v>1.0018996373629161</v>
      </c>
    </row>
    <row r="86" spans="1:26" s="23" customFormat="1" hidden="1" outlineLevel="2" x14ac:dyDescent="0.25">
      <c r="A86" s="27"/>
      <c r="B86" s="10" t="str">
        <f>CONCATENATE("          ", "6113", " - ", "GROUP INSURANCE")</f>
        <v xml:space="preserve">          6113 - GROUP INSURANCE</v>
      </c>
      <c r="C86" s="10"/>
      <c r="D86" s="6">
        <v>2823.95</v>
      </c>
      <c r="E86" s="2"/>
      <c r="F86" s="7">
        <f t="shared" si="22"/>
        <v>7.141680449966205E-3</v>
      </c>
      <c r="G86" s="2"/>
      <c r="H86" s="6">
        <v>1458.55</v>
      </c>
      <c r="I86" s="2"/>
      <c r="J86" s="7">
        <f t="shared" si="23"/>
        <v>8.1267241882692111E-3</v>
      </c>
      <c r="K86" s="2"/>
      <c r="L86" s="6">
        <f t="shared" si="24"/>
        <v>1365.3999999999999</v>
      </c>
      <c r="M86" s="2"/>
      <c r="N86" s="7">
        <f t="shared" si="25"/>
        <v>0.93613520276987416</v>
      </c>
      <c r="O86" s="10"/>
      <c r="P86" s="6">
        <v>31948.799999999999</v>
      </c>
      <c r="Q86" s="2"/>
      <c r="R86" s="7">
        <f t="shared" si="26"/>
        <v>1.5729748845655239E-2</v>
      </c>
      <c r="S86" s="2"/>
      <c r="T86" s="6">
        <v>21047.67</v>
      </c>
      <c r="U86" s="2"/>
      <c r="V86" s="7">
        <f t="shared" si="27"/>
        <v>9.0039154170868038E-3</v>
      </c>
      <c r="W86" s="2"/>
      <c r="X86" s="6">
        <f t="shared" si="28"/>
        <v>10901.130000000001</v>
      </c>
      <c r="Y86" s="2"/>
      <c r="Z86" s="7">
        <f t="shared" si="29"/>
        <v>0.51792573714810242</v>
      </c>
    </row>
    <row r="87" spans="1:26" s="23" customFormat="1" hidden="1" outlineLevel="2" x14ac:dyDescent="0.25">
      <c r="A87" s="27"/>
      <c r="B87" s="10" t="str">
        <f>CONCATENATE("          ", "6114", " - ", "STATE UNEMPLOYMENT INSURANCE")</f>
        <v xml:space="preserve">          6114 - STATE UNEMPLOYMENT INSURANCE</v>
      </c>
      <c r="C87" s="10"/>
      <c r="D87" s="6">
        <v>133.54</v>
      </c>
      <c r="E87" s="2"/>
      <c r="F87" s="7">
        <f t="shared" si="22"/>
        <v>3.37718446604397E-4</v>
      </c>
      <c r="G87" s="2"/>
      <c r="H87" s="6">
        <v>41.65</v>
      </c>
      <c r="I87" s="2"/>
      <c r="J87" s="7">
        <f t="shared" si="23"/>
        <v>2.3206476462336748E-4</v>
      </c>
      <c r="K87" s="2"/>
      <c r="L87" s="6">
        <f t="shared" si="24"/>
        <v>91.889999999999986</v>
      </c>
      <c r="M87" s="2"/>
      <c r="N87" s="7">
        <f t="shared" si="25"/>
        <v>2.2062424969987995</v>
      </c>
      <c r="O87" s="10"/>
      <c r="P87" s="6">
        <v>1046.6199999999999</v>
      </c>
      <c r="Q87" s="2"/>
      <c r="R87" s="7">
        <f t="shared" si="26"/>
        <v>5.1529540191931102E-4</v>
      </c>
      <c r="S87" s="2"/>
      <c r="T87" s="6">
        <v>670.36</v>
      </c>
      <c r="U87" s="2"/>
      <c r="V87" s="7">
        <f t="shared" si="27"/>
        <v>2.8677115989552809E-4</v>
      </c>
      <c r="W87" s="2"/>
      <c r="X87" s="6">
        <f t="shared" si="28"/>
        <v>376.25999999999988</v>
      </c>
      <c r="Y87" s="2"/>
      <c r="Z87" s="7">
        <f t="shared" si="29"/>
        <v>0.5612805059967777</v>
      </c>
    </row>
    <row r="88" spans="1:26" s="23" customFormat="1" hidden="1" outlineLevel="2" x14ac:dyDescent="0.25">
      <c r="A88" s="27"/>
      <c r="B88" s="10" t="str">
        <f>CONCATENATE("          ", "6115", " - ", "P.E.R.S.")</f>
        <v xml:space="preserve">          6115 - P.E.R.S.</v>
      </c>
      <c r="C88" s="10"/>
      <c r="D88" s="6">
        <v>1554.7</v>
      </c>
      <c r="E88" s="2"/>
      <c r="F88" s="7">
        <f t="shared" si="22"/>
        <v>3.931787246786402E-3</v>
      </c>
      <c r="G88" s="2"/>
      <c r="H88" s="6">
        <v>691.88</v>
      </c>
      <c r="I88" s="2"/>
      <c r="J88" s="7">
        <f t="shared" si="23"/>
        <v>3.8550052664493516E-3</v>
      </c>
      <c r="K88" s="2"/>
      <c r="L88" s="6">
        <f t="shared" si="24"/>
        <v>862.82</v>
      </c>
      <c r="M88" s="2"/>
      <c r="N88" s="7">
        <f t="shared" si="25"/>
        <v>1.247065965196277</v>
      </c>
      <c r="O88" s="10"/>
      <c r="P88" s="6">
        <v>17704.490000000002</v>
      </c>
      <c r="Q88" s="2"/>
      <c r="R88" s="7">
        <f t="shared" si="26"/>
        <v>8.716671084372957E-3</v>
      </c>
      <c r="S88" s="2"/>
      <c r="T88" s="6">
        <v>8816.4</v>
      </c>
      <c r="U88" s="2"/>
      <c r="V88" s="7">
        <f t="shared" si="27"/>
        <v>3.7715395520361208E-3</v>
      </c>
      <c r="W88" s="2"/>
      <c r="X88" s="6">
        <f t="shared" si="28"/>
        <v>8888.090000000002</v>
      </c>
      <c r="Y88" s="2"/>
      <c r="Z88" s="7">
        <f t="shared" si="29"/>
        <v>1.0081314368676559</v>
      </c>
    </row>
    <row r="89" spans="1:26" s="23" customFormat="1" hidden="1" outlineLevel="2" x14ac:dyDescent="0.25">
      <c r="A89" s="27"/>
      <c r="B89" s="10" t="str">
        <f>CONCATENATE("          ", "6118", " - ", "VACATION")</f>
        <v xml:space="preserve">          6118 - VACATION</v>
      </c>
      <c r="C89" s="10"/>
      <c r="D89" s="6">
        <v>1290.6199999999999</v>
      </c>
      <c r="E89" s="2"/>
      <c r="F89" s="7">
        <f t="shared" si="22"/>
        <v>3.263937258922921E-3</v>
      </c>
      <c r="G89" s="2"/>
      <c r="H89" s="6">
        <v>694.46</v>
      </c>
      <c r="I89" s="2"/>
      <c r="J89" s="7">
        <f t="shared" si="23"/>
        <v>3.8693804667549528E-3</v>
      </c>
      <c r="K89" s="2"/>
      <c r="L89" s="6">
        <f t="shared" si="24"/>
        <v>596.15999999999985</v>
      </c>
      <c r="M89" s="2"/>
      <c r="N89" s="7">
        <f t="shared" si="25"/>
        <v>0.85845117069377619</v>
      </c>
      <c r="O89" s="10"/>
      <c r="P89" s="6">
        <v>14219.52</v>
      </c>
      <c r="Q89" s="2"/>
      <c r="R89" s="7">
        <f t="shared" si="26"/>
        <v>7.000872593204489E-3</v>
      </c>
      <c r="S89" s="2"/>
      <c r="T89" s="6">
        <v>9774.48</v>
      </c>
      <c r="U89" s="2"/>
      <c r="V89" s="7">
        <f t="shared" si="27"/>
        <v>4.1813935303055688E-3</v>
      </c>
      <c r="W89" s="2"/>
      <c r="X89" s="6">
        <f t="shared" si="28"/>
        <v>4445.0400000000009</v>
      </c>
      <c r="Y89" s="2"/>
      <c r="Z89" s="7">
        <f t="shared" si="29"/>
        <v>0.45475974169469896</v>
      </c>
    </row>
    <row r="90" spans="1:26" s="23" customFormat="1" hidden="1" outlineLevel="2" x14ac:dyDescent="0.25">
      <c r="A90" s="27"/>
      <c r="B90" s="10" t="str">
        <f>CONCATENATE("          ", "6119", " - ", "SICK LEAVE")</f>
        <v xml:space="preserve">          6119 - SICK LEAVE</v>
      </c>
      <c r="C90" s="10"/>
      <c r="D90" s="6">
        <v>889.54</v>
      </c>
      <c r="E90" s="2"/>
      <c r="F90" s="7">
        <f t="shared" si="22"/>
        <v>2.2496185936234487E-3</v>
      </c>
      <c r="G90" s="2"/>
      <c r="H90" s="6">
        <v>489.36</v>
      </c>
      <c r="I90" s="2"/>
      <c r="J90" s="7">
        <f t="shared" si="23"/>
        <v>2.7266077602903028E-3</v>
      </c>
      <c r="K90" s="2"/>
      <c r="L90" s="6">
        <f t="shared" si="24"/>
        <v>400.17999999999995</v>
      </c>
      <c r="M90" s="2"/>
      <c r="N90" s="7">
        <f t="shared" si="25"/>
        <v>0.81776197482426016</v>
      </c>
      <c r="O90" s="10"/>
      <c r="P90" s="6">
        <v>10016.74</v>
      </c>
      <c r="Q90" s="2"/>
      <c r="R90" s="7">
        <f t="shared" si="26"/>
        <v>4.9316658044192161E-3</v>
      </c>
      <c r="S90" s="2"/>
      <c r="T90" s="6">
        <v>13286.01</v>
      </c>
      <c r="U90" s="2"/>
      <c r="V90" s="7">
        <f t="shared" si="27"/>
        <v>5.6835797155014994E-3</v>
      </c>
      <c r="W90" s="2"/>
      <c r="X90" s="6">
        <f t="shared" si="28"/>
        <v>-3269.2700000000004</v>
      </c>
      <c r="Y90" s="2"/>
      <c r="Z90" s="7">
        <f t="shared" si="29"/>
        <v>-0.24606860901053065</v>
      </c>
    </row>
    <row r="91" spans="1:26" s="23" customFormat="1" hidden="1" outlineLevel="2" x14ac:dyDescent="0.25">
      <c r="A91" s="27"/>
      <c r="B91" s="10" t="str">
        <f>CONCATENATE("          ", "6156", " - ", "EMPLOYEE MEALS")</f>
        <v xml:space="preserve">          6156 - EMPLOYEE MEALS</v>
      </c>
      <c r="C91" s="10"/>
      <c r="D91" s="6">
        <v>381.38</v>
      </c>
      <c r="E91" s="2"/>
      <c r="F91" s="7">
        <f t="shared" si="22"/>
        <v>9.6449798686524591E-4</v>
      </c>
      <c r="G91" s="2"/>
      <c r="H91" s="6">
        <v>168</v>
      </c>
      <c r="I91" s="2"/>
      <c r="J91" s="7">
        <f t="shared" si="23"/>
        <v>9.3605955478333097E-4</v>
      </c>
      <c r="K91" s="2"/>
      <c r="L91" s="6">
        <f t="shared" si="24"/>
        <v>213.38</v>
      </c>
      <c r="M91" s="2"/>
      <c r="N91" s="7">
        <f t="shared" si="25"/>
        <v>1.2701190476190476</v>
      </c>
      <c r="O91" s="10"/>
      <c r="P91" s="6">
        <v>3596.68</v>
      </c>
      <c r="Q91" s="2"/>
      <c r="R91" s="7">
        <f t="shared" si="26"/>
        <v>1.7707980605904221E-3</v>
      </c>
      <c r="S91" s="2"/>
      <c r="T91" s="6">
        <v>2127.2800000000002</v>
      </c>
      <c r="U91" s="2"/>
      <c r="V91" s="7">
        <f t="shared" si="27"/>
        <v>9.1002230595882676E-4</v>
      </c>
      <c r="W91" s="2"/>
      <c r="X91" s="6">
        <f t="shared" si="28"/>
        <v>1469.3999999999996</v>
      </c>
      <c r="Y91" s="2"/>
      <c r="Z91" s="7">
        <f t="shared" si="29"/>
        <v>0.69074122823511686</v>
      </c>
    </row>
    <row r="92" spans="1:26" s="26" customFormat="1" outlineLevel="1" collapsed="1" x14ac:dyDescent="0.25">
      <c r="A92" s="25"/>
      <c r="B92" s="12" t="str">
        <f>CONCATENATE("     ","*Payroll                                          ")</f>
        <v xml:space="preserve">     *Payroll                                          </v>
      </c>
      <c r="C92" s="12"/>
      <c r="D92" s="1">
        <f>SUM(OSRRefD22_1x_0)</f>
        <v>34031.370000000003</v>
      </c>
      <c r="E92" s="1"/>
      <c r="F92" s="5">
        <f t="shared" ref="F92:F98" si="30">IF(D$12=0,0,D92/D$12)</f>
        <v>8.6064260987116073E-2</v>
      </c>
      <c r="G92" s="1"/>
      <c r="H92" s="1">
        <f>SUM(OSRRefH22_1x_0)</f>
        <v>12053.98</v>
      </c>
      <c r="I92" s="1"/>
      <c r="J92" s="5">
        <f t="shared" ref="J92:J98" si="31">IF(H$12=0,0,H92/H$12)</f>
        <v>6.716216162004271E-2</v>
      </c>
      <c r="K92" s="1"/>
      <c r="L92" s="1">
        <f t="shared" ref="L92:L98" si="32">+D92-H92</f>
        <v>21977.390000000003</v>
      </c>
      <c r="M92" s="1"/>
      <c r="N92" s="5">
        <f t="shared" ref="N92:N98" si="33">IF(H92=0,0,L92/H92)</f>
        <v>1.8232475912520183</v>
      </c>
      <c r="O92" s="12"/>
      <c r="P92" s="1">
        <f>SUM(OSRRefP22_1x_0)</f>
        <v>339782.73999999993</v>
      </c>
      <c r="Q92" s="1"/>
      <c r="R92" s="5">
        <f t="shared" ref="R92:R98" si="34">IF(P$12=0,0,P92/P$12)</f>
        <v>0.16728944944062288</v>
      </c>
      <c r="S92" s="1"/>
      <c r="T92" s="1">
        <f>SUM(OSRRefT22_1x_0)</f>
        <v>242259.63</v>
      </c>
      <c r="U92" s="1"/>
      <c r="V92" s="5">
        <f t="shared" ref="V92:V98" si="35">IF(T$12=0,0,T92/T$12)</f>
        <v>0.10363547212089247</v>
      </c>
      <c r="W92" s="1"/>
      <c r="X92" s="1">
        <f t="shared" ref="X92:X98" si="36">+P92-T92</f>
        <v>97523.109999999928</v>
      </c>
      <c r="Y92" s="1"/>
      <c r="Z92" s="5">
        <f t="shared" ref="Z92:Z98" si="37">IF(T92=0,0,X92/T92)</f>
        <v>0.40255617495989704</v>
      </c>
    </row>
    <row r="93" spans="1:26" s="23" customFormat="1" hidden="1" outlineLevel="2" x14ac:dyDescent="0.25">
      <c r="A93" s="27"/>
      <c r="B93" s="10" t="str">
        <f>CONCATENATE("          ", "6002", " - ", "STAFF SALARIES")</f>
        <v xml:space="preserve">          6002 - STAFF SALARIES</v>
      </c>
      <c r="C93" s="10"/>
      <c r="D93" s="6">
        <v>16224.09</v>
      </c>
      <c r="E93" s="2"/>
      <c r="F93" s="7">
        <f t="shared" si="30"/>
        <v>4.1030211714616835E-2</v>
      </c>
      <c r="G93" s="2"/>
      <c r="H93" s="6">
        <v>6092.32</v>
      </c>
      <c r="I93" s="2"/>
      <c r="J93" s="7">
        <f t="shared" si="31"/>
        <v>3.3945085397604657E-2</v>
      </c>
      <c r="K93" s="2"/>
      <c r="L93" s="6">
        <f t="shared" si="32"/>
        <v>10131.77</v>
      </c>
      <c r="M93" s="2"/>
      <c r="N93" s="7">
        <f t="shared" si="33"/>
        <v>1.6630396958794025</v>
      </c>
      <c r="O93" s="10"/>
      <c r="P93" s="6">
        <v>155346.57999999999</v>
      </c>
      <c r="Q93" s="2"/>
      <c r="R93" s="7">
        <f t="shared" si="34"/>
        <v>7.6483707914897864E-2</v>
      </c>
      <c r="S93" s="2"/>
      <c r="T93" s="6">
        <v>79440.34</v>
      </c>
      <c r="U93" s="2"/>
      <c r="V93" s="7">
        <f t="shared" si="35"/>
        <v>3.3983528916246668E-2</v>
      </c>
      <c r="W93" s="2"/>
      <c r="X93" s="6">
        <f t="shared" si="36"/>
        <v>75906.239999999991</v>
      </c>
      <c r="Y93" s="2"/>
      <c r="Z93" s="7">
        <f t="shared" si="37"/>
        <v>0.95551252675907472</v>
      </c>
    </row>
    <row r="94" spans="1:26" s="23" customFormat="1" hidden="1" outlineLevel="2" x14ac:dyDescent="0.25">
      <c r="A94" s="27"/>
      <c r="B94" s="10" t="str">
        <f>CONCATENATE("          ", "6004", " - ", "STAFF HOURLY")</f>
        <v xml:space="preserve">          6004 - STAFF HOURLY</v>
      </c>
      <c r="C94" s="10"/>
      <c r="D94" s="6">
        <v>3964.52</v>
      </c>
      <c r="E94" s="2"/>
      <c r="F94" s="7">
        <f t="shared" si="30"/>
        <v>1.002614599320102E-2</v>
      </c>
      <c r="G94" s="2"/>
      <c r="H94" s="6">
        <v>3914</v>
      </c>
      <c r="I94" s="2"/>
      <c r="J94" s="7">
        <f t="shared" si="31"/>
        <v>2.1807958913225938E-2</v>
      </c>
      <c r="K94" s="2"/>
      <c r="L94" s="6">
        <f t="shared" si="32"/>
        <v>50.519999999999982</v>
      </c>
      <c r="M94" s="2"/>
      <c r="N94" s="7">
        <f t="shared" si="33"/>
        <v>1.2907511497189571E-2</v>
      </c>
      <c r="O94" s="10"/>
      <c r="P94" s="6">
        <v>58556.06</v>
      </c>
      <c r="Q94" s="2"/>
      <c r="R94" s="7">
        <f t="shared" si="34"/>
        <v>2.8829631071937561E-2</v>
      </c>
      <c r="S94" s="2"/>
      <c r="T94" s="6">
        <v>16662.509999999998</v>
      </c>
      <c r="U94" s="2"/>
      <c r="V94" s="7">
        <f t="shared" si="35"/>
        <v>7.1280018489629981E-3</v>
      </c>
      <c r="W94" s="2"/>
      <c r="X94" s="6">
        <f t="shared" si="36"/>
        <v>41893.550000000003</v>
      </c>
      <c r="Y94" s="2"/>
      <c r="Z94" s="7">
        <f t="shared" si="37"/>
        <v>2.5142400514688368</v>
      </c>
    </row>
    <row r="95" spans="1:26" s="23" customFormat="1" hidden="1" outlineLevel="2" x14ac:dyDescent="0.25">
      <c r="A95" s="27"/>
      <c r="B95" s="10" t="str">
        <f>CONCATENATE("          ", "6005", " - ", "TEMPORARY WAGES-HOURLY")</f>
        <v xml:space="preserve">          6005 - TEMPORARY WAGES-HOURLY</v>
      </c>
      <c r="C95" s="10"/>
      <c r="D95" s="6">
        <v>1100.19</v>
      </c>
      <c r="E95" s="2"/>
      <c r="F95" s="7">
        <f t="shared" si="30"/>
        <v>2.7823457972868922E-3</v>
      </c>
      <c r="G95" s="2"/>
      <c r="H95" s="6"/>
      <c r="I95" s="2"/>
      <c r="J95" s="7">
        <f t="shared" si="31"/>
        <v>0</v>
      </c>
      <c r="K95" s="2"/>
      <c r="L95" s="6">
        <f t="shared" si="32"/>
        <v>1100.19</v>
      </c>
      <c r="M95" s="2"/>
      <c r="N95" s="7">
        <f t="shared" si="33"/>
        <v>0</v>
      </c>
      <c r="O95" s="10"/>
      <c r="P95" s="6">
        <v>43899.15</v>
      </c>
      <c r="Q95" s="2"/>
      <c r="R95" s="7">
        <f t="shared" si="34"/>
        <v>2.1613412836718315E-2</v>
      </c>
      <c r="S95" s="2"/>
      <c r="T95" s="6">
        <v>29609.279999999999</v>
      </c>
      <c r="U95" s="2"/>
      <c r="V95" s="7">
        <f t="shared" si="35"/>
        <v>1.2666459170104812E-2</v>
      </c>
      <c r="W95" s="2"/>
      <c r="X95" s="6">
        <f t="shared" si="36"/>
        <v>14289.870000000003</v>
      </c>
      <c r="Y95" s="2"/>
      <c r="Z95" s="7">
        <f t="shared" si="37"/>
        <v>0.48261457218817894</v>
      </c>
    </row>
    <row r="96" spans="1:26" s="23" customFormat="1" hidden="1" outlineLevel="2" x14ac:dyDescent="0.25">
      <c r="A96" s="27"/>
      <c r="B96" s="10" t="str">
        <f>CONCATENATE("          ", "6006", " - ", "TEMPORARY PART TIME")</f>
        <v xml:space="preserve">          6006 - TEMPORARY PART TIME</v>
      </c>
      <c r="C96" s="10"/>
      <c r="D96" s="6">
        <v>1314.52</v>
      </c>
      <c r="E96" s="2"/>
      <c r="F96" s="7">
        <f t="shared" si="30"/>
        <v>3.324379604840587E-3</v>
      </c>
      <c r="G96" s="2"/>
      <c r="H96" s="6"/>
      <c r="I96" s="2"/>
      <c r="J96" s="7">
        <f t="shared" si="31"/>
        <v>0</v>
      </c>
      <c r="K96" s="2"/>
      <c r="L96" s="6">
        <f t="shared" si="32"/>
        <v>1314.52</v>
      </c>
      <c r="M96" s="2"/>
      <c r="N96" s="7">
        <f t="shared" si="33"/>
        <v>0</v>
      </c>
      <c r="O96" s="10"/>
      <c r="P96" s="6">
        <v>5581.64</v>
      </c>
      <c r="Q96" s="2"/>
      <c r="R96" s="7">
        <f t="shared" si="34"/>
        <v>2.7480780294365705E-3</v>
      </c>
      <c r="S96" s="2"/>
      <c r="T96" s="6">
        <v>911.29</v>
      </c>
      <c r="U96" s="2"/>
      <c r="V96" s="7">
        <f t="shared" si="35"/>
        <v>3.8983783385225219E-4</v>
      </c>
      <c r="W96" s="2"/>
      <c r="X96" s="6">
        <f t="shared" si="36"/>
        <v>4670.3500000000004</v>
      </c>
      <c r="Y96" s="2"/>
      <c r="Z96" s="7">
        <f t="shared" si="37"/>
        <v>5.1249876548628874</v>
      </c>
    </row>
    <row r="97" spans="1:26" s="23" customFormat="1" hidden="1" outlineLevel="2" x14ac:dyDescent="0.25">
      <c r="A97" s="27"/>
      <c r="B97" s="10" t="str">
        <f>CONCATENATE("          ", "6007", " - ", "STUDENT HOURLY")</f>
        <v xml:space="preserve">          6007 - STUDENT HOURLY</v>
      </c>
      <c r="C97" s="10"/>
      <c r="D97" s="6">
        <v>9085.57</v>
      </c>
      <c r="E97" s="2"/>
      <c r="F97" s="7">
        <f t="shared" si="30"/>
        <v>2.2977119866073922E-2</v>
      </c>
      <c r="G97" s="2"/>
      <c r="H97" s="6">
        <v>2047.66</v>
      </c>
      <c r="I97" s="2"/>
      <c r="J97" s="7">
        <f t="shared" si="31"/>
        <v>1.1409117309212116E-2</v>
      </c>
      <c r="K97" s="2"/>
      <c r="L97" s="6">
        <f t="shared" si="32"/>
        <v>7037.91</v>
      </c>
      <c r="M97" s="2"/>
      <c r="N97" s="7">
        <f t="shared" si="33"/>
        <v>3.4370500962073778</v>
      </c>
      <c r="O97" s="10"/>
      <c r="P97" s="6">
        <v>67022.649999999994</v>
      </c>
      <c r="Q97" s="2"/>
      <c r="R97" s="7">
        <f t="shared" si="34"/>
        <v>3.2998092306135283E-2</v>
      </c>
      <c r="S97" s="2"/>
      <c r="T97" s="6">
        <v>115441.21</v>
      </c>
      <c r="U97" s="2"/>
      <c r="V97" s="7">
        <f t="shared" si="35"/>
        <v>4.938422592553738E-2</v>
      </c>
      <c r="W97" s="2"/>
      <c r="X97" s="6">
        <f t="shared" si="36"/>
        <v>-48418.560000000012</v>
      </c>
      <c r="Y97" s="2"/>
      <c r="Z97" s="7">
        <f t="shared" si="37"/>
        <v>-0.41942179919978323</v>
      </c>
    </row>
    <row r="98" spans="1:26" s="23" customFormat="1" hidden="1" outlineLevel="2" x14ac:dyDescent="0.25">
      <c r="A98" s="27"/>
      <c r="B98" s="10" t="str">
        <f>CONCATENATE("          ", "6008", " - ", "STUDENT HOURLY-FICA EXEMPT")</f>
        <v xml:space="preserve">          6008 - STUDENT HOURLY-FICA EXEMPT</v>
      </c>
      <c r="C98" s="10"/>
      <c r="D98" s="6">
        <v>2342.48</v>
      </c>
      <c r="E98" s="2"/>
      <c r="F98" s="7">
        <f t="shared" si="30"/>
        <v>5.9240580110968095E-3</v>
      </c>
      <c r="G98" s="2"/>
      <c r="H98" s="6"/>
      <c r="I98" s="2"/>
      <c r="J98" s="7">
        <f t="shared" si="31"/>
        <v>0</v>
      </c>
      <c r="K98" s="2"/>
      <c r="L98" s="6">
        <f t="shared" si="32"/>
        <v>2342.48</v>
      </c>
      <c r="M98" s="2"/>
      <c r="N98" s="7">
        <f t="shared" si="33"/>
        <v>0</v>
      </c>
      <c r="O98" s="10"/>
      <c r="P98" s="6">
        <v>9376.66</v>
      </c>
      <c r="Q98" s="2"/>
      <c r="R98" s="7">
        <f t="shared" si="34"/>
        <v>4.6165272814973216E-3</v>
      </c>
      <c r="S98" s="2"/>
      <c r="T98" s="6">
        <v>195</v>
      </c>
      <c r="U98" s="2"/>
      <c r="V98" s="7">
        <f t="shared" si="35"/>
        <v>8.3418426188358469E-5</v>
      </c>
      <c r="W98" s="2"/>
      <c r="X98" s="6">
        <f t="shared" si="36"/>
        <v>9181.66</v>
      </c>
      <c r="Y98" s="2"/>
      <c r="Z98" s="7">
        <f t="shared" si="37"/>
        <v>47.0854358974359</v>
      </c>
    </row>
    <row r="99" spans="1:26" s="26" customFormat="1" outlineLevel="1" collapsed="1" x14ac:dyDescent="0.25">
      <c r="A99" s="25"/>
      <c r="B99" s="12" t="str">
        <f>CONCATENATE("     ","Advertising/Promo                                 ")</f>
        <v xml:space="preserve">     Advertising/Promo                                 </v>
      </c>
      <c r="C99" s="12"/>
      <c r="D99" s="1">
        <f>SUM(OSRRefD22_2x_0)</f>
        <v>205.07</v>
      </c>
      <c r="E99" s="1"/>
      <c r="F99" s="5">
        <f t="shared" ref="F99:F103" si="38">IF(D$12=0,0,D99/D$12)</f>
        <v>5.1861555972115999E-4</v>
      </c>
      <c r="G99" s="1"/>
      <c r="H99" s="1">
        <f>SUM(OSRRefH22_2x_0)</f>
        <v>1029</v>
      </c>
      <c r="I99" s="1"/>
      <c r="J99" s="5">
        <f t="shared" ref="J99:J103" si="39">IF(H$12=0,0,H99/H$12)</f>
        <v>5.7333647730479021E-3</v>
      </c>
      <c r="K99" s="1"/>
      <c r="L99" s="1">
        <f t="shared" ref="L99:L103" si="40">+D99-H99</f>
        <v>-823.93000000000006</v>
      </c>
      <c r="M99" s="1"/>
      <c r="N99" s="5">
        <f t="shared" ref="N99:N103" si="41">IF(H99=0,0,L99/H99)</f>
        <v>-0.80070942662779399</v>
      </c>
      <c r="O99" s="12"/>
      <c r="P99" s="1">
        <f>SUM(OSRRefP22_2x_0)</f>
        <v>13098.61</v>
      </c>
      <c r="Q99" s="1"/>
      <c r="R99" s="5">
        <f t="shared" ref="R99:R103" si="42">IF(P$12=0,0,P99/P$12)</f>
        <v>6.4490010744437396E-3</v>
      </c>
      <c r="S99" s="1"/>
      <c r="T99" s="1">
        <f>SUM(OSRRefT22_2x_0)</f>
        <v>19215.2</v>
      </c>
      <c r="U99" s="1"/>
      <c r="V99" s="5">
        <f t="shared" ref="V99:V103" si="43">IF(T$12=0,0,T99/T$12)</f>
        <v>8.2200089379207471E-3</v>
      </c>
      <c r="W99" s="1"/>
      <c r="X99" s="1">
        <f t="shared" ref="X99:X103" si="44">+P99-T99</f>
        <v>-6116.59</v>
      </c>
      <c r="Y99" s="1"/>
      <c r="Z99" s="5">
        <f t="shared" ref="Z99:Z103" si="45">IF(T99=0,0,X99/T99)</f>
        <v>-0.31832039218951663</v>
      </c>
    </row>
    <row r="100" spans="1:26" s="23" customFormat="1" hidden="1" outlineLevel="2" x14ac:dyDescent="0.25">
      <c r="A100" s="27"/>
      <c r="B100" s="10" t="str">
        <f>CONCATENATE("          ", "6362", " - ", "ADVERTISING EXPENSE")</f>
        <v xml:space="preserve">          6362 - ADVERTISING EXPENSE</v>
      </c>
      <c r="C100" s="10"/>
      <c r="D100" s="6">
        <v>205.07</v>
      </c>
      <c r="E100" s="2"/>
      <c r="F100" s="7">
        <f t="shared" si="38"/>
        <v>5.1861555972115999E-4</v>
      </c>
      <c r="G100" s="2"/>
      <c r="H100" s="6">
        <v>1029</v>
      </c>
      <c r="I100" s="2"/>
      <c r="J100" s="7">
        <f t="shared" si="39"/>
        <v>5.7333647730479021E-3</v>
      </c>
      <c r="K100" s="2"/>
      <c r="L100" s="6">
        <f t="shared" si="40"/>
        <v>-823.93000000000006</v>
      </c>
      <c r="M100" s="2"/>
      <c r="N100" s="7">
        <f t="shared" si="41"/>
        <v>-0.80070942662779399</v>
      </c>
      <c r="O100" s="10"/>
      <c r="P100" s="6">
        <v>13098.61</v>
      </c>
      <c r="Q100" s="2"/>
      <c r="R100" s="7">
        <f t="shared" si="42"/>
        <v>6.4490010744437396E-3</v>
      </c>
      <c r="S100" s="2"/>
      <c r="T100" s="6">
        <v>19215.2</v>
      </c>
      <c r="U100" s="2"/>
      <c r="V100" s="7">
        <f t="shared" si="43"/>
        <v>8.2200089379207471E-3</v>
      </c>
      <c r="W100" s="2"/>
      <c r="X100" s="6">
        <f t="shared" si="44"/>
        <v>-6116.59</v>
      </c>
      <c r="Y100" s="2"/>
      <c r="Z100" s="7">
        <f t="shared" si="45"/>
        <v>-0.31832039218951663</v>
      </c>
    </row>
    <row r="101" spans="1:26" s="26" customFormat="1" outlineLevel="1" collapsed="1" x14ac:dyDescent="0.25">
      <c r="A101" s="25"/>
      <c r="B101" s="12" t="str">
        <f>CONCATENATE("     ","Discounts and Markdowns                           ")</f>
        <v xml:space="preserve">     Discounts and Markdowns                           </v>
      </c>
      <c r="C101" s="12"/>
      <c r="D101" s="1">
        <f>SUM(OSRRefD22_3x_0)</f>
        <v>0</v>
      </c>
      <c r="E101" s="1"/>
      <c r="F101" s="5">
        <f t="shared" si="38"/>
        <v>0</v>
      </c>
      <c r="G101" s="1"/>
      <c r="H101" s="1">
        <f>SUM(OSRRefH22_3x_0)</f>
        <v>41510.68</v>
      </c>
      <c r="I101" s="1"/>
      <c r="J101" s="5">
        <f t="shared" si="39"/>
        <v>0.23128850380686503</v>
      </c>
      <c r="K101" s="1"/>
      <c r="L101" s="1">
        <f t="shared" si="40"/>
        <v>-41510.68</v>
      </c>
      <c r="M101" s="1"/>
      <c r="N101" s="5">
        <f t="shared" si="41"/>
        <v>-1</v>
      </c>
      <c r="O101" s="12"/>
      <c r="P101" s="1">
        <f>SUM(OSRRefP22_3x_0)</f>
        <v>0</v>
      </c>
      <c r="Q101" s="1"/>
      <c r="R101" s="5">
        <f t="shared" si="42"/>
        <v>0</v>
      </c>
      <c r="S101" s="1"/>
      <c r="T101" s="1">
        <f>SUM(OSRRefT22_3x_0)</f>
        <v>258791.21999999997</v>
      </c>
      <c r="U101" s="1"/>
      <c r="V101" s="5">
        <f t="shared" si="43"/>
        <v>0.110707468121873</v>
      </c>
      <c r="W101" s="1"/>
      <c r="X101" s="1">
        <f t="shared" si="44"/>
        <v>-258791.21999999997</v>
      </c>
      <c r="Y101" s="1"/>
      <c r="Z101" s="5">
        <f t="shared" si="45"/>
        <v>-1</v>
      </c>
    </row>
    <row r="102" spans="1:26" s="23" customFormat="1" hidden="1" outlineLevel="2" x14ac:dyDescent="0.25">
      <c r="A102" s="27"/>
      <c r="B102" s="10" t="str">
        <f>CONCATENATE("          ", "6382", " - ", "DISCOUNTS/MARK DOWNS")</f>
        <v xml:space="preserve">          6382 - DISCOUNTS/MARK DOWNS</v>
      </c>
      <c r="C102" s="10"/>
      <c r="D102" s="6">
        <v>0</v>
      </c>
      <c r="E102" s="2"/>
      <c r="F102" s="7">
        <f t="shared" si="38"/>
        <v>0</v>
      </c>
      <c r="G102" s="2"/>
      <c r="H102" s="6">
        <v>41510.68</v>
      </c>
      <c r="I102" s="2"/>
      <c r="J102" s="7">
        <f t="shared" si="39"/>
        <v>0.23128850380686503</v>
      </c>
      <c r="K102" s="2"/>
      <c r="L102" s="6">
        <f t="shared" si="40"/>
        <v>-41510.68</v>
      </c>
      <c r="M102" s="2"/>
      <c r="N102" s="7">
        <f t="shared" si="41"/>
        <v>-1</v>
      </c>
      <c r="O102" s="10"/>
      <c r="P102" s="6">
        <v>0</v>
      </c>
      <c r="Q102" s="2"/>
      <c r="R102" s="7">
        <f t="shared" si="42"/>
        <v>0</v>
      </c>
      <c r="S102" s="2"/>
      <c r="T102" s="6">
        <v>258810.61</v>
      </c>
      <c r="U102" s="2"/>
      <c r="V102" s="7">
        <f t="shared" si="43"/>
        <v>0.11071576290794373</v>
      </c>
      <c r="W102" s="2"/>
      <c r="X102" s="6">
        <f t="shared" si="44"/>
        <v>-258810.61</v>
      </c>
      <c r="Y102" s="2"/>
      <c r="Z102" s="7">
        <f t="shared" si="45"/>
        <v>-1</v>
      </c>
    </row>
    <row r="103" spans="1:26" s="23" customFormat="1" hidden="1" outlineLevel="2" x14ac:dyDescent="0.25">
      <c r="A103" s="27"/>
      <c r="B103" s="10" t="str">
        <f>CONCATENATE("          ", "9175", " - ", "EARNED DISCOUNTS")</f>
        <v xml:space="preserve">          9175 - EARNED DISCOUNTS</v>
      </c>
      <c r="C103" s="10"/>
      <c r="D103" s="6"/>
      <c r="E103" s="2"/>
      <c r="F103" s="7">
        <f t="shared" si="38"/>
        <v>0</v>
      </c>
      <c r="G103" s="2"/>
      <c r="H103" s="6"/>
      <c r="I103" s="2"/>
      <c r="J103" s="7">
        <f t="shared" si="39"/>
        <v>0</v>
      </c>
      <c r="K103" s="2"/>
      <c r="L103" s="6">
        <f t="shared" si="40"/>
        <v>0</v>
      </c>
      <c r="M103" s="2"/>
      <c r="N103" s="7">
        <f t="shared" si="41"/>
        <v>0</v>
      </c>
      <c r="O103" s="10"/>
      <c r="P103" s="6">
        <v>0</v>
      </c>
      <c r="Q103" s="2"/>
      <c r="R103" s="7">
        <f t="shared" si="42"/>
        <v>0</v>
      </c>
      <c r="S103" s="2"/>
      <c r="T103" s="6">
        <v>-19.39</v>
      </c>
      <c r="U103" s="2"/>
      <c r="V103" s="7">
        <f t="shared" si="43"/>
        <v>-8.2947860707295929E-6</v>
      </c>
      <c r="W103" s="2"/>
      <c r="X103" s="6">
        <f t="shared" si="44"/>
        <v>19.39</v>
      </c>
      <c r="Y103" s="2"/>
      <c r="Z103" s="7">
        <f t="shared" si="45"/>
        <v>-1</v>
      </c>
    </row>
    <row r="104" spans="1:26" s="26" customFormat="1" outlineLevel="1" collapsed="1" x14ac:dyDescent="0.25">
      <c r="A104" s="25"/>
      <c r="B104" s="12" t="str">
        <f>CONCATENATE("     ","Employees' Appreciation                           ")</f>
        <v xml:space="preserve">     Employees' Appreciation                           </v>
      </c>
      <c r="C104" s="12"/>
      <c r="D104" s="1">
        <f>SUM(OSRRefD22_4x_0)</f>
        <v>0</v>
      </c>
      <c r="E104" s="1"/>
      <c r="F104" s="5">
        <f t="shared" ref="F104:F108" si="46">IF(D$12=0,0,D104/D$12)</f>
        <v>0</v>
      </c>
      <c r="G104" s="1"/>
      <c r="H104" s="1">
        <f>SUM(OSRRefH22_4x_0)</f>
        <v>0</v>
      </c>
      <c r="I104" s="1"/>
      <c r="J104" s="5">
        <f t="shared" ref="J104:J108" si="47">IF(H$12=0,0,H104/H$12)</f>
        <v>0</v>
      </c>
      <c r="K104" s="1"/>
      <c r="L104" s="1">
        <f t="shared" ref="L104:L108" si="48">+D104-H104</f>
        <v>0</v>
      </c>
      <c r="M104" s="1"/>
      <c r="N104" s="5">
        <f t="shared" ref="N104:N108" si="49">IF(H104=0,0,L104/H104)</f>
        <v>0</v>
      </c>
      <c r="O104" s="12"/>
      <c r="P104" s="1">
        <f>SUM(OSRRefP22_4x_0)</f>
        <v>0</v>
      </c>
      <c r="Q104" s="1"/>
      <c r="R104" s="5">
        <f t="shared" ref="R104:R108" si="50">IF(P$12=0,0,P104/P$12)</f>
        <v>0</v>
      </c>
      <c r="S104" s="1"/>
      <c r="T104" s="1">
        <f>SUM(OSRRefT22_4x_0)</f>
        <v>255.44</v>
      </c>
      <c r="U104" s="1"/>
      <c r="V104" s="5">
        <f t="shared" ref="V104:V108" si="51">IF(T$12=0,0,T104/T$12)</f>
        <v>1.0927386043873992E-4</v>
      </c>
      <c r="W104" s="1"/>
      <c r="X104" s="1">
        <f t="shared" ref="X104:X108" si="52">+P104-T104</f>
        <v>-255.44</v>
      </c>
      <c r="Y104" s="1"/>
      <c r="Z104" s="5">
        <f t="shared" ref="Z104:Z108" si="53">IF(T104=0,0,X104/T104)</f>
        <v>-1</v>
      </c>
    </row>
    <row r="105" spans="1:26" s="23" customFormat="1" hidden="1" outlineLevel="2" x14ac:dyDescent="0.25">
      <c r="A105" s="27"/>
      <c r="B105" s="10" t="str">
        <f>CONCATENATE("          ", "6277", " - ", "EMPLOYEE APPRECIATION")</f>
        <v xml:space="preserve">          6277 - EMPLOYEE APPRECIATION</v>
      </c>
      <c r="C105" s="10"/>
      <c r="D105" s="6"/>
      <c r="E105" s="2"/>
      <c r="F105" s="7">
        <f t="shared" si="46"/>
        <v>0</v>
      </c>
      <c r="G105" s="2"/>
      <c r="H105" s="6"/>
      <c r="I105" s="2"/>
      <c r="J105" s="7">
        <f t="shared" si="47"/>
        <v>0</v>
      </c>
      <c r="K105" s="2"/>
      <c r="L105" s="6">
        <f t="shared" si="48"/>
        <v>0</v>
      </c>
      <c r="M105" s="2"/>
      <c r="N105" s="7">
        <f t="shared" si="49"/>
        <v>0</v>
      </c>
      <c r="O105" s="10"/>
      <c r="P105" s="6"/>
      <c r="Q105" s="2"/>
      <c r="R105" s="7">
        <f t="shared" si="50"/>
        <v>0</v>
      </c>
      <c r="S105" s="2"/>
      <c r="T105" s="6">
        <v>255.44</v>
      </c>
      <c r="U105" s="2"/>
      <c r="V105" s="7">
        <f t="shared" si="51"/>
        <v>1.0927386043873992E-4</v>
      </c>
      <c r="W105" s="2"/>
      <c r="X105" s="6">
        <f t="shared" si="52"/>
        <v>-255.44</v>
      </c>
      <c r="Y105" s="2"/>
      <c r="Z105" s="7">
        <f t="shared" si="53"/>
        <v>-1</v>
      </c>
    </row>
    <row r="106" spans="1:26" s="26" customFormat="1" outlineLevel="1" collapsed="1" x14ac:dyDescent="0.25">
      <c r="A106" s="25"/>
      <c r="B106" s="12" t="str">
        <f>CONCATENATE("     ","Freight out/Postage                               ")</f>
        <v xml:space="preserve">     Freight out/Postage                               </v>
      </c>
      <c r="C106" s="12"/>
      <c r="D106" s="1">
        <f>SUM(OSRRefD22_5x_0)</f>
        <v>29.05</v>
      </c>
      <c r="E106" s="1"/>
      <c r="F106" s="5">
        <f t="shared" si="46"/>
        <v>7.3466533427120974E-5</v>
      </c>
      <c r="G106" s="1"/>
      <c r="H106" s="1">
        <f>SUM(OSRRefH22_5x_0)</f>
        <v>10.73</v>
      </c>
      <c r="I106" s="1"/>
      <c r="J106" s="5">
        <f t="shared" si="47"/>
        <v>5.9785232278721083E-5</v>
      </c>
      <c r="K106" s="1"/>
      <c r="L106" s="1">
        <f t="shared" si="48"/>
        <v>18.32</v>
      </c>
      <c r="M106" s="1"/>
      <c r="N106" s="5">
        <f t="shared" si="49"/>
        <v>1.7073625349487418</v>
      </c>
      <c r="O106" s="12"/>
      <c r="P106" s="1">
        <f>SUM(OSRRefP22_5x_0)</f>
        <v>-146.84999999999997</v>
      </c>
      <c r="Q106" s="1"/>
      <c r="R106" s="5">
        <f t="shared" si="50"/>
        <v>-7.230048133214616E-5</v>
      </c>
      <c r="S106" s="1"/>
      <c r="T106" s="1">
        <f>SUM(OSRRefT22_5x_0)</f>
        <v>129.6</v>
      </c>
      <c r="U106" s="1"/>
      <c r="V106" s="5">
        <f t="shared" si="51"/>
        <v>5.5441169405185931E-5</v>
      </c>
      <c r="W106" s="1"/>
      <c r="X106" s="1">
        <f t="shared" si="52"/>
        <v>-276.44999999999993</v>
      </c>
      <c r="Y106" s="1"/>
      <c r="Z106" s="5">
        <f t="shared" si="53"/>
        <v>-2.1331018518518516</v>
      </c>
    </row>
    <row r="107" spans="1:26" s="23" customFormat="1" hidden="1" outlineLevel="2" x14ac:dyDescent="0.25">
      <c r="A107" s="27"/>
      <c r="B107" s="10" t="str">
        <f>CONCATENATE("          ", "6305", " - ", "FREIGHT OUT")</f>
        <v xml:space="preserve">          6305 - FREIGHT OUT</v>
      </c>
      <c r="C107" s="10"/>
      <c r="D107" s="6">
        <v>29.05</v>
      </c>
      <c r="E107" s="2"/>
      <c r="F107" s="7">
        <f t="shared" si="46"/>
        <v>7.3466533427120974E-5</v>
      </c>
      <c r="G107" s="2"/>
      <c r="H107" s="6">
        <v>10.73</v>
      </c>
      <c r="I107" s="2"/>
      <c r="J107" s="7">
        <f t="shared" si="47"/>
        <v>5.9785232278721083E-5</v>
      </c>
      <c r="K107" s="2"/>
      <c r="L107" s="6">
        <f t="shared" si="48"/>
        <v>18.32</v>
      </c>
      <c r="M107" s="2"/>
      <c r="N107" s="7">
        <f t="shared" si="49"/>
        <v>1.7073625349487418</v>
      </c>
      <c r="O107" s="10"/>
      <c r="P107" s="6">
        <v>142.49</v>
      </c>
      <c r="Q107" s="2"/>
      <c r="R107" s="7">
        <f t="shared" si="50"/>
        <v>7.0153868471348375E-5</v>
      </c>
      <c r="S107" s="2"/>
      <c r="T107" s="6">
        <v>129.1</v>
      </c>
      <c r="U107" s="2"/>
      <c r="V107" s="7">
        <f t="shared" si="51"/>
        <v>5.5227276004702957E-5</v>
      </c>
      <c r="W107" s="2"/>
      <c r="X107" s="6">
        <f t="shared" si="52"/>
        <v>13.390000000000015</v>
      </c>
      <c r="Y107" s="2"/>
      <c r="Z107" s="7">
        <f t="shared" si="53"/>
        <v>0.10371804802478711</v>
      </c>
    </row>
    <row r="108" spans="1:26" s="23" customFormat="1" hidden="1" outlineLevel="2" x14ac:dyDescent="0.25">
      <c r="A108" s="27"/>
      <c r="B108" s="10" t="str">
        <f>CONCATENATE("          ", "6307", " - ", "POSTAGE")</f>
        <v xml:space="preserve">          6307 - POSTAGE</v>
      </c>
      <c r="C108" s="10"/>
      <c r="D108" s="6"/>
      <c r="E108" s="2"/>
      <c r="F108" s="7">
        <f t="shared" si="46"/>
        <v>0</v>
      </c>
      <c r="G108" s="2"/>
      <c r="H108" s="6"/>
      <c r="I108" s="2"/>
      <c r="J108" s="7">
        <f t="shared" si="47"/>
        <v>0</v>
      </c>
      <c r="K108" s="2"/>
      <c r="L108" s="6">
        <f t="shared" si="48"/>
        <v>0</v>
      </c>
      <c r="M108" s="2"/>
      <c r="N108" s="7">
        <f t="shared" si="49"/>
        <v>0</v>
      </c>
      <c r="O108" s="10"/>
      <c r="P108" s="6">
        <v>-289.33999999999997</v>
      </c>
      <c r="Q108" s="2"/>
      <c r="R108" s="7">
        <f t="shared" si="50"/>
        <v>-1.4245434980349452E-4</v>
      </c>
      <c r="S108" s="2"/>
      <c r="T108" s="6">
        <v>0.5</v>
      </c>
      <c r="U108" s="2"/>
      <c r="V108" s="7">
        <f t="shared" si="51"/>
        <v>2.1389340048297042E-7</v>
      </c>
      <c r="W108" s="2"/>
      <c r="X108" s="6">
        <f t="shared" si="52"/>
        <v>-289.83999999999997</v>
      </c>
      <c r="Y108" s="2"/>
      <c r="Z108" s="7">
        <f t="shared" si="53"/>
        <v>-579.67999999999995</v>
      </c>
    </row>
    <row r="109" spans="1:26" s="26" customFormat="1" outlineLevel="1" collapsed="1" x14ac:dyDescent="0.25">
      <c r="A109" s="25"/>
      <c r="B109" s="12" t="str">
        <f>CONCATENATE("     ","Inventory Adjustment                              ")</f>
        <v xml:space="preserve">     Inventory Adjustment                              </v>
      </c>
      <c r="C109" s="12"/>
      <c r="D109" s="1">
        <f>SUM(OSRRefD22_6x_0)</f>
        <v>1000</v>
      </c>
      <c r="E109" s="1"/>
      <c r="F109" s="5">
        <f t="shared" ref="F109:F111" si="54">IF(D$12=0,0,D109/D$12)</f>
        <v>2.5289684484378992E-3</v>
      </c>
      <c r="G109" s="1"/>
      <c r="H109" s="1">
        <f>SUM(OSRRefH22_6x_0)</f>
        <v>2850</v>
      </c>
      <c r="I109" s="1"/>
      <c r="J109" s="5">
        <f t="shared" ref="J109:J111" si="55">IF(H$12=0,0,H109/H$12)</f>
        <v>1.5879581732931507E-2</v>
      </c>
      <c r="K109" s="1"/>
      <c r="L109" s="1">
        <f t="shared" ref="L109:L111" si="56">+D109-H109</f>
        <v>-1850</v>
      </c>
      <c r="M109" s="1"/>
      <c r="N109" s="5">
        <f t="shared" ref="N109:N111" si="57">IF(H109=0,0,L109/H109)</f>
        <v>-0.64912280701754388</v>
      </c>
      <c r="O109" s="12"/>
      <c r="P109" s="1">
        <f>SUM(OSRRefP22_6x_0)</f>
        <v>11000</v>
      </c>
      <c r="Q109" s="1"/>
      <c r="R109" s="5">
        <f t="shared" ref="R109:R111" si="58">IF(P$12=0,0,P109/P$12)</f>
        <v>5.4157663919210614E-3</v>
      </c>
      <c r="S109" s="1"/>
      <c r="T109" s="1">
        <f>SUM(OSRRefT22_6x_0)</f>
        <v>31350</v>
      </c>
      <c r="U109" s="1"/>
      <c r="V109" s="5">
        <f t="shared" ref="V109:V111" si="59">IF(T$12=0,0,T109/T$12)</f>
        <v>1.3411116210282245E-2</v>
      </c>
      <c r="W109" s="1"/>
      <c r="X109" s="1">
        <f t="shared" ref="X109:X111" si="60">+P109-T109</f>
        <v>-20350</v>
      </c>
      <c r="Y109" s="1"/>
      <c r="Z109" s="5">
        <f t="shared" ref="Z109:Z111" si="61">IF(T109=0,0,X109/T109)</f>
        <v>-0.64912280701754388</v>
      </c>
    </row>
    <row r="110" spans="1:26" s="23" customFormat="1" hidden="1" outlineLevel="2" x14ac:dyDescent="0.25">
      <c r="A110" s="27"/>
      <c r="B110" s="10" t="str">
        <f>CONCATENATE("          ", "6408", " - ", "INVENTORY ADJUSTMENT")</f>
        <v xml:space="preserve">          6408 - INVENTORY ADJUSTMENT</v>
      </c>
      <c r="C110" s="10"/>
      <c r="D110" s="6">
        <v>1000</v>
      </c>
      <c r="E110" s="2"/>
      <c r="F110" s="7">
        <f t="shared" si="54"/>
        <v>2.5289684484378992E-3</v>
      </c>
      <c r="G110" s="2"/>
      <c r="H110" s="6">
        <v>2850</v>
      </c>
      <c r="I110" s="2"/>
      <c r="J110" s="7">
        <f t="shared" si="55"/>
        <v>1.5879581732931507E-2</v>
      </c>
      <c r="K110" s="2"/>
      <c r="L110" s="6">
        <f t="shared" si="56"/>
        <v>-1850</v>
      </c>
      <c r="M110" s="2"/>
      <c r="N110" s="7">
        <f t="shared" si="57"/>
        <v>-0.64912280701754388</v>
      </c>
      <c r="O110" s="10"/>
      <c r="P110" s="6">
        <v>11000</v>
      </c>
      <c r="Q110" s="2"/>
      <c r="R110" s="7">
        <f t="shared" si="58"/>
        <v>5.4157663919210614E-3</v>
      </c>
      <c r="S110" s="2"/>
      <c r="T110" s="6">
        <v>31350</v>
      </c>
      <c r="U110" s="2"/>
      <c r="V110" s="7">
        <f t="shared" si="59"/>
        <v>1.3411116210282245E-2</v>
      </c>
      <c r="W110" s="2"/>
      <c r="X110" s="6">
        <f t="shared" si="60"/>
        <v>-20350</v>
      </c>
      <c r="Y110" s="2"/>
      <c r="Z110" s="7">
        <f t="shared" si="61"/>
        <v>-0.64912280701754388</v>
      </c>
    </row>
    <row r="111" spans="1:26" s="23" customFormat="1" hidden="1" outlineLevel="2" x14ac:dyDescent="0.25">
      <c r="A111" s="27"/>
      <c r="B111" s="10" t="str">
        <f>CONCATENATE("          ", "7741", " - ", "INV. SHRINKAGE-LOGO GIFTS")</f>
        <v xml:space="preserve">          7741 - INV. SHRINKAGE-LOGO GIFTS</v>
      </c>
      <c r="C111" s="10"/>
      <c r="D111" s="6"/>
      <c r="E111" s="2"/>
      <c r="F111" s="7">
        <f t="shared" si="54"/>
        <v>0</v>
      </c>
      <c r="G111" s="2"/>
      <c r="H111" s="6"/>
      <c r="I111" s="2"/>
      <c r="J111" s="7">
        <f t="shared" si="55"/>
        <v>0</v>
      </c>
      <c r="K111" s="2"/>
      <c r="L111" s="6">
        <f t="shared" si="56"/>
        <v>0</v>
      </c>
      <c r="M111" s="2"/>
      <c r="N111" s="7">
        <f t="shared" si="57"/>
        <v>0</v>
      </c>
      <c r="O111" s="10"/>
      <c r="P111" s="6">
        <v>0</v>
      </c>
      <c r="Q111" s="2"/>
      <c r="R111" s="7">
        <f t="shared" si="58"/>
        <v>0</v>
      </c>
      <c r="S111" s="2"/>
      <c r="T111" s="6"/>
      <c r="U111" s="2"/>
      <c r="V111" s="7">
        <f t="shared" si="59"/>
        <v>0</v>
      </c>
      <c r="W111" s="2"/>
      <c r="X111" s="6">
        <f t="shared" si="60"/>
        <v>0</v>
      </c>
      <c r="Y111" s="2"/>
      <c r="Z111" s="7">
        <f t="shared" si="61"/>
        <v>0</v>
      </c>
    </row>
    <row r="112" spans="1:26" s="26" customFormat="1" outlineLevel="1" collapsed="1" x14ac:dyDescent="0.25">
      <c r="A112" s="25"/>
      <c r="B112" s="12" t="str">
        <f>CONCATENATE("     ","Professional Services                             ")</f>
        <v xml:space="preserve">     Professional Services                             </v>
      </c>
      <c r="C112" s="12"/>
      <c r="D112" s="1">
        <f>SUM(OSRRefD22_7x_0)</f>
        <v>0</v>
      </c>
      <c r="E112" s="1"/>
      <c r="F112" s="5">
        <f t="shared" ref="F112:F118" si="62">IF(D$12=0,0,D112/D$12)</f>
        <v>0</v>
      </c>
      <c r="G112" s="1"/>
      <c r="H112" s="1">
        <f>SUM(OSRRefH22_7x_0)</f>
        <v>0</v>
      </c>
      <c r="I112" s="1"/>
      <c r="J112" s="5">
        <f t="shared" ref="J112:J118" si="63">IF(H$12=0,0,H112/H$12)</f>
        <v>0</v>
      </c>
      <c r="K112" s="1"/>
      <c r="L112" s="1">
        <f t="shared" ref="L112:L118" si="64">+D112-H112</f>
        <v>0</v>
      </c>
      <c r="M112" s="1"/>
      <c r="N112" s="5">
        <f t="shared" ref="N112:N118" si="65">IF(H112=0,0,L112/H112)</f>
        <v>0</v>
      </c>
      <c r="O112" s="12"/>
      <c r="P112" s="1">
        <f>SUM(OSRRefP22_7x_0)</f>
        <v>0</v>
      </c>
      <c r="Q112" s="1"/>
      <c r="R112" s="5">
        <f t="shared" ref="R112:R118" si="66">IF(P$12=0,0,P112/P$12)</f>
        <v>0</v>
      </c>
      <c r="S112" s="1"/>
      <c r="T112" s="1">
        <f>SUM(OSRRefT22_7x_0)</f>
        <v>2930</v>
      </c>
      <c r="U112" s="1"/>
      <c r="V112" s="5">
        <f t="shared" ref="V112:V118" si="67">IF(T$12=0,0,T112/T$12)</f>
        <v>1.2534153268302067E-3</v>
      </c>
      <c r="W112" s="1"/>
      <c r="X112" s="1">
        <f t="shared" ref="X112:X118" si="68">+P112-T112</f>
        <v>-2930</v>
      </c>
      <c r="Y112" s="1"/>
      <c r="Z112" s="5">
        <f t="shared" ref="Z112:Z118" si="69">IF(T112=0,0,X112/T112)</f>
        <v>-1</v>
      </c>
    </row>
    <row r="113" spans="1:26" s="23" customFormat="1" hidden="1" outlineLevel="2" x14ac:dyDescent="0.25">
      <c r="A113" s="27"/>
      <c r="B113" s="10" t="str">
        <f>CONCATENATE("          ", "6336", " - ", "PROFESSIONAL SERVICES")</f>
        <v xml:space="preserve">          6336 - PROFESSIONAL SERVICES</v>
      </c>
      <c r="C113" s="10"/>
      <c r="D113" s="6"/>
      <c r="E113" s="2"/>
      <c r="F113" s="7">
        <f t="shared" si="62"/>
        <v>0</v>
      </c>
      <c r="G113" s="2"/>
      <c r="H113" s="6"/>
      <c r="I113" s="2"/>
      <c r="J113" s="7">
        <f t="shared" si="63"/>
        <v>0</v>
      </c>
      <c r="K113" s="2"/>
      <c r="L113" s="6">
        <f t="shared" si="64"/>
        <v>0</v>
      </c>
      <c r="M113" s="2"/>
      <c r="N113" s="7">
        <f t="shared" si="65"/>
        <v>0</v>
      </c>
      <c r="O113" s="10"/>
      <c r="P113" s="6"/>
      <c r="Q113" s="2"/>
      <c r="R113" s="7">
        <f t="shared" si="66"/>
        <v>0</v>
      </c>
      <c r="S113" s="2"/>
      <c r="T113" s="6">
        <v>2930</v>
      </c>
      <c r="U113" s="2"/>
      <c r="V113" s="7">
        <f t="shared" si="67"/>
        <v>1.2534153268302067E-3</v>
      </c>
      <c r="W113" s="2"/>
      <c r="X113" s="6">
        <f t="shared" si="68"/>
        <v>-2930</v>
      </c>
      <c r="Y113" s="2"/>
      <c r="Z113" s="7">
        <f t="shared" si="69"/>
        <v>-1</v>
      </c>
    </row>
    <row r="114" spans="1:26" s="26" customFormat="1" outlineLevel="1" collapsed="1" x14ac:dyDescent="0.25">
      <c r="A114" s="25"/>
      <c r="B114" s="12" t="str">
        <f>CONCATENATE("     ","Repair and Maintenance                            ")</f>
        <v xml:space="preserve">     Repair and Maintenance                            </v>
      </c>
      <c r="C114" s="12"/>
      <c r="D114" s="1">
        <f>SUM(OSRRefD22_8x_0)</f>
        <v>0</v>
      </c>
      <c r="E114" s="1"/>
      <c r="F114" s="5">
        <f t="shared" si="62"/>
        <v>0</v>
      </c>
      <c r="G114" s="1"/>
      <c r="H114" s="1">
        <f>SUM(OSRRefH22_8x_0)</f>
        <v>0</v>
      </c>
      <c r="I114" s="1"/>
      <c r="J114" s="5">
        <f t="shared" si="63"/>
        <v>0</v>
      </c>
      <c r="K114" s="1"/>
      <c r="L114" s="1">
        <f t="shared" si="64"/>
        <v>0</v>
      </c>
      <c r="M114" s="1"/>
      <c r="N114" s="5">
        <f t="shared" si="65"/>
        <v>0</v>
      </c>
      <c r="O114" s="12"/>
      <c r="P114" s="1">
        <f>SUM(OSRRefP22_8x_0)</f>
        <v>0</v>
      </c>
      <c r="Q114" s="1"/>
      <c r="R114" s="5">
        <f t="shared" si="66"/>
        <v>0</v>
      </c>
      <c r="S114" s="1"/>
      <c r="T114" s="1">
        <f>SUM(OSRRefT22_8x_0)</f>
        <v>309.77999999999997</v>
      </c>
      <c r="U114" s="1"/>
      <c r="V114" s="5">
        <f t="shared" si="67"/>
        <v>1.3251979520322913E-4</v>
      </c>
      <c r="W114" s="1"/>
      <c r="X114" s="1">
        <f t="shared" si="68"/>
        <v>-309.77999999999997</v>
      </c>
      <c r="Y114" s="1"/>
      <c r="Z114" s="5">
        <f t="shared" si="69"/>
        <v>-1</v>
      </c>
    </row>
    <row r="115" spans="1:26" s="23" customFormat="1" hidden="1" outlineLevel="2" x14ac:dyDescent="0.25">
      <c r="A115" s="27"/>
      <c r="B115" s="10" t="str">
        <f>CONCATENATE("          ", "6373", " - ", "MAINTENANCE CONTRACTS")</f>
        <v xml:space="preserve">          6373 - MAINTENANCE CONTRACTS</v>
      </c>
      <c r="C115" s="10"/>
      <c r="D115" s="6"/>
      <c r="E115" s="2"/>
      <c r="F115" s="7">
        <f t="shared" si="62"/>
        <v>0</v>
      </c>
      <c r="G115" s="2"/>
      <c r="H115" s="6"/>
      <c r="I115" s="2"/>
      <c r="J115" s="7">
        <f t="shared" si="63"/>
        <v>0</v>
      </c>
      <c r="K115" s="2"/>
      <c r="L115" s="6">
        <f t="shared" si="64"/>
        <v>0</v>
      </c>
      <c r="M115" s="2"/>
      <c r="N115" s="7">
        <f t="shared" si="65"/>
        <v>0</v>
      </c>
      <c r="O115" s="10"/>
      <c r="P115" s="6"/>
      <c r="Q115" s="2"/>
      <c r="R115" s="7">
        <f t="shared" si="66"/>
        <v>0</v>
      </c>
      <c r="S115" s="2"/>
      <c r="T115" s="6">
        <v>309.77999999999997</v>
      </c>
      <c r="U115" s="2"/>
      <c r="V115" s="7">
        <f t="shared" si="67"/>
        <v>1.3251979520322913E-4</v>
      </c>
      <c r="W115" s="2"/>
      <c r="X115" s="6">
        <f t="shared" si="68"/>
        <v>-309.77999999999997</v>
      </c>
      <c r="Y115" s="2"/>
      <c r="Z115" s="7">
        <f t="shared" si="69"/>
        <v>-1</v>
      </c>
    </row>
    <row r="116" spans="1:26" s="26" customFormat="1" outlineLevel="1" collapsed="1" x14ac:dyDescent="0.25">
      <c r="A116" s="25"/>
      <c r="B116" s="12" t="str">
        <f>CONCATENATE("     ","Royalty &amp; Commissions                             ")</f>
        <v xml:space="preserve">     Royalty &amp; Commissions                             </v>
      </c>
      <c r="C116" s="12"/>
      <c r="D116" s="1">
        <f>SUM(OSRRefD22_9x_0)</f>
        <v>0</v>
      </c>
      <c r="E116" s="1"/>
      <c r="F116" s="5">
        <f t="shared" si="62"/>
        <v>0</v>
      </c>
      <c r="G116" s="1"/>
      <c r="H116" s="1">
        <f>SUM(OSRRefH22_9x_0)</f>
        <v>0</v>
      </c>
      <c r="I116" s="1"/>
      <c r="J116" s="5">
        <f t="shared" si="63"/>
        <v>0</v>
      </c>
      <c r="K116" s="1"/>
      <c r="L116" s="1">
        <f t="shared" si="64"/>
        <v>0</v>
      </c>
      <c r="M116" s="1"/>
      <c r="N116" s="5">
        <f t="shared" si="65"/>
        <v>0</v>
      </c>
      <c r="O116" s="12"/>
      <c r="P116" s="1">
        <f>SUM(OSRRefP22_9x_0)</f>
        <v>35159.06</v>
      </c>
      <c r="Q116" s="1"/>
      <c r="R116" s="5">
        <f t="shared" si="66"/>
        <v>1.7310295956321463E-2</v>
      </c>
      <c r="S116" s="1"/>
      <c r="T116" s="1">
        <f>SUM(OSRRefT22_9x_0)</f>
        <v>40841.660000000003</v>
      </c>
      <c r="U116" s="1"/>
      <c r="V116" s="5">
        <f t="shared" si="67"/>
        <v>1.7471523077538628E-2</v>
      </c>
      <c r="W116" s="1"/>
      <c r="X116" s="1">
        <f t="shared" si="68"/>
        <v>-5682.6000000000058</v>
      </c>
      <c r="Y116" s="1"/>
      <c r="Z116" s="5">
        <f t="shared" si="69"/>
        <v>-0.139137341626173</v>
      </c>
    </row>
    <row r="117" spans="1:26" s="23" customFormat="1" hidden="1" outlineLevel="2" x14ac:dyDescent="0.25">
      <c r="A117" s="27"/>
      <c r="B117" s="10" t="str">
        <f>CONCATENATE("          ", "6253", " - ", "ROYALTY DUE ATHLETICS-LRG")</f>
        <v xml:space="preserve">          6253 - ROYALTY DUE ATHLETICS-LRG</v>
      </c>
      <c r="C117" s="10"/>
      <c r="D117" s="6"/>
      <c r="E117" s="2"/>
      <c r="F117" s="7">
        <f t="shared" si="62"/>
        <v>0</v>
      </c>
      <c r="G117" s="2"/>
      <c r="H117" s="6"/>
      <c r="I117" s="2"/>
      <c r="J117" s="7">
        <f t="shared" si="63"/>
        <v>0</v>
      </c>
      <c r="K117" s="2"/>
      <c r="L117" s="6">
        <f t="shared" si="64"/>
        <v>0</v>
      </c>
      <c r="M117" s="2"/>
      <c r="N117" s="7">
        <f t="shared" si="65"/>
        <v>0</v>
      </c>
      <c r="O117" s="10"/>
      <c r="P117" s="6">
        <v>35159.06</v>
      </c>
      <c r="Q117" s="2"/>
      <c r="R117" s="7">
        <f t="shared" si="66"/>
        <v>1.7310295956321463E-2</v>
      </c>
      <c r="S117" s="2"/>
      <c r="T117" s="6">
        <v>32870.44</v>
      </c>
      <c r="U117" s="2"/>
      <c r="V117" s="7">
        <f t="shared" si="67"/>
        <v>1.4061540373942902E-2</v>
      </c>
      <c r="W117" s="2"/>
      <c r="X117" s="6">
        <f t="shared" si="68"/>
        <v>2288.6199999999953</v>
      </c>
      <c r="Y117" s="2"/>
      <c r="Z117" s="7">
        <f t="shared" si="69"/>
        <v>6.962547504688088E-2</v>
      </c>
    </row>
    <row r="118" spans="1:26" s="23" customFormat="1" hidden="1" outlineLevel="2" x14ac:dyDescent="0.25">
      <c r="A118" s="27"/>
      <c r="B118" s="10" t="str">
        <f>CONCATENATE("          ", "6254", " - ", "ROYALTY &amp; COMMISSIONS")</f>
        <v xml:space="preserve">          6254 - ROYALTY &amp; COMMISSIONS</v>
      </c>
      <c r="C118" s="10"/>
      <c r="D118" s="6"/>
      <c r="E118" s="2"/>
      <c r="F118" s="7">
        <f t="shared" si="62"/>
        <v>0</v>
      </c>
      <c r="G118" s="2"/>
      <c r="H118" s="6"/>
      <c r="I118" s="2"/>
      <c r="J118" s="7">
        <f t="shared" si="63"/>
        <v>0</v>
      </c>
      <c r="K118" s="2"/>
      <c r="L118" s="6">
        <f t="shared" si="64"/>
        <v>0</v>
      </c>
      <c r="M118" s="2"/>
      <c r="N118" s="7">
        <f t="shared" si="65"/>
        <v>0</v>
      </c>
      <c r="O118" s="10"/>
      <c r="P118" s="6"/>
      <c r="Q118" s="2"/>
      <c r="R118" s="7">
        <f t="shared" si="66"/>
        <v>0</v>
      </c>
      <c r="S118" s="2"/>
      <c r="T118" s="6">
        <v>7971.22</v>
      </c>
      <c r="U118" s="2"/>
      <c r="V118" s="7">
        <f t="shared" si="67"/>
        <v>3.409982703595727E-3</v>
      </c>
      <c r="W118" s="2"/>
      <c r="X118" s="6">
        <f t="shared" si="68"/>
        <v>-7971.22</v>
      </c>
      <c r="Y118" s="2"/>
      <c r="Z118" s="7">
        <f t="shared" si="69"/>
        <v>-1</v>
      </c>
    </row>
    <row r="119" spans="1:26" s="26" customFormat="1" outlineLevel="1" collapsed="1" x14ac:dyDescent="0.25">
      <c r="A119" s="25"/>
      <c r="B119" s="12" t="str">
        <f>CONCATENATE("     ","Subscriptions &amp; Dues                              ")</f>
        <v xml:space="preserve">     Subscriptions &amp; Dues                              </v>
      </c>
      <c r="C119" s="12"/>
      <c r="D119" s="1">
        <f>SUM(OSRRefD22_10x_0)</f>
        <v>25.15</v>
      </c>
      <c r="E119" s="1"/>
      <c r="F119" s="5">
        <f t="shared" ref="F119:F121" si="70">IF(D$12=0,0,D119/D$12)</f>
        <v>6.3603556478213154E-5</v>
      </c>
      <c r="G119" s="1"/>
      <c r="H119" s="1">
        <f>SUM(OSRRefH22_10x_0)</f>
        <v>0</v>
      </c>
      <c r="I119" s="1"/>
      <c r="J119" s="5">
        <f t="shared" ref="J119:J121" si="71">IF(H$12=0,0,H119/H$12)</f>
        <v>0</v>
      </c>
      <c r="K119" s="1"/>
      <c r="L119" s="1">
        <f t="shared" ref="L119:L121" si="72">+D119-H119</f>
        <v>25.15</v>
      </c>
      <c r="M119" s="1"/>
      <c r="N119" s="5">
        <f t="shared" ref="N119:N121" si="73">IF(H119=0,0,L119/H119)</f>
        <v>0</v>
      </c>
      <c r="O119" s="12"/>
      <c r="P119" s="1">
        <f>SUM(OSRRefP22_10x_0)</f>
        <v>-206.41999999999996</v>
      </c>
      <c r="Q119" s="1"/>
      <c r="R119" s="5">
        <f t="shared" ref="R119:R121" si="74">IF(P$12=0,0,P119/P$12)</f>
        <v>-1.0162931805639502E-4</v>
      </c>
      <c r="S119" s="1"/>
      <c r="T119" s="1">
        <f>SUM(OSRRefT22_10x_0)</f>
        <v>379.58</v>
      </c>
      <c r="U119" s="1"/>
      <c r="V119" s="5">
        <f t="shared" ref="V119:V121" si="75">IF(T$12=0,0,T119/T$12)</f>
        <v>1.6237931391065182E-4</v>
      </c>
      <c r="W119" s="1"/>
      <c r="X119" s="1">
        <f t="shared" ref="X119:X121" si="76">+P119-T119</f>
        <v>-586</v>
      </c>
      <c r="Y119" s="1"/>
      <c r="Z119" s="5">
        <f t="shared" ref="Z119:Z121" si="77">IF(T119=0,0,X119/T119)</f>
        <v>-1.54381158122135</v>
      </c>
    </row>
    <row r="120" spans="1:26" s="23" customFormat="1" hidden="1" outlineLevel="2" x14ac:dyDescent="0.25">
      <c r="A120" s="27"/>
      <c r="B120" s="10" t="str">
        <f>CONCATENATE("          ", "6258", " - ", "MEMBERSHIP DUES")</f>
        <v xml:space="preserve">          6258 - MEMBERSHIP DUES</v>
      </c>
      <c r="C120" s="10"/>
      <c r="D120" s="6">
        <v>25.15</v>
      </c>
      <c r="E120" s="2"/>
      <c r="F120" s="7">
        <f t="shared" si="70"/>
        <v>6.3603556478213154E-5</v>
      </c>
      <c r="G120" s="2"/>
      <c r="H120" s="6"/>
      <c r="I120" s="2"/>
      <c r="J120" s="7">
        <f t="shared" si="71"/>
        <v>0</v>
      </c>
      <c r="K120" s="2"/>
      <c r="L120" s="6">
        <f t="shared" si="72"/>
        <v>25.15</v>
      </c>
      <c r="M120" s="2"/>
      <c r="N120" s="7">
        <f t="shared" si="73"/>
        <v>0</v>
      </c>
      <c r="O120" s="10"/>
      <c r="P120" s="6">
        <v>-282.14999999999998</v>
      </c>
      <c r="Q120" s="2"/>
      <c r="R120" s="7">
        <f t="shared" si="74"/>
        <v>-1.3891440795277523E-4</v>
      </c>
      <c r="S120" s="2"/>
      <c r="T120" s="6">
        <v>82.94</v>
      </c>
      <c r="U120" s="2"/>
      <c r="V120" s="7">
        <f t="shared" si="75"/>
        <v>3.548063727211513E-5</v>
      </c>
      <c r="W120" s="2"/>
      <c r="X120" s="6">
        <f t="shared" si="76"/>
        <v>-365.09</v>
      </c>
      <c r="Y120" s="2"/>
      <c r="Z120" s="7">
        <f t="shared" si="77"/>
        <v>-4.4018567639257293</v>
      </c>
    </row>
    <row r="121" spans="1:26" s="23" customFormat="1" hidden="1" outlineLevel="2" x14ac:dyDescent="0.25">
      <c r="A121" s="27"/>
      <c r="B121" s="10" t="str">
        <f>CONCATENATE("          ", "6275", " - ", "SUBSCRIPTIONS")</f>
        <v xml:space="preserve">          6275 - SUBSCRIPTIONS</v>
      </c>
      <c r="C121" s="10"/>
      <c r="D121" s="6"/>
      <c r="E121" s="2"/>
      <c r="F121" s="7">
        <f t="shared" si="70"/>
        <v>0</v>
      </c>
      <c r="G121" s="2"/>
      <c r="H121" s="6"/>
      <c r="I121" s="2"/>
      <c r="J121" s="7">
        <f t="shared" si="71"/>
        <v>0</v>
      </c>
      <c r="K121" s="2"/>
      <c r="L121" s="6">
        <f t="shared" si="72"/>
        <v>0</v>
      </c>
      <c r="M121" s="2"/>
      <c r="N121" s="7">
        <f t="shared" si="73"/>
        <v>0</v>
      </c>
      <c r="O121" s="10"/>
      <c r="P121" s="6">
        <v>75.73</v>
      </c>
      <c r="Q121" s="2"/>
      <c r="R121" s="7">
        <f t="shared" si="74"/>
        <v>3.7285089896380182E-5</v>
      </c>
      <c r="S121" s="2"/>
      <c r="T121" s="6">
        <v>296.64</v>
      </c>
      <c r="U121" s="2"/>
      <c r="V121" s="7">
        <f t="shared" si="75"/>
        <v>1.2689867663853669E-4</v>
      </c>
      <c r="W121" s="2"/>
      <c r="X121" s="6">
        <f t="shared" si="76"/>
        <v>-220.90999999999997</v>
      </c>
      <c r="Y121" s="2"/>
      <c r="Z121" s="7">
        <f t="shared" si="77"/>
        <v>-0.74470738942826309</v>
      </c>
    </row>
    <row r="122" spans="1:26" s="26" customFormat="1" outlineLevel="1" collapsed="1" x14ac:dyDescent="0.25">
      <c r="A122" s="25"/>
      <c r="B122" s="12" t="str">
        <f>CONCATENATE("     ","Supplies                                          ")</f>
        <v xml:space="preserve">     Supplies                                          </v>
      </c>
      <c r="C122" s="12"/>
      <c r="D122" s="1">
        <f>SUM(OSRRefD22_11x_0)</f>
        <v>51.7</v>
      </c>
      <c r="E122" s="1"/>
      <c r="F122" s="5">
        <f t="shared" ref="F122:F127" si="78">IF(D$12=0,0,D122/D$12)</f>
        <v>1.307476687842394E-4</v>
      </c>
      <c r="G122" s="1"/>
      <c r="H122" s="1">
        <f>SUM(OSRRefH22_11x_0)</f>
        <v>68.91</v>
      </c>
      <c r="I122" s="1"/>
      <c r="J122" s="5">
        <f t="shared" ref="J122:J127" si="79">IF(H$12=0,0,H122/H$12)</f>
        <v>3.8395157095309128E-4</v>
      </c>
      <c r="K122" s="1"/>
      <c r="L122" s="1">
        <f t="shared" ref="L122:L127" si="80">+D122-H122</f>
        <v>-17.209999999999994</v>
      </c>
      <c r="M122" s="1"/>
      <c r="N122" s="5">
        <f t="shared" ref="N122:N127" si="81">IF(H122=0,0,L122/H122)</f>
        <v>-0.24974604556668109</v>
      </c>
      <c r="O122" s="12"/>
      <c r="P122" s="1">
        <f>SUM(OSRRefP22_11x_0)</f>
        <v>3811.53</v>
      </c>
      <c r="Q122" s="1"/>
      <c r="R122" s="5">
        <f t="shared" ref="R122:R127" si="82">IF(P$12=0,0,P122/P$12)</f>
        <v>1.8765778250726258E-3</v>
      </c>
      <c r="S122" s="1"/>
      <c r="T122" s="1">
        <f>SUM(OSRRefT22_11x_0)</f>
        <v>3624.85</v>
      </c>
      <c r="U122" s="1"/>
      <c r="V122" s="5">
        <f t="shared" ref="V122:V127" si="83">IF(T$12=0,0,T122/T$12)</f>
        <v>1.5506629854813907E-3</v>
      </c>
      <c r="W122" s="1"/>
      <c r="X122" s="1">
        <f t="shared" ref="X122:X127" si="84">+P122-T122</f>
        <v>186.68000000000029</v>
      </c>
      <c r="Y122" s="1"/>
      <c r="Z122" s="5">
        <f t="shared" ref="Z122:Z127" si="85">IF(T122=0,0,X122/T122)</f>
        <v>5.1500062071534077E-2</v>
      </c>
    </row>
    <row r="123" spans="1:26" s="23" customFormat="1" hidden="1" outlineLevel="2" x14ac:dyDescent="0.25">
      <c r="A123" s="27"/>
      <c r="B123" s="10" t="str">
        <f>CONCATENATE("          ", "6234", " - ", "EXPENDABLE SUPPLIES &amp; EQUIPMEN")</f>
        <v xml:space="preserve">          6234 - EXPENDABLE SUPPLIES &amp; EQUIPMEN</v>
      </c>
      <c r="C123" s="10"/>
      <c r="D123" s="6"/>
      <c r="E123" s="2"/>
      <c r="F123" s="7">
        <f t="shared" si="78"/>
        <v>0</v>
      </c>
      <c r="G123" s="2"/>
      <c r="H123" s="6"/>
      <c r="I123" s="2"/>
      <c r="J123" s="7">
        <f t="shared" si="79"/>
        <v>0</v>
      </c>
      <c r="K123" s="2"/>
      <c r="L123" s="6">
        <f t="shared" si="80"/>
        <v>0</v>
      </c>
      <c r="M123" s="2"/>
      <c r="N123" s="7">
        <f t="shared" si="81"/>
        <v>0</v>
      </c>
      <c r="O123" s="10"/>
      <c r="P123" s="6">
        <v>449.5</v>
      </c>
      <c r="Q123" s="2"/>
      <c r="R123" s="7">
        <f t="shared" si="82"/>
        <v>2.2130790846986519E-4</v>
      </c>
      <c r="S123" s="2"/>
      <c r="T123" s="6">
        <v>672.38</v>
      </c>
      <c r="U123" s="2"/>
      <c r="V123" s="7">
        <f t="shared" si="83"/>
        <v>2.876352892334793E-4</v>
      </c>
      <c r="W123" s="2"/>
      <c r="X123" s="6">
        <f t="shared" si="84"/>
        <v>-222.88</v>
      </c>
      <c r="Y123" s="2"/>
      <c r="Z123" s="7">
        <f t="shared" si="85"/>
        <v>-0.33147922305838962</v>
      </c>
    </row>
    <row r="124" spans="1:26" s="23" customFormat="1" hidden="1" outlineLevel="2" x14ac:dyDescent="0.25">
      <c r="A124" s="27"/>
      <c r="B124" s="10" t="str">
        <f>CONCATENATE("          ", "6235", " - ", "COVID-19 EXPENSES")</f>
        <v xml:space="preserve">          6235 - COVID-19 EXPENSES</v>
      </c>
      <c r="C124" s="10"/>
      <c r="D124" s="6"/>
      <c r="E124" s="2"/>
      <c r="F124" s="7">
        <f t="shared" si="78"/>
        <v>0</v>
      </c>
      <c r="G124" s="2"/>
      <c r="H124" s="6"/>
      <c r="I124" s="2"/>
      <c r="J124" s="7">
        <f t="shared" si="79"/>
        <v>0</v>
      </c>
      <c r="K124" s="2"/>
      <c r="L124" s="6">
        <f t="shared" si="80"/>
        <v>0</v>
      </c>
      <c r="M124" s="2"/>
      <c r="N124" s="7">
        <f t="shared" si="81"/>
        <v>0</v>
      </c>
      <c r="O124" s="10"/>
      <c r="P124" s="6">
        <v>1026.43</v>
      </c>
      <c r="Q124" s="2"/>
      <c r="R124" s="7">
        <f t="shared" si="82"/>
        <v>5.0535500887813963E-4</v>
      </c>
      <c r="S124" s="2"/>
      <c r="T124" s="6"/>
      <c r="U124" s="2"/>
      <c r="V124" s="7">
        <f t="shared" si="83"/>
        <v>0</v>
      </c>
      <c r="W124" s="2"/>
      <c r="X124" s="6">
        <f t="shared" si="84"/>
        <v>1026.43</v>
      </c>
      <c r="Y124" s="2"/>
      <c r="Z124" s="7">
        <f t="shared" si="85"/>
        <v>0</v>
      </c>
    </row>
    <row r="125" spans="1:26" s="23" customFormat="1" hidden="1" outlineLevel="2" x14ac:dyDescent="0.25">
      <c r="A125" s="27"/>
      <c r="B125" s="10" t="str">
        <f>CONCATENATE("          ", "6241", " - ", "OFFICE EXPENSE")</f>
        <v xml:space="preserve">          6241 - OFFICE EXPENSE</v>
      </c>
      <c r="C125" s="10"/>
      <c r="D125" s="6">
        <v>51.7</v>
      </c>
      <c r="E125" s="2"/>
      <c r="F125" s="7">
        <f t="shared" si="78"/>
        <v>1.307476687842394E-4</v>
      </c>
      <c r="G125" s="2"/>
      <c r="H125" s="6">
        <v>68.91</v>
      </c>
      <c r="I125" s="2"/>
      <c r="J125" s="7">
        <f t="shared" si="79"/>
        <v>3.8395157095309128E-4</v>
      </c>
      <c r="K125" s="2"/>
      <c r="L125" s="6">
        <f t="shared" si="80"/>
        <v>-17.209999999999994</v>
      </c>
      <c r="M125" s="2"/>
      <c r="N125" s="7">
        <f t="shared" si="81"/>
        <v>-0.24974604556668109</v>
      </c>
      <c r="O125" s="10"/>
      <c r="P125" s="6">
        <v>1225.3699999999999</v>
      </c>
      <c r="Q125" s="2"/>
      <c r="R125" s="7">
        <f t="shared" si="82"/>
        <v>6.0330160578802824E-4</v>
      </c>
      <c r="S125" s="2"/>
      <c r="T125" s="6">
        <v>2718.41</v>
      </c>
      <c r="U125" s="2"/>
      <c r="V125" s="7">
        <f t="shared" si="83"/>
        <v>1.1628999176138233E-3</v>
      </c>
      <c r="W125" s="2"/>
      <c r="X125" s="6">
        <f t="shared" si="84"/>
        <v>-1493.04</v>
      </c>
      <c r="Y125" s="2"/>
      <c r="Z125" s="7">
        <f t="shared" si="85"/>
        <v>-0.5492328235990892</v>
      </c>
    </row>
    <row r="126" spans="1:26" s="23" customFormat="1" hidden="1" outlineLevel="2" x14ac:dyDescent="0.25">
      <c r="A126" s="27"/>
      <c r="B126" s="10" t="str">
        <f>CONCATENATE("          ", "6245", " - ", "PRINTING")</f>
        <v xml:space="preserve">          6245 - PRINTING</v>
      </c>
      <c r="C126" s="10"/>
      <c r="D126" s="6"/>
      <c r="E126" s="2"/>
      <c r="F126" s="7">
        <f t="shared" si="78"/>
        <v>0</v>
      </c>
      <c r="G126" s="2"/>
      <c r="H126" s="6"/>
      <c r="I126" s="2"/>
      <c r="J126" s="7">
        <f t="shared" si="79"/>
        <v>0</v>
      </c>
      <c r="K126" s="2"/>
      <c r="L126" s="6">
        <f t="shared" si="80"/>
        <v>0</v>
      </c>
      <c r="M126" s="2"/>
      <c r="N126" s="7">
        <f t="shared" si="81"/>
        <v>0</v>
      </c>
      <c r="O126" s="10"/>
      <c r="P126" s="6"/>
      <c r="Q126" s="2"/>
      <c r="R126" s="7">
        <f t="shared" si="82"/>
        <v>0</v>
      </c>
      <c r="S126" s="2"/>
      <c r="T126" s="6">
        <v>-528.98</v>
      </c>
      <c r="U126" s="2"/>
      <c r="V126" s="7">
        <f t="shared" si="83"/>
        <v>-2.262906619749634E-4</v>
      </c>
      <c r="W126" s="2"/>
      <c r="X126" s="6">
        <f t="shared" si="84"/>
        <v>528.98</v>
      </c>
      <c r="Y126" s="2"/>
      <c r="Z126" s="7">
        <f t="shared" si="85"/>
        <v>-1</v>
      </c>
    </row>
    <row r="127" spans="1:26" s="23" customFormat="1" hidden="1" outlineLevel="2" x14ac:dyDescent="0.25">
      <c r="A127" s="27"/>
      <c r="B127" s="10" t="str">
        <f>CONCATENATE("          ", "6247", " - ", "STORE SUPPLIES")</f>
        <v xml:space="preserve">          6247 - STORE SUPPLIES</v>
      </c>
      <c r="C127" s="10"/>
      <c r="D127" s="6"/>
      <c r="E127" s="2"/>
      <c r="F127" s="7">
        <f t="shared" si="78"/>
        <v>0</v>
      </c>
      <c r="G127" s="2"/>
      <c r="H127" s="6"/>
      <c r="I127" s="2"/>
      <c r="J127" s="7">
        <f t="shared" si="79"/>
        <v>0</v>
      </c>
      <c r="K127" s="2"/>
      <c r="L127" s="6">
        <f t="shared" si="80"/>
        <v>0</v>
      </c>
      <c r="M127" s="2"/>
      <c r="N127" s="7">
        <f t="shared" si="81"/>
        <v>0</v>
      </c>
      <c r="O127" s="10"/>
      <c r="P127" s="6">
        <v>1110.23</v>
      </c>
      <c r="Q127" s="2"/>
      <c r="R127" s="7">
        <f t="shared" si="82"/>
        <v>5.4661330193659275E-4</v>
      </c>
      <c r="S127" s="2"/>
      <c r="T127" s="6">
        <v>763.04</v>
      </c>
      <c r="U127" s="2"/>
      <c r="V127" s="7">
        <f t="shared" si="83"/>
        <v>3.264184406090515E-4</v>
      </c>
      <c r="W127" s="2"/>
      <c r="X127" s="6">
        <f t="shared" si="84"/>
        <v>347.19000000000005</v>
      </c>
      <c r="Y127" s="2"/>
      <c r="Z127" s="7">
        <f t="shared" si="85"/>
        <v>0.45500891172153501</v>
      </c>
    </row>
    <row r="128" spans="1:26" s="26" customFormat="1" outlineLevel="1" collapsed="1" x14ac:dyDescent="0.25">
      <c r="A128" s="25"/>
      <c r="B128" s="12" t="str">
        <f>CONCATENATE("     ","Telephone/Data Lines                              ")</f>
        <v xml:space="preserve">     Telephone/Data Lines                              </v>
      </c>
      <c r="C128" s="12"/>
      <c r="D128" s="1">
        <f>SUM(OSRRefD22_12x_0)</f>
        <v>189.55</v>
      </c>
      <c r="E128" s="1"/>
      <c r="F128" s="5">
        <f t="shared" ref="F128:F134" si="86">IF(D$12=0,0,D128/D$12)</f>
        <v>4.7936596940140381E-4</v>
      </c>
      <c r="G128" s="1"/>
      <c r="H128" s="1">
        <f>SUM(OSRRefH22_12x_0)</f>
        <v>509.31</v>
      </c>
      <c r="I128" s="1"/>
      <c r="J128" s="5">
        <f t="shared" ref="J128:J134" si="87">IF(H$12=0,0,H128/H$12)</f>
        <v>2.8377648324208232E-3</v>
      </c>
      <c r="K128" s="1"/>
      <c r="L128" s="1">
        <f t="shared" ref="L128:L134" si="88">+D128-H128</f>
        <v>-319.76</v>
      </c>
      <c r="M128" s="1"/>
      <c r="N128" s="5">
        <f t="shared" ref="N128:N134" si="89">IF(H128=0,0,L128/H128)</f>
        <v>-0.62782980895721663</v>
      </c>
      <c r="O128" s="12"/>
      <c r="P128" s="1">
        <f>SUM(OSRRefP22_12x_0)</f>
        <v>3157.34</v>
      </c>
      <c r="Q128" s="1"/>
      <c r="R128" s="5">
        <f t="shared" ref="R128:R134" si="90">IF(P$12=0,0,P128/P$12)</f>
        <v>1.554492350897095E-3</v>
      </c>
      <c r="S128" s="1"/>
      <c r="T128" s="1">
        <f>SUM(OSRRefT22_12x_0)</f>
        <v>5913.65</v>
      </c>
      <c r="U128" s="1"/>
      <c r="V128" s="5">
        <f t="shared" ref="V128:V134" si="91">IF(T$12=0,0,T128/T$12)</f>
        <v>2.5297814155322358E-3</v>
      </c>
      <c r="W128" s="1"/>
      <c r="X128" s="1">
        <f t="shared" ref="X128:X134" si="92">+P128-T128</f>
        <v>-2756.3099999999995</v>
      </c>
      <c r="Y128" s="1"/>
      <c r="Z128" s="5">
        <f t="shared" ref="Z128:Z134" si="93">IF(T128=0,0,X128/T128)</f>
        <v>-0.46609285297574249</v>
      </c>
    </row>
    <row r="129" spans="1:26" s="23" customFormat="1" hidden="1" outlineLevel="2" x14ac:dyDescent="0.25">
      <c r="A129" s="27"/>
      <c r="B129" s="10" t="str">
        <f>CONCATENATE("          ", "6309", " - ", "TELEPHONE")</f>
        <v xml:space="preserve">          6309 - TELEPHONE</v>
      </c>
      <c r="C129" s="10"/>
      <c r="D129" s="6">
        <v>189.55</v>
      </c>
      <c r="E129" s="2"/>
      <c r="F129" s="7">
        <f t="shared" si="86"/>
        <v>4.7936596940140381E-4</v>
      </c>
      <c r="G129" s="2"/>
      <c r="H129" s="6">
        <v>509.31</v>
      </c>
      <c r="I129" s="2"/>
      <c r="J129" s="7">
        <f t="shared" si="87"/>
        <v>2.8377648324208232E-3</v>
      </c>
      <c r="K129" s="2"/>
      <c r="L129" s="6">
        <f t="shared" si="88"/>
        <v>-319.76</v>
      </c>
      <c r="M129" s="2"/>
      <c r="N129" s="7">
        <f t="shared" si="89"/>
        <v>-0.62782980895721663</v>
      </c>
      <c r="O129" s="10"/>
      <c r="P129" s="6">
        <v>3157.34</v>
      </c>
      <c r="Q129" s="2"/>
      <c r="R129" s="7">
        <f t="shared" si="90"/>
        <v>1.554492350897095E-3</v>
      </c>
      <c r="S129" s="2"/>
      <c r="T129" s="6">
        <v>5913.65</v>
      </c>
      <c r="U129" s="2"/>
      <c r="V129" s="7">
        <f t="shared" si="91"/>
        <v>2.5297814155322358E-3</v>
      </c>
      <c r="W129" s="2"/>
      <c r="X129" s="6">
        <f t="shared" si="92"/>
        <v>-2756.3099999999995</v>
      </c>
      <c r="Y129" s="2"/>
      <c r="Z129" s="7">
        <f t="shared" si="93"/>
        <v>-0.46609285297574249</v>
      </c>
    </row>
    <row r="130" spans="1:26" s="26" customFormat="1" outlineLevel="1" collapsed="1" x14ac:dyDescent="0.25">
      <c r="A130" s="25"/>
      <c r="B130" s="12" t="str">
        <f>CONCATENATE("     ","Training                                          ")</f>
        <v xml:space="preserve">     Training                                          </v>
      </c>
      <c r="C130" s="12"/>
      <c r="D130" s="1">
        <f>SUM(OSRRefD22_13x_0)</f>
        <v>0</v>
      </c>
      <c r="E130" s="1"/>
      <c r="F130" s="5">
        <f t="shared" si="86"/>
        <v>0</v>
      </c>
      <c r="G130" s="1"/>
      <c r="H130" s="1">
        <f>SUM(OSRRefH22_13x_0)</f>
        <v>0</v>
      </c>
      <c r="I130" s="1"/>
      <c r="J130" s="5">
        <f t="shared" si="87"/>
        <v>0</v>
      </c>
      <c r="K130" s="1"/>
      <c r="L130" s="1">
        <f t="shared" si="88"/>
        <v>0</v>
      </c>
      <c r="M130" s="1"/>
      <c r="N130" s="5">
        <f t="shared" si="89"/>
        <v>0</v>
      </c>
      <c r="O130" s="12"/>
      <c r="P130" s="1">
        <f>SUM(OSRRefP22_13x_0)</f>
        <v>0</v>
      </c>
      <c r="Q130" s="1"/>
      <c r="R130" s="5">
        <f t="shared" si="90"/>
        <v>0</v>
      </c>
      <c r="S130" s="1"/>
      <c r="T130" s="1">
        <f>SUM(OSRRefT22_13x_0)</f>
        <v>3651.14</v>
      </c>
      <c r="U130" s="1"/>
      <c r="V130" s="5">
        <f t="shared" si="91"/>
        <v>1.5619095004787851E-3</v>
      </c>
      <c r="W130" s="1"/>
      <c r="X130" s="1">
        <f t="shared" si="92"/>
        <v>-3651.14</v>
      </c>
      <c r="Y130" s="1"/>
      <c r="Z130" s="5">
        <f t="shared" si="93"/>
        <v>-1</v>
      </c>
    </row>
    <row r="131" spans="1:26" s="23" customFormat="1" hidden="1" outlineLevel="2" x14ac:dyDescent="0.25">
      <c r="A131" s="27"/>
      <c r="B131" s="10" t="str">
        <f>CONCATENATE("          ", "6376", " - ", "TRAINING")</f>
        <v xml:space="preserve">          6376 - TRAINING</v>
      </c>
      <c r="C131" s="10"/>
      <c r="D131" s="6"/>
      <c r="E131" s="2"/>
      <c r="F131" s="7">
        <f t="shared" si="86"/>
        <v>0</v>
      </c>
      <c r="G131" s="2"/>
      <c r="H131" s="6"/>
      <c r="I131" s="2"/>
      <c r="J131" s="7">
        <f t="shared" si="87"/>
        <v>0</v>
      </c>
      <c r="K131" s="2"/>
      <c r="L131" s="6">
        <f t="shared" si="88"/>
        <v>0</v>
      </c>
      <c r="M131" s="2"/>
      <c r="N131" s="7">
        <f t="shared" si="89"/>
        <v>0</v>
      </c>
      <c r="O131" s="10"/>
      <c r="P131" s="6"/>
      <c r="Q131" s="2"/>
      <c r="R131" s="7">
        <f t="shared" si="90"/>
        <v>0</v>
      </c>
      <c r="S131" s="2"/>
      <c r="T131" s="6">
        <v>3651.14</v>
      </c>
      <c r="U131" s="2"/>
      <c r="V131" s="7">
        <f t="shared" si="91"/>
        <v>1.5619095004787851E-3</v>
      </c>
      <c r="W131" s="2"/>
      <c r="X131" s="6">
        <f t="shared" si="92"/>
        <v>-3651.14</v>
      </c>
      <c r="Y131" s="2"/>
      <c r="Z131" s="7">
        <f t="shared" si="93"/>
        <v>-1</v>
      </c>
    </row>
    <row r="132" spans="1:26" s="26" customFormat="1" outlineLevel="1" collapsed="1" x14ac:dyDescent="0.25">
      <c r="A132" s="25"/>
      <c r="B132" s="12" t="str">
        <f>CONCATENATE("     ","Travel                                            ")</f>
        <v xml:space="preserve">     Travel                                            </v>
      </c>
      <c r="C132" s="12"/>
      <c r="D132" s="1">
        <f>SUM(OSRRefD22_14x_0)</f>
        <v>0</v>
      </c>
      <c r="E132" s="1"/>
      <c r="F132" s="5">
        <f t="shared" si="86"/>
        <v>0</v>
      </c>
      <c r="G132" s="1"/>
      <c r="H132" s="1">
        <f>SUM(OSRRefH22_14x_0)</f>
        <v>0</v>
      </c>
      <c r="I132" s="1"/>
      <c r="J132" s="5">
        <f t="shared" si="87"/>
        <v>0</v>
      </c>
      <c r="K132" s="1"/>
      <c r="L132" s="1">
        <f t="shared" si="88"/>
        <v>0</v>
      </c>
      <c r="M132" s="1"/>
      <c r="N132" s="5">
        <f t="shared" si="89"/>
        <v>0</v>
      </c>
      <c r="O132" s="12"/>
      <c r="P132" s="1">
        <f>SUM(OSRRefP22_14x_0)</f>
        <v>113.82</v>
      </c>
      <c r="Q132" s="1"/>
      <c r="R132" s="5">
        <f t="shared" si="90"/>
        <v>5.6038411884405015E-5</v>
      </c>
      <c r="S132" s="1"/>
      <c r="T132" s="1">
        <f>SUM(OSRRefT22_14x_0)</f>
        <v>-99.159999999999982</v>
      </c>
      <c r="U132" s="1"/>
      <c r="V132" s="5">
        <f t="shared" si="91"/>
        <v>-4.2419339183782686E-5</v>
      </c>
      <c r="W132" s="1"/>
      <c r="X132" s="1">
        <f t="shared" si="92"/>
        <v>212.97999999999996</v>
      </c>
      <c r="Y132" s="1"/>
      <c r="Z132" s="5">
        <f t="shared" si="93"/>
        <v>-2.1478418717224685</v>
      </c>
    </row>
    <row r="133" spans="1:26" s="23" customFormat="1" hidden="1" outlineLevel="2" x14ac:dyDescent="0.25">
      <c r="A133" s="27"/>
      <c r="B133" s="10" t="str">
        <f>CONCATENATE("          ", "6292", " - ", "TRAVEL/CONFERENCE")</f>
        <v xml:space="preserve">          6292 - TRAVEL/CONFERENCE</v>
      </c>
      <c r="C133" s="10"/>
      <c r="D133" s="6"/>
      <c r="E133" s="2"/>
      <c r="F133" s="7">
        <f t="shared" si="86"/>
        <v>0</v>
      </c>
      <c r="G133" s="2"/>
      <c r="H133" s="6"/>
      <c r="I133" s="2"/>
      <c r="J133" s="7">
        <f t="shared" si="87"/>
        <v>0</v>
      </c>
      <c r="K133" s="2"/>
      <c r="L133" s="6">
        <f t="shared" si="88"/>
        <v>0</v>
      </c>
      <c r="M133" s="2"/>
      <c r="N133" s="7">
        <f t="shared" si="89"/>
        <v>0</v>
      </c>
      <c r="O133" s="10"/>
      <c r="P133" s="6"/>
      <c r="Q133" s="2"/>
      <c r="R133" s="7">
        <f t="shared" si="90"/>
        <v>0</v>
      </c>
      <c r="S133" s="2"/>
      <c r="T133" s="6">
        <v>107.04</v>
      </c>
      <c r="U133" s="2"/>
      <c r="V133" s="7">
        <f t="shared" si="91"/>
        <v>4.5790299175394311E-5</v>
      </c>
      <c r="W133" s="2"/>
      <c r="X133" s="6">
        <f t="shared" si="92"/>
        <v>-107.04</v>
      </c>
      <c r="Y133" s="2"/>
      <c r="Z133" s="7">
        <f t="shared" si="93"/>
        <v>-1</v>
      </c>
    </row>
    <row r="134" spans="1:26" s="23" customFormat="1" hidden="1" outlineLevel="2" x14ac:dyDescent="0.25">
      <c r="A134" s="27"/>
      <c r="B134" s="10" t="str">
        <f>CONCATENATE("          ", "6294", " - ", "TRAVEL OPERATIONAL")</f>
        <v xml:space="preserve">          6294 - TRAVEL OPERATIONAL</v>
      </c>
      <c r="C134" s="10"/>
      <c r="D134" s="6"/>
      <c r="E134" s="2"/>
      <c r="F134" s="7">
        <f t="shared" si="86"/>
        <v>0</v>
      </c>
      <c r="G134" s="2"/>
      <c r="H134" s="6"/>
      <c r="I134" s="2"/>
      <c r="J134" s="7">
        <f t="shared" si="87"/>
        <v>0</v>
      </c>
      <c r="K134" s="2"/>
      <c r="L134" s="6">
        <f t="shared" si="88"/>
        <v>0</v>
      </c>
      <c r="M134" s="2"/>
      <c r="N134" s="7">
        <f t="shared" si="89"/>
        <v>0</v>
      </c>
      <c r="O134" s="10"/>
      <c r="P134" s="6">
        <v>113.82</v>
      </c>
      <c r="Q134" s="2"/>
      <c r="R134" s="7">
        <f t="shared" si="90"/>
        <v>5.6038411884405015E-5</v>
      </c>
      <c r="S134" s="2"/>
      <c r="T134" s="6">
        <v>-206.2</v>
      </c>
      <c r="U134" s="2"/>
      <c r="V134" s="7">
        <f t="shared" si="91"/>
        <v>-8.8209638359176997E-5</v>
      </c>
      <c r="W134" s="2"/>
      <c r="X134" s="6">
        <f t="shared" si="92"/>
        <v>320.02</v>
      </c>
      <c r="Y134" s="2"/>
      <c r="Z134" s="7">
        <f t="shared" si="93"/>
        <v>-1.5519883608147429</v>
      </c>
    </row>
    <row r="135" spans="1:26" s="57" customFormat="1" x14ac:dyDescent="0.25">
      <c r="A135" s="37"/>
      <c r="B135" s="37"/>
      <c r="C135" s="37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7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4" customFormat="1" collapsed="1" x14ac:dyDescent="0.25">
      <c r="A136" s="11"/>
      <c r="B136" s="29" t="s">
        <v>292</v>
      </c>
      <c r="C136" s="11"/>
      <c r="D136" s="4">
        <f>SUM(OSRRefD25x_0)</f>
        <v>1862</v>
      </c>
      <c r="E136" s="4"/>
      <c r="F136" s="13">
        <f t="shared" ref="F136:F139" si="94">IF(D$12=0,0,D136/D$12)</f>
        <v>4.708939250991368E-3</v>
      </c>
      <c r="G136" s="4"/>
      <c r="H136" s="4">
        <f>SUM(OSRRefH25x_0)</f>
        <v>0</v>
      </c>
      <c r="I136" s="4"/>
      <c r="J136" s="13">
        <f t="shared" ref="J136:J139" si="95">IF(H$12=0,0,H136/H$12)</f>
        <v>0</v>
      </c>
      <c r="K136" s="4"/>
      <c r="L136" s="4">
        <f t="shared" ref="L136:L139" si="96">+D136-H136</f>
        <v>1862</v>
      </c>
      <c r="M136" s="4"/>
      <c r="N136" s="13">
        <f t="shared" ref="N136:N139" si="97">IF(H136=0,0,L136/H136)</f>
        <v>0</v>
      </c>
      <c r="O136" s="11"/>
      <c r="P136" s="4">
        <f>SUM(OSRRefP25x_0)</f>
        <v>412686.77999999997</v>
      </c>
      <c r="Q136" s="4"/>
      <c r="R136" s="13">
        <f t="shared" ref="R136:R139" si="98">IF(P$12=0,0,P136/P$12)</f>
        <v>0.2031831994103746</v>
      </c>
      <c r="S136" s="4"/>
      <c r="T136" s="4">
        <f>SUM(OSRRefT25x_0)</f>
        <v>96904.89</v>
      </c>
      <c r="U136" s="4"/>
      <c r="V136" s="13">
        <f t="shared" ref="V136:V139" si="99">IF(T$12=0,0,T136/T$12)</f>
        <v>4.1454632891056394E-2</v>
      </c>
      <c r="W136" s="4"/>
      <c r="X136" s="4">
        <f t="shared" ref="X136:X139" si="100">+P136-T136</f>
        <v>315781.88999999996</v>
      </c>
      <c r="Y136" s="4"/>
      <c r="Z136" s="13">
        <f t="shared" ref="Z136:Z139" si="101">IF(T136=0,0,X136/T136)</f>
        <v>3.2586785868081574</v>
      </c>
    </row>
    <row r="137" spans="1:26" s="23" customFormat="1" hidden="1" outlineLevel="1" x14ac:dyDescent="0.25">
      <c r="A137" s="44"/>
      <c r="B137" s="10" t="str">
        <f>CONCATENATE("          ", "4098", " - ", "TAXABLE SALES-GRAD RENTALS")</f>
        <v xml:space="preserve">          4098 - TAXABLE SALES-GRAD RENTALS</v>
      </c>
      <c r="C137" s="10"/>
      <c r="D137" s="2">
        <f t="shared" ref="D137:D138" si="102">0</f>
        <v>0</v>
      </c>
      <c r="E137" s="2"/>
      <c r="F137" s="19">
        <f t="shared" si="94"/>
        <v>0</v>
      </c>
      <c r="G137" s="2"/>
      <c r="H137" s="2">
        <f t="shared" ref="H137:H139" si="103">0</f>
        <v>0</v>
      </c>
      <c r="I137" s="2"/>
      <c r="J137" s="19">
        <f t="shared" si="95"/>
        <v>0</v>
      </c>
      <c r="K137" s="2"/>
      <c r="L137" s="2">
        <f t="shared" si="96"/>
        <v>0</v>
      </c>
      <c r="M137" s="2"/>
      <c r="N137" s="19">
        <f t="shared" si="97"/>
        <v>0</v>
      </c>
      <c r="O137" s="10"/>
      <c r="P137" s="2">
        <f>--49.95</f>
        <v>49.95</v>
      </c>
      <c r="Q137" s="2"/>
      <c r="R137" s="19">
        <f t="shared" si="98"/>
        <v>2.4592502843314277E-5</v>
      </c>
      <c r="S137" s="2"/>
      <c r="T137" s="2">
        <f>0</f>
        <v>0</v>
      </c>
      <c r="U137" s="2"/>
      <c r="V137" s="19">
        <f t="shared" si="99"/>
        <v>0</v>
      </c>
      <c r="W137" s="2"/>
      <c r="X137" s="2">
        <f t="shared" si="100"/>
        <v>49.95</v>
      </c>
      <c r="Y137" s="2"/>
      <c r="Z137" s="19">
        <f t="shared" si="101"/>
        <v>0</v>
      </c>
    </row>
    <row r="138" spans="1:26" s="23" customFormat="1" hidden="1" outlineLevel="1" x14ac:dyDescent="0.25">
      <c r="A138" s="44"/>
      <c r="B138" s="10" t="str">
        <f>CONCATENATE("          ", "9150", " - ", "MISC. INCOME")</f>
        <v xml:space="preserve">          9150 - MISC. INCOME</v>
      </c>
      <c r="C138" s="10"/>
      <c r="D138" s="2">
        <f t="shared" si="102"/>
        <v>0</v>
      </c>
      <c r="E138" s="2"/>
      <c r="F138" s="19">
        <f t="shared" si="94"/>
        <v>0</v>
      </c>
      <c r="G138" s="2"/>
      <c r="H138" s="2">
        <f t="shared" si="103"/>
        <v>0</v>
      </c>
      <c r="I138" s="2"/>
      <c r="J138" s="19">
        <f t="shared" si="95"/>
        <v>0</v>
      </c>
      <c r="K138" s="2"/>
      <c r="L138" s="2">
        <f t="shared" si="96"/>
        <v>0</v>
      </c>
      <c r="M138" s="2"/>
      <c r="N138" s="19">
        <f t="shared" si="97"/>
        <v>0</v>
      </c>
      <c r="O138" s="10"/>
      <c r="P138" s="2">
        <f>--64296.27</f>
        <v>64296.27</v>
      </c>
      <c r="Q138" s="2"/>
      <c r="R138" s="19">
        <f t="shared" si="98"/>
        <v>3.1655779835625668E-2</v>
      </c>
      <c r="S138" s="2"/>
      <c r="T138" s="2">
        <f>--96904.89</f>
        <v>96904.89</v>
      </c>
      <c r="U138" s="2"/>
      <c r="V138" s="19">
        <f t="shared" si="99"/>
        <v>4.1454632891056394E-2</v>
      </c>
      <c r="W138" s="2"/>
      <c r="X138" s="2">
        <f t="shared" si="100"/>
        <v>-32608.620000000003</v>
      </c>
      <c r="Y138" s="2"/>
      <c r="Z138" s="19">
        <f t="shared" si="101"/>
        <v>-0.33650128491967746</v>
      </c>
    </row>
    <row r="139" spans="1:26" s="23" customFormat="1" hidden="1" outlineLevel="1" x14ac:dyDescent="0.25">
      <c r="A139" s="44"/>
      <c r="B139" s="10" t="str">
        <f>CONCATENATE("          ", "9163", " - ", "MISC. INCOME")</f>
        <v xml:space="preserve">          9163 - MISC. INCOME</v>
      </c>
      <c r="C139" s="10"/>
      <c r="D139" s="2">
        <f>--1862</f>
        <v>1862</v>
      </c>
      <c r="E139" s="2"/>
      <c r="F139" s="19">
        <f t="shared" si="94"/>
        <v>4.708939250991368E-3</v>
      </c>
      <c r="G139" s="2"/>
      <c r="H139" s="2">
        <f t="shared" si="103"/>
        <v>0</v>
      </c>
      <c r="I139" s="2"/>
      <c r="J139" s="19">
        <f t="shared" si="95"/>
        <v>0</v>
      </c>
      <c r="K139" s="2"/>
      <c r="L139" s="2">
        <f t="shared" si="96"/>
        <v>1862</v>
      </c>
      <c r="M139" s="2"/>
      <c r="N139" s="19">
        <f t="shared" si="97"/>
        <v>0</v>
      </c>
      <c r="O139" s="10"/>
      <c r="P139" s="2">
        <f>--348340.56</f>
        <v>348340.56</v>
      </c>
      <c r="Q139" s="2"/>
      <c r="R139" s="19">
        <f t="shared" si="98"/>
        <v>0.17150282707190564</v>
      </c>
      <c r="S139" s="2"/>
      <c r="T139" s="2">
        <f>0</f>
        <v>0</v>
      </c>
      <c r="U139" s="2"/>
      <c r="V139" s="19">
        <f t="shared" si="99"/>
        <v>0</v>
      </c>
      <c r="W139" s="2"/>
      <c r="X139" s="2">
        <f t="shared" si="100"/>
        <v>348340.56</v>
      </c>
      <c r="Y139" s="2"/>
      <c r="Z139" s="19">
        <f t="shared" si="101"/>
        <v>0</v>
      </c>
    </row>
    <row r="140" spans="1:26" x14ac:dyDescent="0.25">
      <c r="A140" s="9"/>
      <c r="B140" s="11"/>
      <c r="C140" s="11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1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4" customFormat="1" x14ac:dyDescent="0.25">
      <c r="A141" s="11"/>
      <c r="B141" s="28" t="s">
        <v>276</v>
      </c>
      <c r="C141" s="28"/>
      <c r="D141" s="20">
        <f>+D80-D82+D136</f>
        <v>176332.73</v>
      </c>
      <c r="E141" s="14"/>
      <c r="F141" s="21">
        <f>IF(D$12=0,0,D141/D$12)</f>
        <v>0.44593991059691901</v>
      </c>
      <c r="G141" s="14"/>
      <c r="H141" s="20">
        <f>+H80-H82+H136</f>
        <v>26649.67000000002</v>
      </c>
      <c r="I141" s="14"/>
      <c r="J141" s="21">
        <f>IF(H$12=0,0,H141/H$12)</f>
        <v>0.14848617997215899</v>
      </c>
      <c r="K141" s="15"/>
      <c r="L141" s="20">
        <f>+D141-H141</f>
        <v>149683.06</v>
      </c>
      <c r="M141" s="15"/>
      <c r="N141" s="21">
        <f>IF(H141=0,0,L141/H141)</f>
        <v>5.6166946907785302</v>
      </c>
      <c r="O141" s="29"/>
      <c r="P141" s="20">
        <f>+P80-P82+P136</f>
        <v>835093.69000000088</v>
      </c>
      <c r="Q141" s="14"/>
      <c r="R141" s="21">
        <f>IF(P$12=0,0,P141/P$12)</f>
        <v>0.41115203094612274</v>
      </c>
      <c r="S141" s="14"/>
      <c r="T141" s="20">
        <f>+T80-T82+T136</f>
        <v>653641.59000000008</v>
      </c>
      <c r="U141" s="14"/>
      <c r="V141" s="21">
        <f>IF(T$12=0,0,T141/T$12)</f>
        <v>0.27961924476439115</v>
      </c>
      <c r="W141" s="15"/>
      <c r="X141" s="20">
        <f>+P141-T141</f>
        <v>181452.10000000079</v>
      </c>
      <c r="Y141" s="15"/>
      <c r="Z141" s="21">
        <f>IF(T141=0,0,X141/T141)</f>
        <v>0.27760182763156299</v>
      </c>
    </row>
    <row r="142" spans="1:26" x14ac:dyDescent="0.25">
      <c r="A142" s="9"/>
      <c r="B142" s="11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x14ac:dyDescent="0.25">
      <c r="A143" s="51"/>
      <c r="B143" s="11" t="s">
        <v>127</v>
      </c>
      <c r="C143" s="11"/>
      <c r="D143" s="4">
        <v>91835.56</v>
      </c>
      <c r="E143" s="4"/>
      <c r="F143" s="13">
        <f>IF(D$12=0,0,D143/D$12)</f>
        <v>0.23224923368462558</v>
      </c>
      <c r="G143" s="4"/>
      <c r="H143" s="4">
        <v>31780.44</v>
      </c>
      <c r="I143" s="4"/>
      <c r="J143" s="13">
        <f>IF(H$12=0,0,H143/H$12)</f>
        <v>0.17707371736439501</v>
      </c>
      <c r="K143" s="4"/>
      <c r="L143" s="4">
        <f>+D143-H143</f>
        <v>60055.119999999995</v>
      </c>
      <c r="M143" s="4"/>
      <c r="N143" s="13">
        <f>IF(H143=0,0,L143/H143)</f>
        <v>1.8896881226314046</v>
      </c>
      <c r="O143" s="11"/>
      <c r="P143" s="4">
        <v>434028.27</v>
      </c>
      <c r="Q143" s="4"/>
      <c r="R143" s="13">
        <f>IF(P$12=0,0,P143/P$12)</f>
        <v>0.21369051980087642</v>
      </c>
      <c r="S143" s="4"/>
      <c r="T143" s="4">
        <v>276821.48</v>
      </c>
      <c r="U143" s="4"/>
      <c r="V143" s="13">
        <f>IF(T$12=0,0,T143/T$12)</f>
        <v>0.11842057536785716</v>
      </c>
      <c r="W143" s="4"/>
      <c r="X143" s="4">
        <f>+P143-T143</f>
        <v>157206.79000000004</v>
      </c>
      <c r="Y143" s="4"/>
      <c r="Z143" s="13">
        <f>IF(T143=0,0,X143/T143)</f>
        <v>0.56789953583081798</v>
      </c>
    </row>
    <row r="144" spans="1:26" x14ac:dyDescent="0.25">
      <c r="A144" s="9"/>
      <c r="B144" s="11"/>
      <c r="C144" s="11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1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4" customFormat="1" ht="15.75" thickBot="1" x14ac:dyDescent="0.3">
      <c r="A145" s="11"/>
      <c r="B145" s="28" t="s">
        <v>125</v>
      </c>
      <c r="C145" s="28"/>
      <c r="D145" s="35">
        <f>+D141-D143</f>
        <v>84497.170000000013</v>
      </c>
      <c r="E145" s="14"/>
      <c r="F145" s="36">
        <f>IF(D$12=0,0,D145/D$12)</f>
        <v>0.21369067691229343</v>
      </c>
      <c r="G145" s="14"/>
      <c r="H145" s="35">
        <f>+H141-H143</f>
        <v>-5130.7699999999786</v>
      </c>
      <c r="I145" s="14"/>
      <c r="J145" s="36">
        <f>IF(H$12=0,0,H145/H$12)</f>
        <v>-2.8587537392236018E-2</v>
      </c>
      <c r="K145" s="15"/>
      <c r="L145" s="35">
        <f>D145-H145</f>
        <v>89627.939999999988</v>
      </c>
      <c r="M145" s="15"/>
      <c r="N145" s="36">
        <f>IF(H145=0,0,L145/H145)</f>
        <v>-17.468711324031357</v>
      </c>
      <c r="O145" s="29"/>
      <c r="P145" s="35">
        <f>+P141-P143</f>
        <v>401065.42000000086</v>
      </c>
      <c r="Q145" s="14"/>
      <c r="R145" s="36">
        <f>IF(P$12=0,0,P145/P$12)</f>
        <v>0.19746151114524635</v>
      </c>
      <c r="S145" s="14"/>
      <c r="T145" s="35">
        <f>+T141-T143</f>
        <v>376820.1100000001</v>
      </c>
      <c r="U145" s="14"/>
      <c r="V145" s="36">
        <f>IF(T$12=0,0,T145/T$12)</f>
        <v>0.16119866939653399</v>
      </c>
      <c r="W145" s="15"/>
      <c r="X145" s="35">
        <f>P145-T145</f>
        <v>24245.310000000754</v>
      </c>
      <c r="Y145" s="15"/>
      <c r="Z145" s="36">
        <f>IF(T145=0,0,X145/T145)</f>
        <v>6.4341868590826398E-2</v>
      </c>
    </row>
    <row r="146" spans="1:26" ht="15.75" thickTop="1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4" customFormat="1" ht="15.75" thickBot="1" x14ac:dyDescent="0.3">
      <c r="A148" s="11"/>
      <c r="B148" s="28" t="s">
        <v>293</v>
      </c>
      <c r="C148" s="28"/>
      <c r="D148" s="30">
        <f>SUM(D145:D147)</f>
        <v>84497.170000000013</v>
      </c>
      <c r="E148" s="14"/>
      <c r="F148" s="31">
        <f>IF(D$12=0,0,D148/D$12)</f>
        <v>0.21369067691229343</v>
      </c>
      <c r="G148" s="14"/>
      <c r="H148" s="30">
        <f>SUM(H145:H147)</f>
        <v>-5130.7699999999786</v>
      </c>
      <c r="I148" s="14"/>
      <c r="J148" s="31">
        <f>IF(H$12=0,0,H148/H$12)</f>
        <v>-2.8587537392236018E-2</v>
      </c>
      <c r="K148" s="15"/>
      <c r="L148" s="30">
        <f>+D148-H148</f>
        <v>89627.939999999988</v>
      </c>
      <c r="M148" s="15"/>
      <c r="N148" s="31">
        <f>IF(H148=0,0,L148/H148)</f>
        <v>-17.468711324031357</v>
      </c>
      <c r="O148" s="29"/>
      <c r="P148" s="30">
        <f>SUM(P145:P147)</f>
        <v>401065.42000000086</v>
      </c>
      <c r="Q148" s="14"/>
      <c r="R148" s="31">
        <f>IF(P$12=0,0,P148/P$12)</f>
        <v>0.19746151114524635</v>
      </c>
      <c r="S148" s="14"/>
      <c r="T148" s="30">
        <f>SUM(T145:T147)</f>
        <v>376820.1100000001</v>
      </c>
      <c r="U148" s="14"/>
      <c r="V148" s="31">
        <f>IF(T$12=0,0,T148/T$12)</f>
        <v>0.16119866939653399</v>
      </c>
      <c r="W148" s="15"/>
      <c r="X148" s="30">
        <f>+P148-T148</f>
        <v>24245.310000000754</v>
      </c>
      <c r="Y148" s="15"/>
      <c r="Z148" s="31">
        <f>IF(T148=0,0,X148/T148)</f>
        <v>6.4341868590826398E-2</v>
      </c>
    </row>
    <row r="149" spans="1:26" ht="15.75" thickTop="1" x14ac:dyDescent="0.25">
      <c r="A149" s="9"/>
      <c r="C149" s="9"/>
      <c r="D149" s="18"/>
      <c r="E149" s="18"/>
      <c r="G149" s="18"/>
      <c r="H149" s="18"/>
      <c r="I149" s="18"/>
      <c r="J149" s="42"/>
      <c r="K149" s="18"/>
      <c r="L149" s="18"/>
      <c r="M149" s="18"/>
      <c r="P149" s="18"/>
      <c r="Q149" s="18"/>
      <c r="R149" s="42"/>
      <c r="S149" s="18"/>
      <c r="T149" s="18"/>
      <c r="U149" s="18"/>
      <c r="V149" s="42"/>
      <c r="W149" s="18"/>
      <c r="X149" s="18"/>
    </row>
    <row r="150" spans="1:26" x14ac:dyDescent="0.25">
      <c r="A150" s="9"/>
      <c r="B150" s="59">
        <v>44356.893348032405</v>
      </c>
      <c r="D150" s="18"/>
      <c r="E150" s="18"/>
      <c r="G150" s="18"/>
      <c r="H150" s="18"/>
      <c r="I150" s="18"/>
      <c r="J150" s="42"/>
      <c r="K150" s="18"/>
      <c r="L150" s="18"/>
      <c r="M150" s="18"/>
      <c r="P150" s="18"/>
      <c r="Q150" s="18"/>
      <c r="R150" s="42"/>
      <c r="S150" s="18"/>
      <c r="T150" s="18"/>
      <c r="U150" s="18"/>
      <c r="V150" s="42"/>
      <c r="W150" s="18"/>
      <c r="X150" s="18"/>
    </row>
    <row r="151" spans="1:26" x14ac:dyDescent="0.25">
      <c r="A151" s="9"/>
      <c r="B151" s="52" t="s">
        <v>56</v>
      </c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A152" s="9"/>
      <c r="B152" s="54"/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124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12946.13</v>
      </c>
      <c r="E12" s="4"/>
      <c r="F12" s="13"/>
      <c r="G12" s="4"/>
      <c r="H12" s="4">
        <f>SUM(OSRRefH13x_0)</f>
        <v>16537.950000000004</v>
      </c>
      <c r="I12" s="4"/>
      <c r="J12" s="13"/>
      <c r="K12" s="4"/>
      <c r="L12" s="4">
        <f t="shared" ref="L12:L32" si="0">+D12-H12</f>
        <v>-3591.8200000000052</v>
      </c>
      <c r="M12" s="4"/>
      <c r="N12" s="13">
        <f t="shared" ref="N12:N32" si="1">IF(H12=0,0,L12/H12)</f>
        <v>-0.217186531583419</v>
      </c>
      <c r="O12" s="11"/>
      <c r="P12" s="4">
        <f>SUM(OSRRefP13x_0)</f>
        <v>127643.60999999999</v>
      </c>
      <c r="Q12" s="4"/>
      <c r="R12" s="13"/>
      <c r="S12" s="4"/>
      <c r="T12" s="4">
        <f>SUM(OSRRefT13x_0)</f>
        <v>508371.8</v>
      </c>
      <c r="U12" s="4"/>
      <c r="V12" s="13"/>
      <c r="W12" s="4"/>
      <c r="X12" s="4">
        <f t="shared" ref="X12:X32" si="2">+P12-T12</f>
        <v>-380728.19</v>
      </c>
      <c r="Y12" s="4"/>
      <c r="Z12" s="13">
        <f t="shared" ref="Z12:Z32" si="3">IF(T12=0,0,X12/T12)</f>
        <v>-0.74891681639304153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</f>
        <v>-1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</v>
      </c>
      <c r="M13" s="2"/>
      <c r="N13" s="19">
        <f t="shared" si="1"/>
        <v>0</v>
      </c>
      <c r="O13" s="10"/>
      <c r="P13" s="2">
        <f>-10.28</f>
        <v>-10.28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-10.28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--381.55</f>
        <v>381.55</v>
      </c>
      <c r="E14" s="2"/>
      <c r="F14" s="19"/>
      <c r="G14" s="2"/>
      <c r="H14" s="2">
        <f>--813.1</f>
        <v>813.1</v>
      </c>
      <c r="I14" s="2"/>
      <c r="J14" s="19"/>
      <c r="K14" s="2"/>
      <c r="L14" s="2">
        <f t="shared" si="0"/>
        <v>-431.55</v>
      </c>
      <c r="M14" s="2"/>
      <c r="N14" s="19">
        <f t="shared" si="1"/>
        <v>-0.53074652564260238</v>
      </c>
      <c r="O14" s="10"/>
      <c r="P14" s="2">
        <f>--93301.72</f>
        <v>93301.72</v>
      </c>
      <c r="Q14" s="2"/>
      <c r="R14" s="19"/>
      <c r="S14" s="2"/>
      <c r="T14" s="2">
        <f>--175020.35</f>
        <v>175020.35</v>
      </c>
      <c r="U14" s="2"/>
      <c r="V14" s="19"/>
      <c r="W14" s="2"/>
      <c r="X14" s="2">
        <f t="shared" si="2"/>
        <v>-81718.63</v>
      </c>
      <c r="Y14" s="2"/>
      <c r="Z14" s="19">
        <f t="shared" si="3"/>
        <v>-0.4669093051179477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--1225.83</f>
        <v>1225.83</v>
      </c>
      <c r="E15" s="2"/>
      <c r="F15" s="19"/>
      <c r="G15" s="2"/>
      <c r="H15" s="2">
        <f>--2076.05</f>
        <v>2076.0500000000002</v>
      </c>
      <c r="I15" s="2"/>
      <c r="J15" s="19"/>
      <c r="K15" s="2"/>
      <c r="L15" s="2">
        <f t="shared" si="0"/>
        <v>-850.22000000000025</v>
      </c>
      <c r="M15" s="2"/>
      <c r="N15" s="19">
        <f t="shared" si="1"/>
        <v>-0.40953734254955332</v>
      </c>
      <c r="O15" s="10"/>
      <c r="P15" s="2">
        <f>--18325.67</f>
        <v>18325.669999999998</v>
      </c>
      <c r="Q15" s="2"/>
      <c r="R15" s="19"/>
      <c r="S15" s="2"/>
      <c r="T15" s="2">
        <f>--76522.66</f>
        <v>76522.66</v>
      </c>
      <c r="U15" s="2"/>
      <c r="V15" s="19"/>
      <c r="W15" s="2"/>
      <c r="X15" s="2">
        <f t="shared" si="2"/>
        <v>-58196.990000000005</v>
      </c>
      <c r="Y15" s="2"/>
      <c r="Z15" s="19">
        <f t="shared" si="3"/>
        <v>-0.76051969442776823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--9.47</f>
        <v>9.4700000000000006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9.4700000000000006</v>
      </c>
      <c r="M16" s="2"/>
      <c r="N16" s="19">
        <f t="shared" si="1"/>
        <v>0</v>
      </c>
      <c r="O16" s="10"/>
      <c r="P16" s="2">
        <f>--62.15</f>
        <v>62.15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-859.57</v>
      </c>
      <c r="Y16" s="2"/>
      <c r="Z16" s="19">
        <f t="shared" si="3"/>
        <v>-0.93257171375254966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9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9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"4092", " - ", "TAXABLE SALES-GRAD MERCH")</f>
        <v xml:space="preserve">          4092 - TAXABLE SALES-GRAD MERCH</v>
      </c>
      <c r="C19" s="10"/>
      <c r="D19" s="2">
        <f t="shared" si="5"/>
        <v>0</v>
      </c>
      <c r="E19" s="2"/>
      <c r="F19" s="19"/>
      <c r="G19" s="2"/>
      <c r="H19" s="2">
        <f>--13527.29</f>
        <v>13527.29</v>
      </c>
      <c r="I19" s="2"/>
      <c r="J19" s="19"/>
      <c r="K19" s="2"/>
      <c r="L19" s="2">
        <f t="shared" si="0"/>
        <v>-13527.29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--35393.66</f>
        <v>35393.660000000003</v>
      </c>
      <c r="U19" s="2"/>
      <c r="V19" s="19"/>
      <c r="W19" s="2"/>
      <c r="X19" s="2">
        <f t="shared" si="2"/>
        <v>-35393.660000000003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"4095", " - ", "TAXABLE SALES-CUSTOMER SERVICE")</f>
        <v xml:space="preserve">          4095 - TAXABLE SALES-CUSTOMER SERVICE</v>
      </c>
      <c r="C20" s="10"/>
      <c r="D20" s="2">
        <f>--10891.24</f>
        <v>10891.24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10891.24</v>
      </c>
      <c r="M20" s="2"/>
      <c r="N20" s="19">
        <f t="shared" si="1"/>
        <v>0</v>
      </c>
      <c r="O20" s="10"/>
      <c r="P20" s="2">
        <f>--13925.83</f>
        <v>13925.83</v>
      </c>
      <c r="Q20" s="2"/>
      <c r="R20" s="19"/>
      <c r="S20" s="2"/>
      <c r="T20" s="2">
        <f>--279.56</f>
        <v>279.56</v>
      </c>
      <c r="U20" s="2"/>
      <c r="V20" s="19"/>
      <c r="W20" s="2"/>
      <c r="X20" s="2">
        <f t="shared" si="2"/>
        <v>13646.27</v>
      </c>
      <c r="Y20" s="2"/>
      <c r="Z20" s="19">
        <f t="shared" si="3"/>
        <v>48.813385319788239</v>
      </c>
    </row>
    <row r="21" spans="1:26" s="23" customFormat="1" hidden="1" outlineLevel="1" x14ac:dyDescent="0.25">
      <c r="A21" s="44"/>
      <c r="B21" s="10" t="str">
        <f>CONCATENATE("          ", "4141", " - ", "NON-TAXABLE SALES-LOGO GIFTS")</f>
        <v xml:space="preserve">          4141 - NON-TAXABLE SALES-LOGO GIFTS</v>
      </c>
      <c r="C21" s="10"/>
      <c r="D21" s="2">
        <f>--476.8</f>
        <v>476.8</v>
      </c>
      <c r="E21" s="2"/>
      <c r="F21" s="19"/>
      <c r="G21" s="2"/>
      <c r="H21" s="2">
        <f>--57</f>
        <v>57</v>
      </c>
      <c r="I21" s="2"/>
      <c r="J21" s="19"/>
      <c r="K21" s="2"/>
      <c r="L21" s="2">
        <f t="shared" si="0"/>
        <v>419.8</v>
      </c>
      <c r="M21" s="2"/>
      <c r="N21" s="19">
        <f t="shared" si="1"/>
        <v>7.3649122807017546</v>
      </c>
      <c r="O21" s="10"/>
      <c r="P21" s="2">
        <f>--1756.04</f>
        <v>1756.04</v>
      </c>
      <c r="Q21" s="2"/>
      <c r="R21" s="19"/>
      <c r="S21" s="2"/>
      <c r="T21" s="2">
        <f>--921.6</f>
        <v>921.6</v>
      </c>
      <c r="U21" s="2"/>
      <c r="V21" s="19"/>
      <c r="W21" s="2"/>
      <c r="X21" s="2">
        <f t="shared" si="2"/>
        <v>834.43999999999994</v>
      </c>
      <c r="Y21" s="2"/>
      <c r="Z21" s="19">
        <f t="shared" si="3"/>
        <v>0.90542534722222212</v>
      </c>
    </row>
    <row r="22" spans="1:26" s="23" customFormat="1" hidden="1" outlineLevel="1" x14ac:dyDescent="0.25">
      <c r="A22" s="44"/>
      <c r="B22" s="10" t="str">
        <f>CONCATENATE("          ", "4142", " - ", "NON-TAXABLE SALES-EVERYDAY GIF")</f>
        <v xml:space="preserve">          4142 - NON-TAXABLE SALES-EVERYDAY GIF</v>
      </c>
      <c r="C22" s="10"/>
      <c r="D22" s="2">
        <f>--4.39</f>
        <v>4.3899999999999997</v>
      </c>
      <c r="E22" s="2"/>
      <c r="F22" s="19"/>
      <c r="G22" s="2"/>
      <c r="H22" s="2">
        <f t="shared" ref="H22:H23" si="7">0</f>
        <v>0</v>
      </c>
      <c r="I22" s="2"/>
      <c r="J22" s="19"/>
      <c r="K22" s="2"/>
      <c r="L22" s="2">
        <f t="shared" si="0"/>
        <v>4.3899999999999997</v>
      </c>
      <c r="M22" s="2"/>
      <c r="N22" s="19">
        <f t="shared" si="1"/>
        <v>0</v>
      </c>
      <c r="O22" s="10"/>
      <c r="P22" s="2">
        <f>--1137.08</f>
        <v>1137.08</v>
      </c>
      <c r="Q22" s="2"/>
      <c r="R22" s="19"/>
      <c r="S22" s="2"/>
      <c r="T22" s="2">
        <f>--8924.02</f>
        <v>8924.02</v>
      </c>
      <c r="U22" s="2"/>
      <c r="V22" s="19"/>
      <c r="W22" s="2"/>
      <c r="X22" s="2">
        <f t="shared" si="2"/>
        <v>-7786.9400000000005</v>
      </c>
      <c r="Y22" s="2"/>
      <c r="Z22" s="19">
        <f t="shared" si="3"/>
        <v>-0.87258208744489596</v>
      </c>
    </row>
    <row r="23" spans="1:26" s="23" customFormat="1" hidden="1" outlineLevel="1" x14ac:dyDescent="0.25">
      <c r="A23" s="44"/>
      <c r="B23" s="10" t="str">
        <f>CONCATENATE("          ", "4146", " - ", "NON-TAXABLE SALES-COIN OP MACH")</f>
        <v xml:space="preserve">          4146 - NON-TAXABLE SALES-COIN OP MACH</v>
      </c>
      <c r="C23" s="10"/>
      <c r="D23" s="2">
        <f>--56.6</f>
        <v>56.6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56.6</v>
      </c>
      <c r="M23" s="2"/>
      <c r="N23" s="19">
        <f t="shared" si="1"/>
        <v>0</v>
      </c>
      <c r="O23" s="10"/>
      <c r="P23" s="2">
        <f>--385.9</f>
        <v>385.9</v>
      </c>
      <c r="Q23" s="2"/>
      <c r="R23" s="19"/>
      <c r="S23" s="2"/>
      <c r="T23" s="2">
        <f>--205908.65</f>
        <v>205908.65</v>
      </c>
      <c r="U23" s="2"/>
      <c r="V23" s="19"/>
      <c r="W23" s="2"/>
      <c r="X23" s="2">
        <f t="shared" si="2"/>
        <v>-205522.75</v>
      </c>
      <c r="Y23" s="2"/>
      <c r="Z23" s="19">
        <f t="shared" si="3"/>
        <v>-0.99812586795163782</v>
      </c>
    </row>
    <row r="24" spans="1:26" s="23" customFormat="1" hidden="1" outlineLevel="1" x14ac:dyDescent="0.25">
      <c r="A24" s="44"/>
      <c r="B24" s="10" t="str">
        <f>CONCATENATE("          ", "4147", " - ", "NON-TAXABLE SALES-MISC")</f>
        <v xml:space="preserve">          4147 - NON-TAXABLE SALES-MISC</v>
      </c>
      <c r="C24" s="10"/>
      <c r="D24" s="2">
        <f>--13.5</f>
        <v>13.5</v>
      </c>
      <c r="E24" s="2"/>
      <c r="F24" s="19"/>
      <c r="G24" s="2"/>
      <c r="H24" s="2">
        <f>--10</f>
        <v>10</v>
      </c>
      <c r="I24" s="2"/>
      <c r="J24" s="19"/>
      <c r="K24" s="2"/>
      <c r="L24" s="2">
        <f t="shared" si="0"/>
        <v>3.5</v>
      </c>
      <c r="M24" s="2"/>
      <c r="N24" s="19">
        <f t="shared" si="1"/>
        <v>0.35</v>
      </c>
      <c r="O24" s="10"/>
      <c r="P24" s="2">
        <f>--168</f>
        <v>168</v>
      </c>
      <c r="Q24" s="2"/>
      <c r="R24" s="19"/>
      <c r="S24" s="2"/>
      <c r="T24" s="2">
        <f>--3446.37</f>
        <v>3446.37</v>
      </c>
      <c r="U24" s="2"/>
      <c r="V24" s="19"/>
      <c r="W24" s="2"/>
      <c r="X24" s="2">
        <f t="shared" si="2"/>
        <v>-3278.37</v>
      </c>
      <c r="Y24" s="2"/>
      <c r="Z24" s="19">
        <f t="shared" si="3"/>
        <v>-0.95125305756491618</v>
      </c>
    </row>
    <row r="25" spans="1:26" s="23" customFormat="1" hidden="1" outlineLevel="1" x14ac:dyDescent="0.25">
      <c r="A25" s="44"/>
      <c r="B25" s="10" t="str">
        <f>CONCATENATE("          ", "4192", " - ", "NON-TAXABLE SALES-GRAD MERCH")</f>
        <v xml:space="preserve">          4192 - NON-TAXABLE SALES-GRAD MERCH</v>
      </c>
      <c r="C25" s="10"/>
      <c r="D25" s="2">
        <f>0</f>
        <v>0</v>
      </c>
      <c r="E25" s="2"/>
      <c r="F25" s="19"/>
      <c r="G25" s="2"/>
      <c r="H25" s="2">
        <f>--119.4</f>
        <v>119.4</v>
      </c>
      <c r="I25" s="2"/>
      <c r="J25" s="19"/>
      <c r="K25" s="2"/>
      <c r="L25" s="2">
        <f t="shared" si="0"/>
        <v>-119.4</v>
      </c>
      <c r="M25" s="2"/>
      <c r="N25" s="19">
        <f t="shared" si="1"/>
        <v>-1</v>
      </c>
      <c r="O25" s="10"/>
      <c r="P25" s="2">
        <f>0</f>
        <v>0</v>
      </c>
      <c r="Q25" s="2"/>
      <c r="R25" s="19"/>
      <c r="S25" s="2"/>
      <c r="T25" s="2">
        <f>--119.4</f>
        <v>119.4</v>
      </c>
      <c r="U25" s="2"/>
      <c r="V25" s="19"/>
      <c r="W25" s="2"/>
      <c r="X25" s="2">
        <f t="shared" si="2"/>
        <v>-119.4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"4241", " - ", "SALES RETURN TAXABLE-LOGO GIFT")</f>
        <v xml:space="preserve">          4241 - SALES RETURN TAXABLE-LOGO GIFT</v>
      </c>
      <c r="C26" s="10"/>
      <c r="D26" s="2">
        <f>-7.95</f>
        <v>-7.95</v>
      </c>
      <c r="E26" s="2"/>
      <c r="F26" s="19"/>
      <c r="G26" s="2"/>
      <c r="H26" s="2">
        <f t="shared" ref="H26:H27" si="8">0</f>
        <v>0</v>
      </c>
      <c r="I26" s="2"/>
      <c r="J26" s="19"/>
      <c r="K26" s="2"/>
      <c r="L26" s="2">
        <f t="shared" si="0"/>
        <v>-7.95</v>
      </c>
      <c r="M26" s="2"/>
      <c r="N26" s="19">
        <f t="shared" si="1"/>
        <v>0</v>
      </c>
      <c r="O26" s="10"/>
      <c r="P26" s="2">
        <f>-1293</f>
        <v>-1293</v>
      </c>
      <c r="Q26" s="2"/>
      <c r="R26" s="19"/>
      <c r="S26" s="2"/>
      <c r="T26" s="2">
        <f>-1059.4</f>
        <v>-1059.4000000000001</v>
      </c>
      <c r="U26" s="2"/>
      <c r="V26" s="19"/>
      <c r="W26" s="2"/>
      <c r="X26" s="2">
        <f t="shared" si="2"/>
        <v>-233.59999999999991</v>
      </c>
      <c r="Y26" s="2"/>
      <c r="Z26" s="19">
        <f t="shared" si="3"/>
        <v>0.22050217104021133</v>
      </c>
    </row>
    <row r="27" spans="1:26" s="23" customFormat="1" hidden="1" outlineLevel="1" x14ac:dyDescent="0.25">
      <c r="A27" s="44"/>
      <c r="B27" s="10" t="str">
        <f>CONCATENATE("          ", "4242", " - ", "SALES RETURN TAXABLE-EVERYDAY")</f>
        <v xml:space="preserve">          4242 - SALES RETURN TAXABLE-EVERYDAY</v>
      </c>
      <c r="C27" s="10"/>
      <c r="D27" s="2">
        <f t="shared" ref="D27:D28" si="9">0</f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8" si="10">0</f>
        <v>0</v>
      </c>
      <c r="Q27" s="2"/>
      <c r="R27" s="19"/>
      <c r="S27" s="2"/>
      <c r="T27" s="2">
        <f>-227.7</f>
        <v>-227.7</v>
      </c>
      <c r="U27" s="2"/>
      <c r="V27" s="19"/>
      <c r="W27" s="2"/>
      <c r="X27" s="2">
        <f t="shared" si="2"/>
        <v>227.7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"4292", " - ", "SALES RETURN TAXABLE-GRAD MERC")</f>
        <v xml:space="preserve">          4292 - SALES RETURN TAXABLE-GRAD MERC</v>
      </c>
      <c r="C28" s="10"/>
      <c r="D28" s="2">
        <f t="shared" si="9"/>
        <v>0</v>
      </c>
      <c r="E28" s="2"/>
      <c r="F28" s="19"/>
      <c r="G28" s="2"/>
      <c r="H28" s="2">
        <f>-64.89</f>
        <v>-64.89</v>
      </c>
      <c r="I28" s="2"/>
      <c r="J28" s="19"/>
      <c r="K28" s="2"/>
      <c r="L28" s="2">
        <f t="shared" si="0"/>
        <v>64.89</v>
      </c>
      <c r="M28" s="2"/>
      <c r="N28" s="19">
        <f t="shared" si="1"/>
        <v>-1</v>
      </c>
      <c r="O28" s="10"/>
      <c r="P28" s="2">
        <f t="shared" si="10"/>
        <v>0</v>
      </c>
      <c r="Q28" s="2"/>
      <c r="R28" s="19"/>
      <c r="S28" s="2"/>
      <c r="T28" s="2">
        <f>-578.84</f>
        <v>-578.84</v>
      </c>
      <c r="U28" s="2"/>
      <c r="V28" s="19"/>
      <c r="W28" s="2"/>
      <c r="X28" s="2">
        <f t="shared" si="2"/>
        <v>578.84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"4341", " - ", "SALES RETURN NON TAXABLE-LOGO")</f>
        <v xml:space="preserve">          4341 - SALES RETURN NON TAXABLE-LOGO</v>
      </c>
      <c r="C29" s="10"/>
      <c r="D29" s="2">
        <f>-104.3</f>
        <v>-104.3</v>
      </c>
      <c r="E29" s="2"/>
      <c r="F29" s="19"/>
      <c r="G29" s="2"/>
      <c r="H29" s="2">
        <f t="shared" ref="H29:H32" si="11">0</f>
        <v>0</v>
      </c>
      <c r="I29" s="2"/>
      <c r="J29" s="19"/>
      <c r="K29" s="2"/>
      <c r="L29" s="2">
        <f t="shared" si="0"/>
        <v>-104.3</v>
      </c>
      <c r="M29" s="2"/>
      <c r="N29" s="19">
        <f t="shared" si="1"/>
        <v>0</v>
      </c>
      <c r="O29" s="10"/>
      <c r="P29" s="2">
        <f>-115.5</f>
        <v>-115.5</v>
      </c>
      <c r="Q29" s="2"/>
      <c r="R29" s="19"/>
      <c r="S29" s="2"/>
      <c r="T29" s="2">
        <f>0</f>
        <v>0</v>
      </c>
      <c r="U29" s="2"/>
      <c r="V29" s="19"/>
      <c r="W29" s="2"/>
      <c r="X29" s="2">
        <f t="shared" si="2"/>
        <v>-115.5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"4342", " - ", "SALES RETURN NON TAXABLE-EVERY")</f>
        <v xml:space="preserve">          4342 - SALES RETURN NON TAXABLE-EVERY</v>
      </c>
      <c r="C30" s="10"/>
      <c r="D30" s="2">
        <f t="shared" ref="D30:D32" si="12">0</f>
        <v>0</v>
      </c>
      <c r="E30" s="2"/>
      <c r="F30" s="19"/>
      <c r="G30" s="2"/>
      <c r="H30" s="2">
        <f t="shared" si="11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ref="P30:P32" si="13">0</f>
        <v>0</v>
      </c>
      <c r="Q30" s="2"/>
      <c r="R30" s="19"/>
      <c r="S30" s="2"/>
      <c r="T30" s="2">
        <f>-39.42</f>
        <v>-39.42</v>
      </c>
      <c r="U30" s="2"/>
      <c r="V30" s="19"/>
      <c r="W30" s="2"/>
      <c r="X30" s="2">
        <f t="shared" si="2"/>
        <v>39.42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"4346", " - ", "SALES RETURN NON TAXABLE-COIN-")</f>
        <v xml:space="preserve">          4346 - SALES RETURN NON TAXABLE-COIN-</v>
      </c>
      <c r="C31" s="10"/>
      <c r="D31" s="2">
        <f t="shared" si="12"/>
        <v>0</v>
      </c>
      <c r="E31" s="2"/>
      <c r="F31" s="19"/>
      <c r="G31" s="2"/>
      <c r="H31" s="2">
        <f t="shared" si="11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si="13"/>
        <v>0</v>
      </c>
      <c r="Q31" s="2"/>
      <c r="R31" s="19"/>
      <c r="S31" s="2"/>
      <c r="T31" s="2">
        <f>-8.15</f>
        <v>-8.15</v>
      </c>
      <c r="U31" s="2"/>
      <c r="V31" s="19"/>
      <c r="W31" s="2"/>
      <c r="X31" s="2">
        <f t="shared" si="2"/>
        <v>8.15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"4347", " - ", "SALES RETURN NON TAXABLE-MISC")</f>
        <v xml:space="preserve">          4347 - SALES RETURN NON TAXABLE-MISC</v>
      </c>
      <c r="C32" s="10"/>
      <c r="D32" s="2">
        <f t="shared" si="12"/>
        <v>0</v>
      </c>
      <c r="E32" s="2"/>
      <c r="F32" s="19"/>
      <c r="G32" s="2"/>
      <c r="H32" s="2">
        <f t="shared" si="11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13"/>
        <v>0</v>
      </c>
      <c r="Q32" s="2"/>
      <c r="R32" s="19"/>
      <c r="S32" s="2"/>
      <c r="T32" s="2">
        <f>-84</f>
        <v>-84</v>
      </c>
      <c r="U32" s="2"/>
      <c r="V32" s="19"/>
      <c r="W32" s="2"/>
      <c r="X32" s="2">
        <f t="shared" si="2"/>
        <v>84</v>
      </c>
      <c r="Y32" s="2"/>
      <c r="Z32" s="19">
        <f t="shared" si="3"/>
        <v>-1</v>
      </c>
    </row>
    <row r="33" spans="1:26" x14ac:dyDescent="0.25">
      <c r="A33" s="9"/>
      <c r="B33" s="11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collapsed="1" x14ac:dyDescent="0.25">
      <c r="A34" s="11"/>
      <c r="B34" s="29" t="s">
        <v>256</v>
      </c>
      <c r="C34" s="11"/>
      <c r="D34" s="4">
        <f>SUM(OSRRefD16x_0)</f>
        <v>0</v>
      </c>
      <c r="E34" s="4"/>
      <c r="F34" s="13">
        <f t="shared" ref="F34:F39" si="14">IF(D$12=0,0,D34/D$12)</f>
        <v>0</v>
      </c>
      <c r="G34" s="4"/>
      <c r="H34" s="4">
        <f>SUM(OSRRefH16x_0)</f>
        <v>5155.7199999999993</v>
      </c>
      <c r="I34" s="4"/>
      <c r="J34" s="13">
        <f t="shared" ref="J34:J39" si="15">IF(H$12=0,0,H34/H$12)</f>
        <v>0.31175085182867274</v>
      </c>
      <c r="K34" s="4"/>
      <c r="L34" s="4">
        <f t="shared" ref="L34:L39" si="16">+D34-H34</f>
        <v>-5155.7199999999993</v>
      </c>
      <c r="M34" s="4"/>
      <c r="N34" s="13">
        <f t="shared" ref="N34:N39" si="17">IF(H34=0,0,L34/H34)</f>
        <v>-1</v>
      </c>
      <c r="O34" s="11"/>
      <c r="P34" s="4">
        <f>SUM(OSRRefP16x_0)</f>
        <v>0</v>
      </c>
      <c r="Q34" s="4"/>
      <c r="R34" s="13">
        <f t="shared" ref="R34:R39" si="18">IF(P$12=0,0,P34/P$12)</f>
        <v>0</v>
      </c>
      <c r="S34" s="4"/>
      <c r="T34" s="4">
        <f>SUM(OSRRefT16x_0)</f>
        <v>14627.13</v>
      </c>
      <c r="U34" s="4"/>
      <c r="V34" s="13">
        <f t="shared" ref="V34:V39" si="19">IF(T$12=0,0,T34/T$12)</f>
        <v>2.8772504690464735E-2</v>
      </c>
      <c r="W34" s="4"/>
      <c r="X34" s="4">
        <f t="shared" ref="X34:X39" si="20">+P34-T34</f>
        <v>-14627.13</v>
      </c>
      <c r="Y34" s="4"/>
      <c r="Z34" s="13">
        <f t="shared" ref="Z34:Z39" si="21">IF(T34=0,0,X34/T34)</f>
        <v>-1</v>
      </c>
    </row>
    <row r="35" spans="1:26" s="23" customFormat="1" hidden="1" outlineLevel="1" x14ac:dyDescent="0.25">
      <c r="A35" s="44"/>
      <c r="B35" s="10" t="str">
        <f>CONCATENATE("          ", "5092", " - ", "PURCHASES @ COST-GRAD MERCH")</f>
        <v xml:space="preserve">          5092 - PURCHASES @ COST-GRAD MERCH</v>
      </c>
      <c r="C35" s="10"/>
      <c r="D35" s="2"/>
      <c r="E35" s="2"/>
      <c r="F35" s="19">
        <f t="shared" si="14"/>
        <v>0</v>
      </c>
      <c r="G35" s="2"/>
      <c r="H35" s="2">
        <v>-3999.6</v>
      </c>
      <c r="I35" s="2"/>
      <c r="J35" s="19">
        <f t="shared" si="15"/>
        <v>-0.2418437593534869</v>
      </c>
      <c r="K35" s="2"/>
      <c r="L35" s="2">
        <f t="shared" si="16"/>
        <v>3999.6</v>
      </c>
      <c r="M35" s="2"/>
      <c r="N35" s="19">
        <f t="shared" si="17"/>
        <v>-1</v>
      </c>
      <c r="O35" s="10"/>
      <c r="P35" s="2">
        <v>0</v>
      </c>
      <c r="Q35" s="2"/>
      <c r="R35" s="19">
        <f t="shared" si="18"/>
        <v>0</v>
      </c>
      <c r="S35" s="2"/>
      <c r="T35" s="2">
        <v>4546.2299999999996</v>
      </c>
      <c r="U35" s="2"/>
      <c r="V35" s="19">
        <f t="shared" si="19"/>
        <v>8.9427265635111941E-3</v>
      </c>
      <c r="W35" s="2"/>
      <c r="X35" s="2">
        <f t="shared" si="20"/>
        <v>-4546.2299999999996</v>
      </c>
      <c r="Y35" s="2"/>
      <c r="Z35" s="19">
        <f t="shared" si="21"/>
        <v>-1</v>
      </c>
    </row>
    <row r="36" spans="1:26" s="23" customFormat="1" hidden="1" outlineLevel="1" x14ac:dyDescent="0.25">
      <c r="A36" s="44"/>
      <c r="B36" s="10" t="str">
        <f>CONCATENATE("          ", "5095", " - ", "PURCHASES @ COST-CUSTOMER SERV")</f>
        <v xml:space="preserve">          5095 - PURCHASES @ COST-CUSTOMER SERV</v>
      </c>
      <c r="C36" s="10"/>
      <c r="D36" s="2"/>
      <c r="E36" s="2"/>
      <c r="F36" s="19">
        <f t="shared" si="14"/>
        <v>0</v>
      </c>
      <c r="G36" s="2"/>
      <c r="H36" s="2"/>
      <c r="I36" s="2"/>
      <c r="J36" s="19">
        <f t="shared" si="15"/>
        <v>0</v>
      </c>
      <c r="K36" s="2"/>
      <c r="L36" s="2">
        <f t="shared" si="16"/>
        <v>0</v>
      </c>
      <c r="M36" s="2"/>
      <c r="N36" s="19">
        <f t="shared" si="17"/>
        <v>0</v>
      </c>
      <c r="O36" s="10"/>
      <c r="P36" s="2"/>
      <c r="Q36" s="2"/>
      <c r="R36" s="19">
        <f t="shared" si="18"/>
        <v>0</v>
      </c>
      <c r="S36" s="2"/>
      <c r="T36" s="2">
        <v>11.85</v>
      </c>
      <c r="U36" s="2"/>
      <c r="V36" s="19">
        <f t="shared" si="19"/>
        <v>2.3309711514289344E-5</v>
      </c>
      <c r="W36" s="2"/>
      <c r="X36" s="2">
        <f t="shared" si="20"/>
        <v>-11.85</v>
      </c>
      <c r="Y36" s="2"/>
      <c r="Z36" s="19">
        <f t="shared" si="21"/>
        <v>-1</v>
      </c>
    </row>
    <row r="37" spans="1:26" s="23" customFormat="1" hidden="1" outlineLevel="1" x14ac:dyDescent="0.25">
      <c r="A37" s="44"/>
      <c r="B37" s="10" t="str">
        <f>CONCATENATE("          ", "5200", " - ", "PURCHASES OFFSET")</f>
        <v xml:space="preserve">          5200 - PURCHASES OFFSET</v>
      </c>
      <c r="C37" s="10"/>
      <c r="D37" s="2"/>
      <c r="E37" s="2"/>
      <c r="F37" s="19">
        <f t="shared" si="14"/>
        <v>0</v>
      </c>
      <c r="G37" s="2"/>
      <c r="H37" s="2">
        <v>3958</v>
      </c>
      <c r="I37" s="2"/>
      <c r="J37" s="19">
        <f t="shared" si="15"/>
        <v>0.23932833271354667</v>
      </c>
      <c r="K37" s="2"/>
      <c r="L37" s="2">
        <f t="shared" si="16"/>
        <v>-3958</v>
      </c>
      <c r="M37" s="2"/>
      <c r="N37" s="19">
        <f t="shared" si="17"/>
        <v>-1</v>
      </c>
      <c r="O37" s="10"/>
      <c r="P37" s="2"/>
      <c r="Q37" s="2"/>
      <c r="R37" s="19">
        <f t="shared" si="18"/>
        <v>0</v>
      </c>
      <c r="S37" s="2"/>
      <c r="T37" s="2">
        <v>-4719</v>
      </c>
      <c r="U37" s="2"/>
      <c r="V37" s="19">
        <f t="shared" si="19"/>
        <v>-9.2825762561967451E-3</v>
      </c>
      <c r="W37" s="2"/>
      <c r="X37" s="2">
        <f t="shared" si="20"/>
        <v>4719</v>
      </c>
      <c r="Y37" s="2"/>
      <c r="Z37" s="19">
        <f t="shared" si="21"/>
        <v>-1</v>
      </c>
    </row>
    <row r="38" spans="1:26" s="23" customFormat="1" hidden="1" outlineLevel="1" x14ac:dyDescent="0.25">
      <c r="A38" s="44"/>
      <c r="B38" s="10" t="str">
        <f>CONCATENATE("          ", "5300", " - ", "COG$ OFFSET")</f>
        <v xml:space="preserve">          5300 - COG$ OFFSET</v>
      </c>
      <c r="C38" s="10"/>
      <c r="D38" s="2"/>
      <c r="E38" s="2"/>
      <c r="F38" s="19">
        <f t="shared" si="14"/>
        <v>0</v>
      </c>
      <c r="G38" s="2"/>
      <c r="H38" s="2">
        <v>5156</v>
      </c>
      <c r="I38" s="2"/>
      <c r="J38" s="19">
        <f t="shared" si="15"/>
        <v>0.31176778258490312</v>
      </c>
      <c r="K38" s="2"/>
      <c r="L38" s="2">
        <f t="shared" si="16"/>
        <v>-5156</v>
      </c>
      <c r="M38" s="2"/>
      <c r="N38" s="19">
        <f t="shared" si="17"/>
        <v>-1</v>
      </c>
      <c r="O38" s="10"/>
      <c r="P38" s="2"/>
      <c r="Q38" s="2"/>
      <c r="R38" s="19">
        <f t="shared" si="18"/>
        <v>0</v>
      </c>
      <c r="S38" s="2"/>
      <c r="T38" s="2">
        <v>14628</v>
      </c>
      <c r="U38" s="2"/>
      <c r="V38" s="19">
        <f t="shared" si="19"/>
        <v>2.8774216036373378E-2</v>
      </c>
      <c r="W38" s="2"/>
      <c r="X38" s="2">
        <f t="shared" si="20"/>
        <v>-14628</v>
      </c>
      <c r="Y38" s="2"/>
      <c r="Z38" s="19">
        <f t="shared" si="21"/>
        <v>-1</v>
      </c>
    </row>
    <row r="39" spans="1:26" s="23" customFormat="1" hidden="1" outlineLevel="1" x14ac:dyDescent="0.25">
      <c r="A39" s="44"/>
      <c r="B39" s="10" t="str">
        <f>CONCATENATE("          ", "5592", " - ", "FREIGHT-IN-GRAD MERCH")</f>
        <v xml:space="preserve">          5592 - FREIGHT-IN-GRAD MERCH</v>
      </c>
      <c r="C39" s="10"/>
      <c r="D39" s="2"/>
      <c r="E39" s="2"/>
      <c r="F39" s="19">
        <f t="shared" si="14"/>
        <v>0</v>
      </c>
      <c r="G39" s="2"/>
      <c r="H39" s="2">
        <v>41.32</v>
      </c>
      <c r="I39" s="2"/>
      <c r="J39" s="19">
        <f t="shared" si="15"/>
        <v>2.4984958837098907E-3</v>
      </c>
      <c r="K39" s="2"/>
      <c r="L39" s="2">
        <f t="shared" si="16"/>
        <v>-41.32</v>
      </c>
      <c r="M39" s="2"/>
      <c r="N39" s="19">
        <f t="shared" si="17"/>
        <v>-1</v>
      </c>
      <c r="O39" s="10"/>
      <c r="P39" s="2">
        <v>0</v>
      </c>
      <c r="Q39" s="2"/>
      <c r="R39" s="19">
        <f t="shared" si="18"/>
        <v>0</v>
      </c>
      <c r="S39" s="2"/>
      <c r="T39" s="2">
        <v>160.05000000000001</v>
      </c>
      <c r="U39" s="2"/>
      <c r="V39" s="19">
        <f t="shared" si="19"/>
        <v>3.1482863526261689E-4</v>
      </c>
      <c r="W39" s="2"/>
      <c r="X39" s="2">
        <f t="shared" si="20"/>
        <v>-160.05000000000001</v>
      </c>
      <c r="Y39" s="2"/>
      <c r="Z39" s="19">
        <f t="shared" si="21"/>
        <v>-1</v>
      </c>
    </row>
    <row r="40" spans="1:26" x14ac:dyDescent="0.25">
      <c r="A40" s="9"/>
      <c r="B40" s="11"/>
      <c r="C40" s="11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1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4" customFormat="1" x14ac:dyDescent="0.25">
      <c r="A41" s="11"/>
      <c r="B41" s="28" t="s">
        <v>107</v>
      </c>
      <c r="C41" s="28"/>
      <c r="D41" s="20">
        <f>D12-D34</f>
        <v>12946.13</v>
      </c>
      <c r="E41" s="14"/>
      <c r="F41" s="21">
        <f>IF(D$12=0,0,D41/D$12)</f>
        <v>1</v>
      </c>
      <c r="G41" s="14"/>
      <c r="H41" s="20">
        <f>H12-H34</f>
        <v>11382.230000000005</v>
      </c>
      <c r="I41" s="14"/>
      <c r="J41" s="21">
        <f>IF(H$12=0,0,H41/H$12)</f>
        <v>0.68824914817132732</v>
      </c>
      <c r="K41" s="15"/>
      <c r="L41" s="20">
        <f>+D41-H41</f>
        <v>1563.8999999999942</v>
      </c>
      <c r="M41" s="15"/>
      <c r="N41" s="21">
        <f>IF(H41=0,0,L41/H41)</f>
        <v>0.13739838326935877</v>
      </c>
      <c r="O41" s="29"/>
      <c r="P41" s="20">
        <f>P12-P34</f>
        <v>127643.60999999999</v>
      </c>
      <c r="Q41" s="14"/>
      <c r="R41" s="21">
        <f>IF(P$12=0,0,P41/P$12)</f>
        <v>1</v>
      </c>
      <c r="S41" s="14"/>
      <c r="T41" s="20">
        <f>T12-T34</f>
        <v>493744.67</v>
      </c>
      <c r="U41" s="14"/>
      <c r="V41" s="21">
        <f>IF(T$12=0,0,T41/T$12)</f>
        <v>0.97122749530953523</v>
      </c>
      <c r="W41" s="15"/>
      <c r="X41" s="20">
        <f>+P41-T41</f>
        <v>-366101.06</v>
      </c>
      <c r="Y41" s="15"/>
      <c r="Z41" s="21">
        <f>IF(T41=0,0,X41/T41)</f>
        <v>-0.74147850547936045</v>
      </c>
    </row>
    <row r="42" spans="1:26" x14ac:dyDescent="0.25">
      <c r="A42" s="9"/>
      <c r="B42" s="11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x14ac:dyDescent="0.25">
      <c r="A43" s="11"/>
      <c r="B43" s="29" t="s">
        <v>294</v>
      </c>
      <c r="C43" s="11"/>
      <c r="D43" s="22">
        <f>SUM(OSRRefD22x_0)</f>
        <v>13000.159999999991</v>
      </c>
      <c r="E43" s="22"/>
      <c r="F43" s="32">
        <f t="shared" ref="F43:F52" si="22">IF(D$12=0,0,D43/D$12)</f>
        <v>1.0041734479724822</v>
      </c>
      <c r="G43" s="22"/>
      <c r="H43" s="22">
        <f>SUM(OSRRefH22x_0)</f>
        <v>23027.79</v>
      </c>
      <c r="I43" s="22"/>
      <c r="J43" s="32">
        <f t="shared" ref="J43:J52" si="23">IF(H$12=0,0,H43/H$12)</f>
        <v>1.3924210679074489</v>
      </c>
      <c r="K43" s="4"/>
      <c r="L43" s="22">
        <f t="shared" ref="L43:L52" si="24">+D43-H43</f>
        <v>-10027.63000000001</v>
      </c>
      <c r="M43" s="4"/>
      <c r="N43" s="32">
        <f t="shared" ref="N43:N52" si="25">IF(H43=0,0,L43/H43)</f>
        <v>-0.43545776646391204</v>
      </c>
      <c r="O43" s="11"/>
      <c r="P43" s="22">
        <f>SUM(OSRRefP22x_0)</f>
        <v>285559.93</v>
      </c>
      <c r="Q43" s="22"/>
      <c r="R43" s="32">
        <f t="shared" ref="R43:R52" si="26">IF(P$12=0,0,P43/P$12)</f>
        <v>2.2371658871133464</v>
      </c>
      <c r="S43" s="22"/>
      <c r="T43" s="22">
        <f>SUM(OSRRefT22x_0)</f>
        <v>478092.63000000012</v>
      </c>
      <c r="U43" s="22"/>
      <c r="V43" s="32">
        <f t="shared" ref="V43:V52" si="27">IF(T$12=0,0,T43/T$12)</f>
        <v>0.94043892678547503</v>
      </c>
      <c r="W43" s="4"/>
      <c r="X43" s="22">
        <f t="shared" ref="X43:X52" si="28">+P43-T43</f>
        <v>-192532.70000000013</v>
      </c>
      <c r="Y43" s="4"/>
      <c r="Z43" s="32">
        <f t="shared" ref="Z43:Z52" si="29">IF(T43=0,0,X43/T43)</f>
        <v>-0.40271003550086115</v>
      </c>
    </row>
    <row r="44" spans="1:26" s="26" customFormat="1" outlineLevel="1" collapsed="1" x14ac:dyDescent="0.25">
      <c r="A44" s="25"/>
      <c r="B44" s="12" t="str">
        <f>CONCATENATE("     ","*Benefits                                         ")</f>
        <v xml:space="preserve">     *Benefits                                         </v>
      </c>
      <c r="C44" s="12"/>
      <c r="D44" s="1">
        <f>SUM(OSRRefD22_0x_0)</f>
        <v>9093.39</v>
      </c>
      <c r="E44" s="1"/>
      <c r="F44" s="5">
        <f t="shared" si="22"/>
        <v>0.70240218505452978</v>
      </c>
      <c r="G44" s="1"/>
      <c r="H44" s="1">
        <f>SUM(OSRRefH22_0x_0)</f>
        <v>6736.43</v>
      </c>
      <c r="I44" s="1"/>
      <c r="J44" s="5">
        <f t="shared" si="23"/>
        <v>0.40733162211761426</v>
      </c>
      <c r="K44" s="1"/>
      <c r="L44" s="1">
        <f t="shared" si="24"/>
        <v>2356.9599999999991</v>
      </c>
      <c r="M44" s="1"/>
      <c r="N44" s="5">
        <f t="shared" si="25"/>
        <v>0.34988265297791249</v>
      </c>
      <c r="O44" s="12"/>
      <c r="P44" s="1">
        <f>SUM(OSRRefP22_0x_0)</f>
        <v>103991.72000000002</v>
      </c>
      <c r="Q44" s="1"/>
      <c r="R44" s="5">
        <f t="shared" si="26"/>
        <v>0.81470368943654936</v>
      </c>
      <c r="S44" s="1"/>
      <c r="T44" s="1">
        <f>SUM(OSRRefT22_0x_0)</f>
        <v>89841.48000000001</v>
      </c>
      <c r="U44" s="1"/>
      <c r="V44" s="5">
        <f t="shared" si="27"/>
        <v>0.17672396462588996</v>
      </c>
      <c r="W44" s="1"/>
      <c r="X44" s="1">
        <f t="shared" si="28"/>
        <v>14150.240000000005</v>
      </c>
      <c r="Y44" s="1"/>
      <c r="Z44" s="5">
        <f t="shared" si="29"/>
        <v>0.15750230294514297</v>
      </c>
    </row>
    <row r="45" spans="1:26" s="23" customFormat="1" hidden="1" outlineLevel="2" x14ac:dyDescent="0.25">
      <c r="A45" s="27"/>
      <c r="B45" s="10" t="str">
        <f>CONCATENATE("          ", "6111", " - ", "F.I.C.A.")</f>
        <v xml:space="preserve">          6111 - F.I.C.A.</v>
      </c>
      <c r="C45" s="10"/>
      <c r="D45" s="6">
        <v>1240.76</v>
      </c>
      <c r="E45" s="2"/>
      <c r="F45" s="7">
        <f t="shared" si="22"/>
        <v>9.584022406696055E-2</v>
      </c>
      <c r="G45" s="2"/>
      <c r="H45" s="6">
        <v>870.7</v>
      </c>
      <c r="I45" s="2"/>
      <c r="J45" s="7">
        <f t="shared" si="23"/>
        <v>5.2648605177788049E-2</v>
      </c>
      <c r="K45" s="2"/>
      <c r="L45" s="6">
        <f t="shared" si="24"/>
        <v>370.05999999999995</v>
      </c>
      <c r="M45" s="2"/>
      <c r="N45" s="7">
        <f t="shared" si="25"/>
        <v>0.425014356265074</v>
      </c>
      <c r="O45" s="10"/>
      <c r="P45" s="6">
        <v>14531.78</v>
      </c>
      <c r="Q45" s="2"/>
      <c r="R45" s="7">
        <f t="shared" si="26"/>
        <v>0.11384651374244274</v>
      </c>
      <c r="S45" s="2"/>
      <c r="T45" s="6">
        <v>14023.03</v>
      </c>
      <c r="U45" s="2"/>
      <c r="V45" s="7">
        <f t="shared" si="27"/>
        <v>2.7584201169301683E-2</v>
      </c>
      <c r="W45" s="2"/>
      <c r="X45" s="6">
        <f t="shared" si="28"/>
        <v>508.75</v>
      </c>
      <c r="Y45" s="2"/>
      <c r="Z45" s="7">
        <f t="shared" si="29"/>
        <v>3.6279605762805894E-2</v>
      </c>
    </row>
    <row r="46" spans="1:26" s="23" customFormat="1" hidden="1" outlineLevel="2" x14ac:dyDescent="0.25">
      <c r="A46" s="27"/>
      <c r="B46" s="10" t="str">
        <f>CONCATENATE("          ", "6112", " - ", "COMPENSATION INSURANCE")</f>
        <v xml:space="preserve">          6112 - COMPENSATION INSURANCE</v>
      </c>
      <c r="C46" s="10"/>
      <c r="D46" s="6">
        <v>475.52</v>
      </c>
      <c r="E46" s="2"/>
      <c r="F46" s="7">
        <f t="shared" si="22"/>
        <v>3.6730667774848548E-2</v>
      </c>
      <c r="G46" s="2"/>
      <c r="H46" s="6">
        <v>324.37</v>
      </c>
      <c r="I46" s="2"/>
      <c r="J46" s="7">
        <f t="shared" si="23"/>
        <v>1.9613676423014939E-2</v>
      </c>
      <c r="K46" s="2"/>
      <c r="L46" s="6">
        <f t="shared" si="24"/>
        <v>151.14999999999998</v>
      </c>
      <c r="M46" s="2"/>
      <c r="N46" s="7">
        <f t="shared" si="25"/>
        <v>0.46598020778740318</v>
      </c>
      <c r="O46" s="10"/>
      <c r="P46" s="6">
        <v>3812.67</v>
      </c>
      <c r="Q46" s="2"/>
      <c r="R46" s="7">
        <f t="shared" si="26"/>
        <v>2.9869650349124414E-2</v>
      </c>
      <c r="S46" s="2"/>
      <c r="T46" s="6">
        <v>2440.85</v>
      </c>
      <c r="U46" s="2"/>
      <c r="V46" s="7">
        <f t="shared" si="27"/>
        <v>4.8013088058779024E-3</v>
      </c>
      <c r="W46" s="2"/>
      <c r="X46" s="6">
        <f t="shared" si="28"/>
        <v>1371.8200000000002</v>
      </c>
      <c r="Y46" s="2"/>
      <c r="Z46" s="7">
        <f t="shared" si="29"/>
        <v>0.56202552389536442</v>
      </c>
    </row>
    <row r="47" spans="1:26" s="23" customFormat="1" hidden="1" outlineLevel="2" x14ac:dyDescent="0.25">
      <c r="A47" s="27"/>
      <c r="B47" s="10" t="str">
        <f>CONCATENATE("          ", "6113", " - ", "GROUP INSURANCE")</f>
        <v xml:space="preserve">          6113 - GROUP INSURANCE</v>
      </c>
      <c r="C47" s="10"/>
      <c r="D47" s="6">
        <v>3421.48</v>
      </c>
      <c r="E47" s="2"/>
      <c r="F47" s="7">
        <f t="shared" si="22"/>
        <v>0.26428592946309054</v>
      </c>
      <c r="G47" s="2"/>
      <c r="H47" s="6">
        <v>2724.48</v>
      </c>
      <c r="I47" s="2"/>
      <c r="J47" s="7">
        <f t="shared" si="23"/>
        <v>0.16474109548039506</v>
      </c>
      <c r="K47" s="2"/>
      <c r="L47" s="6">
        <f t="shared" si="24"/>
        <v>697</v>
      </c>
      <c r="M47" s="2"/>
      <c r="N47" s="7">
        <f t="shared" si="25"/>
        <v>0.25582863518910032</v>
      </c>
      <c r="O47" s="10"/>
      <c r="P47" s="6">
        <v>39478.730000000003</v>
      </c>
      <c r="Q47" s="2"/>
      <c r="R47" s="7">
        <f t="shared" si="26"/>
        <v>0.30928872976876798</v>
      </c>
      <c r="S47" s="2"/>
      <c r="T47" s="6">
        <v>32791.75</v>
      </c>
      <c r="U47" s="2"/>
      <c r="V47" s="7">
        <f t="shared" si="27"/>
        <v>6.4503479539974484E-2</v>
      </c>
      <c r="W47" s="2"/>
      <c r="X47" s="6">
        <f t="shared" si="28"/>
        <v>6686.9800000000032</v>
      </c>
      <c r="Y47" s="2"/>
      <c r="Z47" s="7">
        <f t="shared" si="29"/>
        <v>0.2039226329793318</v>
      </c>
    </row>
    <row r="48" spans="1:26" s="23" customFormat="1" hidden="1" outlineLevel="2" x14ac:dyDescent="0.25">
      <c r="A48" s="27"/>
      <c r="B48" s="10" t="str">
        <f>CONCATENATE("          ", "6114", " - ", "STATE UNEMPLOYMENT INSURANCE")</f>
        <v xml:space="preserve">          6114 - STATE UNEMPLOYMENT INSURANCE</v>
      </c>
      <c r="C48" s="10"/>
      <c r="D48" s="6">
        <v>66.83</v>
      </c>
      <c r="E48" s="2"/>
      <c r="F48" s="7">
        <f t="shared" si="22"/>
        <v>5.1621604294101791E-3</v>
      </c>
      <c r="G48" s="2"/>
      <c r="H48" s="6">
        <v>44.39</v>
      </c>
      <c r="I48" s="2"/>
      <c r="J48" s="7">
        <f t="shared" si="23"/>
        <v>2.6841295323785591E-3</v>
      </c>
      <c r="K48" s="2"/>
      <c r="L48" s="6">
        <f t="shared" si="24"/>
        <v>22.439999999999998</v>
      </c>
      <c r="M48" s="2"/>
      <c r="N48" s="7">
        <f t="shared" si="25"/>
        <v>0.50551926109484113</v>
      </c>
      <c r="O48" s="10"/>
      <c r="P48" s="6">
        <v>535.82000000000005</v>
      </c>
      <c r="Q48" s="2"/>
      <c r="R48" s="7">
        <f t="shared" si="26"/>
        <v>4.1977816202471872E-3</v>
      </c>
      <c r="S48" s="2"/>
      <c r="T48" s="6">
        <v>528.47</v>
      </c>
      <c r="U48" s="2"/>
      <c r="V48" s="7">
        <f t="shared" si="27"/>
        <v>1.0395344509667925E-3</v>
      </c>
      <c r="W48" s="2"/>
      <c r="X48" s="6">
        <f t="shared" si="28"/>
        <v>7.3500000000000227</v>
      </c>
      <c r="Y48" s="2"/>
      <c r="Z48" s="7">
        <f t="shared" si="29"/>
        <v>1.3908074252086254E-2</v>
      </c>
    </row>
    <row r="49" spans="1:26" s="23" customFormat="1" hidden="1" outlineLevel="2" x14ac:dyDescent="0.25">
      <c r="A49" s="27"/>
      <c r="B49" s="10" t="str">
        <f>CONCATENATE("          ", "6115", " - ", "P.E.R.S.")</f>
        <v xml:space="preserve">          6115 - P.E.R.S.</v>
      </c>
      <c r="C49" s="10"/>
      <c r="D49" s="6">
        <v>1614.41</v>
      </c>
      <c r="E49" s="2"/>
      <c r="F49" s="7">
        <f t="shared" si="22"/>
        <v>0.1247021310615605</v>
      </c>
      <c r="G49" s="2"/>
      <c r="H49" s="6">
        <v>1166.77</v>
      </c>
      <c r="I49" s="2"/>
      <c r="J49" s="7">
        <f t="shared" si="23"/>
        <v>7.0551065881805167E-2</v>
      </c>
      <c r="K49" s="2"/>
      <c r="L49" s="6">
        <f t="shared" si="24"/>
        <v>447.6400000000001</v>
      </c>
      <c r="M49" s="2"/>
      <c r="N49" s="7">
        <f t="shared" si="25"/>
        <v>0.383657447483223</v>
      </c>
      <c r="O49" s="10"/>
      <c r="P49" s="6">
        <v>18925.89</v>
      </c>
      <c r="Q49" s="2"/>
      <c r="R49" s="7">
        <f t="shared" si="26"/>
        <v>0.14827134707330827</v>
      </c>
      <c r="S49" s="2"/>
      <c r="T49" s="6">
        <v>14386.65</v>
      </c>
      <c r="U49" s="2"/>
      <c r="V49" s="7">
        <f t="shared" si="27"/>
        <v>2.8299465076544371E-2</v>
      </c>
      <c r="W49" s="2"/>
      <c r="X49" s="6">
        <f t="shared" si="28"/>
        <v>4539.24</v>
      </c>
      <c r="Y49" s="2"/>
      <c r="Z49" s="7">
        <f t="shared" si="29"/>
        <v>0.31551751102584685</v>
      </c>
    </row>
    <row r="50" spans="1:26" s="23" customFormat="1" hidden="1" outlineLevel="2" x14ac:dyDescent="0.25">
      <c r="A50" s="27"/>
      <c r="B50" s="10" t="str">
        <f>CONCATENATE("          ", "6118", " - ", "VACATION")</f>
        <v xml:space="preserve">          6118 - VACATION</v>
      </c>
      <c r="C50" s="10"/>
      <c r="D50" s="6">
        <v>1095.78</v>
      </c>
      <c r="E50" s="2"/>
      <c r="F50" s="7">
        <f t="shared" si="22"/>
        <v>8.4641510629045125E-2</v>
      </c>
      <c r="G50" s="2"/>
      <c r="H50" s="6">
        <v>1039.18</v>
      </c>
      <c r="I50" s="2"/>
      <c r="J50" s="7">
        <f t="shared" si="23"/>
        <v>6.2836083069546092E-2</v>
      </c>
      <c r="K50" s="2"/>
      <c r="L50" s="6">
        <f t="shared" si="24"/>
        <v>56.599999999999909</v>
      </c>
      <c r="M50" s="2"/>
      <c r="N50" s="7">
        <f t="shared" si="25"/>
        <v>5.4466021286013883E-2</v>
      </c>
      <c r="O50" s="10"/>
      <c r="P50" s="6">
        <v>14235.66</v>
      </c>
      <c r="Q50" s="2"/>
      <c r="R50" s="7">
        <f t="shared" si="26"/>
        <v>0.11152661696108408</v>
      </c>
      <c r="S50" s="2"/>
      <c r="T50" s="6">
        <v>14492.92</v>
      </c>
      <c r="U50" s="2"/>
      <c r="V50" s="7">
        <f t="shared" si="27"/>
        <v>2.8508504995753109E-2</v>
      </c>
      <c r="W50" s="2"/>
      <c r="X50" s="6">
        <f t="shared" si="28"/>
        <v>-257.26000000000022</v>
      </c>
      <c r="Y50" s="2"/>
      <c r="Z50" s="7">
        <f t="shared" si="29"/>
        <v>-1.7750736221548193E-2</v>
      </c>
    </row>
    <row r="51" spans="1:26" s="23" customFormat="1" hidden="1" outlineLevel="2" x14ac:dyDescent="0.25">
      <c r="A51" s="27"/>
      <c r="B51" s="10" t="str">
        <f>CONCATENATE("          ", "6119", " - ", "SICK LEAVE")</f>
        <v xml:space="preserve">          6119 - SICK LEAVE</v>
      </c>
      <c r="C51" s="10"/>
      <c r="D51" s="6">
        <v>738.5</v>
      </c>
      <c r="E51" s="2"/>
      <c r="F51" s="7">
        <f t="shared" si="22"/>
        <v>5.7044074175062361E-2</v>
      </c>
      <c r="G51" s="2"/>
      <c r="H51" s="6">
        <v>526.54</v>
      </c>
      <c r="I51" s="2"/>
      <c r="J51" s="7">
        <f t="shared" si="23"/>
        <v>3.1838287091205369E-2</v>
      </c>
      <c r="K51" s="2"/>
      <c r="L51" s="6">
        <f t="shared" si="24"/>
        <v>211.96000000000004</v>
      </c>
      <c r="M51" s="2"/>
      <c r="N51" s="7">
        <f t="shared" si="25"/>
        <v>0.40255251262961989</v>
      </c>
      <c r="O51" s="10"/>
      <c r="P51" s="6">
        <v>8756.02</v>
      </c>
      <c r="Q51" s="2"/>
      <c r="R51" s="7">
        <f t="shared" si="26"/>
        <v>6.8597401781413117E-2</v>
      </c>
      <c r="S51" s="2"/>
      <c r="T51" s="6">
        <v>8695.2999999999993</v>
      </c>
      <c r="U51" s="2"/>
      <c r="V51" s="7">
        <f t="shared" si="27"/>
        <v>1.7104213884405074E-2</v>
      </c>
      <c r="W51" s="2"/>
      <c r="X51" s="6">
        <f t="shared" si="28"/>
        <v>60.720000000001164</v>
      </c>
      <c r="Y51" s="2"/>
      <c r="Z51" s="7">
        <f t="shared" si="29"/>
        <v>6.9830828148541363E-3</v>
      </c>
    </row>
    <row r="52" spans="1:26" s="23" customFormat="1" hidden="1" outlineLevel="2" x14ac:dyDescent="0.25">
      <c r="A52" s="27"/>
      <c r="B52" s="10" t="str">
        <f>CONCATENATE("          ", "6156", " - ", "EMPLOYEE MEALS")</f>
        <v xml:space="preserve">          6156 - EMPLOYEE MEALS</v>
      </c>
      <c r="C52" s="10"/>
      <c r="D52" s="6">
        <v>440.11</v>
      </c>
      <c r="E52" s="2"/>
      <c r="F52" s="7">
        <f t="shared" si="22"/>
        <v>3.3995487454552061E-2</v>
      </c>
      <c r="G52" s="2"/>
      <c r="H52" s="6">
        <v>40</v>
      </c>
      <c r="I52" s="2"/>
      <c r="J52" s="7">
        <f t="shared" si="23"/>
        <v>2.4186794614810174E-3</v>
      </c>
      <c r="K52" s="2"/>
      <c r="L52" s="6">
        <f t="shared" si="24"/>
        <v>400.11</v>
      </c>
      <c r="M52" s="2"/>
      <c r="N52" s="7">
        <f t="shared" si="25"/>
        <v>10.002750000000001</v>
      </c>
      <c r="O52" s="10"/>
      <c r="P52" s="6">
        <v>3715.15</v>
      </c>
      <c r="Q52" s="2"/>
      <c r="R52" s="7">
        <f t="shared" si="26"/>
        <v>2.9105648140161505E-2</v>
      </c>
      <c r="S52" s="2"/>
      <c r="T52" s="6">
        <v>2482.5100000000002</v>
      </c>
      <c r="U52" s="2"/>
      <c r="V52" s="7">
        <f t="shared" si="27"/>
        <v>4.8832567030665354E-3</v>
      </c>
      <c r="W52" s="2"/>
      <c r="X52" s="6">
        <f t="shared" si="28"/>
        <v>1232.6399999999999</v>
      </c>
      <c r="Y52" s="2"/>
      <c r="Z52" s="7">
        <f t="shared" si="29"/>
        <v>0.49652972193465478</v>
      </c>
    </row>
    <row r="53" spans="1:26" s="26" customFormat="1" outlineLevel="1" collapsed="1" x14ac:dyDescent="0.25">
      <c r="A53" s="25"/>
      <c r="B53" s="12" t="str">
        <f>CONCATENATE("     ","*Payroll                                          ")</f>
        <v xml:space="preserve">     *Payroll                                          </v>
      </c>
      <c r="C53" s="12"/>
      <c r="D53" s="1">
        <f>SUM(OSRRefD22_1x_0)</f>
        <v>15332.29</v>
      </c>
      <c r="E53" s="1"/>
      <c r="F53" s="5">
        <f t="shared" ref="F53:F58" si="30">IF(D$12=0,0,D53/D$12)</f>
        <v>1.184314540329813</v>
      </c>
      <c r="G53" s="1"/>
      <c r="H53" s="1">
        <f>SUM(OSRRefH22_1x_0)</f>
        <v>8890.02</v>
      </c>
      <c r="I53" s="1"/>
      <c r="J53" s="5">
        <f t="shared" ref="J53:J58" si="31">IF(H$12=0,0,H53/H$12)</f>
        <v>0.53755271965388685</v>
      </c>
      <c r="K53" s="1"/>
      <c r="L53" s="1">
        <f t="shared" ref="L53:L58" si="32">+D53-H53</f>
        <v>6442.27</v>
      </c>
      <c r="M53" s="1"/>
      <c r="N53" s="5">
        <f t="shared" ref="N53:N58" si="33">IF(H53=0,0,L53/H53)</f>
        <v>0.72466316161268485</v>
      </c>
      <c r="O53" s="12"/>
      <c r="P53" s="1">
        <f>SUM(OSRRefP22_1x_0)</f>
        <v>170185.91999999998</v>
      </c>
      <c r="Q53" s="1"/>
      <c r="R53" s="5">
        <f t="shared" ref="R53:R58" si="34">IF(P$12=0,0,P53/P$12)</f>
        <v>1.3332897745527568</v>
      </c>
      <c r="S53" s="1"/>
      <c r="T53" s="1">
        <f>SUM(OSRRefT22_1x_0)</f>
        <v>178878.8</v>
      </c>
      <c r="U53" s="1"/>
      <c r="V53" s="5">
        <f t="shared" ref="V53:V58" si="35">IF(T$12=0,0,T53/T$12)</f>
        <v>0.35186609485419923</v>
      </c>
      <c r="W53" s="1"/>
      <c r="X53" s="1">
        <f t="shared" ref="X53:X58" si="36">+P53-T53</f>
        <v>-8692.8800000000047</v>
      </c>
      <c r="Y53" s="1"/>
      <c r="Z53" s="5">
        <f t="shared" ref="Z53:Z58" si="37">IF(T53=0,0,X53/T53)</f>
        <v>-4.859647985116182E-2</v>
      </c>
    </row>
    <row r="54" spans="1:26" s="23" customFormat="1" hidden="1" outlineLevel="2" x14ac:dyDescent="0.25">
      <c r="A54" s="27"/>
      <c r="B54" s="10" t="str">
        <f>CONCATENATE("          ", "6002", " - ", "STAFF SALARIES")</f>
        <v xml:space="preserve">          6002 - STAFF SALARIES</v>
      </c>
      <c r="C54" s="10"/>
      <c r="D54" s="6">
        <v>14617.17</v>
      </c>
      <c r="E54" s="2"/>
      <c r="F54" s="7">
        <f t="shared" si="30"/>
        <v>1.1290764112518568</v>
      </c>
      <c r="G54" s="2"/>
      <c r="H54" s="6">
        <v>8890.02</v>
      </c>
      <c r="I54" s="2"/>
      <c r="J54" s="7">
        <f t="shared" si="31"/>
        <v>0.53755271965388685</v>
      </c>
      <c r="K54" s="2"/>
      <c r="L54" s="6">
        <f t="shared" si="32"/>
        <v>5727.15</v>
      </c>
      <c r="M54" s="2"/>
      <c r="N54" s="7">
        <f t="shared" si="33"/>
        <v>0.64422239769989265</v>
      </c>
      <c r="O54" s="10"/>
      <c r="P54" s="6">
        <v>162474.29999999999</v>
      </c>
      <c r="Q54" s="2"/>
      <c r="R54" s="7">
        <f t="shared" si="34"/>
        <v>1.2728745293242647</v>
      </c>
      <c r="S54" s="2"/>
      <c r="T54" s="6">
        <v>122217.64</v>
      </c>
      <c r="U54" s="2"/>
      <c r="V54" s="7">
        <f t="shared" si="35"/>
        <v>0.24040995192888354</v>
      </c>
      <c r="W54" s="2"/>
      <c r="X54" s="6">
        <f t="shared" si="36"/>
        <v>40256.659999999989</v>
      </c>
      <c r="Y54" s="2"/>
      <c r="Z54" s="7">
        <f t="shared" si="37"/>
        <v>0.329385021671176</v>
      </c>
    </row>
    <row r="55" spans="1:26" s="23" customFormat="1" hidden="1" outlineLevel="2" x14ac:dyDescent="0.25">
      <c r="A55" s="27"/>
      <c r="B55" s="10" t="str">
        <f>CONCATENATE("          ", "6004", " - ", "STAFF HOURLY")</f>
        <v xml:space="preserve">          6004 - STAFF HOURLY</v>
      </c>
      <c r="C55" s="10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/>
      <c r="Q55" s="2"/>
      <c r="R55" s="7">
        <f t="shared" si="34"/>
        <v>0</v>
      </c>
      <c r="S55" s="2"/>
      <c r="T55" s="6">
        <v>491.67</v>
      </c>
      <c r="U55" s="2"/>
      <c r="V55" s="7">
        <f t="shared" si="35"/>
        <v>9.6714648609541294E-4</v>
      </c>
      <c r="W55" s="2"/>
      <c r="X55" s="6">
        <f t="shared" si="36"/>
        <v>-491.67</v>
      </c>
      <c r="Y55" s="2"/>
      <c r="Z55" s="7">
        <f t="shared" si="37"/>
        <v>-1</v>
      </c>
    </row>
    <row r="56" spans="1:26" s="23" customFormat="1" hidden="1" outlineLevel="2" x14ac:dyDescent="0.25">
      <c r="A56" s="27"/>
      <c r="B56" s="10" t="str">
        <f>CONCATENATE("          ", "6005", " - ", "TEMPORARY WAGES-HOURLY")</f>
        <v xml:space="preserve">          6005 - TEMPORARY WAGES-HOURLY</v>
      </c>
      <c r="C56" s="10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>
        <v>383.25</v>
      </c>
      <c r="Q56" s="2"/>
      <c r="R56" s="7">
        <f t="shared" si="34"/>
        <v>3.0025004776972389E-3</v>
      </c>
      <c r="S56" s="2"/>
      <c r="T56" s="6">
        <v>18251.97</v>
      </c>
      <c r="U56" s="2"/>
      <c r="V56" s="7">
        <f t="shared" si="35"/>
        <v>3.5902797912866137E-2</v>
      </c>
      <c r="W56" s="2"/>
      <c r="X56" s="6">
        <f t="shared" si="36"/>
        <v>-17868.72</v>
      </c>
      <c r="Y56" s="2"/>
      <c r="Z56" s="7">
        <f t="shared" si="37"/>
        <v>-0.97900226660464595</v>
      </c>
    </row>
    <row r="57" spans="1:26" s="23" customFormat="1" hidden="1" outlineLevel="2" x14ac:dyDescent="0.25">
      <c r="A57" s="27"/>
      <c r="B57" s="10" t="str">
        <f>CONCATENATE("          ", "6006", " - ", "TEMPORARY PART TIME")</f>
        <v xml:space="preserve">          6006 - TEMPORARY PART TIME</v>
      </c>
      <c r="C57" s="10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0"/>
      <c r="P57" s="6"/>
      <c r="Q57" s="2"/>
      <c r="R57" s="7">
        <f t="shared" si="34"/>
        <v>0</v>
      </c>
      <c r="S57" s="2"/>
      <c r="T57" s="6">
        <v>2571.56</v>
      </c>
      <c r="U57" s="2"/>
      <c r="V57" s="7">
        <f t="shared" si="35"/>
        <v>5.0584237756696971E-3</v>
      </c>
      <c r="W57" s="2"/>
      <c r="X57" s="6">
        <f t="shared" si="36"/>
        <v>-2571.56</v>
      </c>
      <c r="Y57" s="2"/>
      <c r="Z57" s="7">
        <f t="shared" si="37"/>
        <v>-1</v>
      </c>
    </row>
    <row r="58" spans="1:26" s="23" customFormat="1" hidden="1" outlineLevel="2" x14ac:dyDescent="0.25">
      <c r="A58" s="27"/>
      <c r="B58" s="10" t="str">
        <f>CONCATENATE("          ", "6007", " - ", "STUDENT HOURLY")</f>
        <v xml:space="preserve">          6007 - STUDENT HOURLY</v>
      </c>
      <c r="C58" s="10"/>
      <c r="D58" s="6">
        <v>715.12</v>
      </c>
      <c r="E58" s="2"/>
      <c r="F58" s="7">
        <f t="shared" si="30"/>
        <v>5.5238129077956118E-2</v>
      </c>
      <c r="G58" s="2"/>
      <c r="H58" s="6"/>
      <c r="I58" s="2"/>
      <c r="J58" s="7">
        <f t="shared" si="31"/>
        <v>0</v>
      </c>
      <c r="K58" s="2"/>
      <c r="L58" s="6">
        <f t="shared" si="32"/>
        <v>715.12</v>
      </c>
      <c r="M58" s="2"/>
      <c r="N58" s="7">
        <f t="shared" si="33"/>
        <v>0</v>
      </c>
      <c r="O58" s="10"/>
      <c r="P58" s="6">
        <v>7328.37</v>
      </c>
      <c r="Q58" s="2"/>
      <c r="R58" s="7">
        <f t="shared" si="34"/>
        <v>5.7412744750794817E-2</v>
      </c>
      <c r="S58" s="2"/>
      <c r="T58" s="6">
        <v>35345.96</v>
      </c>
      <c r="U58" s="2"/>
      <c r="V58" s="7">
        <f t="shared" si="35"/>
        <v>6.9527774750684446E-2</v>
      </c>
      <c r="W58" s="2"/>
      <c r="X58" s="6">
        <f t="shared" si="36"/>
        <v>-28017.59</v>
      </c>
      <c r="Y58" s="2"/>
      <c r="Z58" s="7">
        <f t="shared" si="37"/>
        <v>-0.79266739395393426</v>
      </c>
    </row>
    <row r="59" spans="1:26" s="26" customFormat="1" outlineLevel="1" collapsed="1" x14ac:dyDescent="0.25">
      <c r="A59" s="25"/>
      <c r="B59" s="12" t="str">
        <f>CONCATENATE("     ","Advertising/Promo                                 ")</f>
        <v xml:space="preserve">     Advertising/Promo                                 </v>
      </c>
      <c r="C59" s="12"/>
      <c r="D59" s="1">
        <f>SUM(OSRRefD22_2x_0)</f>
        <v>0</v>
      </c>
      <c r="E59" s="1"/>
      <c r="F59" s="5">
        <f t="shared" ref="F59:F69" si="38">IF(D$12=0,0,D59/D$12)</f>
        <v>0</v>
      </c>
      <c r="G59" s="1"/>
      <c r="H59" s="1">
        <f>SUM(OSRRefH22_2x_0)</f>
        <v>0</v>
      </c>
      <c r="I59" s="1"/>
      <c r="J59" s="5">
        <f t="shared" ref="J59:J69" si="39">IF(H$12=0,0,H59/H$12)</f>
        <v>0</v>
      </c>
      <c r="K59" s="1"/>
      <c r="L59" s="1">
        <f t="shared" ref="L59:L69" si="40">+D59-H59</f>
        <v>0</v>
      </c>
      <c r="M59" s="1"/>
      <c r="N59" s="5">
        <f t="shared" ref="N59:N69" si="41">IF(H59=0,0,L59/H59)</f>
        <v>0</v>
      </c>
      <c r="O59" s="12"/>
      <c r="P59" s="1">
        <f>SUM(OSRRefP22_2x_0)</f>
        <v>0</v>
      </c>
      <c r="Q59" s="1"/>
      <c r="R59" s="5">
        <f t="shared" ref="R59:R69" si="42">IF(P$12=0,0,P59/P$12)</f>
        <v>0</v>
      </c>
      <c r="S59" s="1"/>
      <c r="T59" s="1">
        <f>SUM(OSRRefT22_2x_0)</f>
        <v>1915.77</v>
      </c>
      <c r="U59" s="1"/>
      <c r="V59" s="5">
        <f t="shared" ref="V59:V69" si="43">IF(T$12=0,0,T59/T$12)</f>
        <v>3.7684427027620338E-3</v>
      </c>
      <c r="W59" s="1"/>
      <c r="X59" s="1">
        <f t="shared" ref="X59:X69" si="44">+P59-T59</f>
        <v>-1915.77</v>
      </c>
      <c r="Y59" s="1"/>
      <c r="Z59" s="5">
        <f t="shared" ref="Z59:Z69" si="45">IF(T59=0,0,X59/T59)</f>
        <v>-1</v>
      </c>
    </row>
    <row r="60" spans="1:26" s="23" customFormat="1" hidden="1" outlineLevel="2" x14ac:dyDescent="0.25">
      <c r="A60" s="27"/>
      <c r="B60" s="10" t="str">
        <f>CONCATENATE("          ", "6362", " - ", "ADVERTISING EXPENSE")</f>
        <v xml:space="preserve">          6362 - ADVERTISING EXPENSE</v>
      </c>
      <c r="C60" s="10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0"/>
      <c r="P60" s="6"/>
      <c r="Q60" s="2"/>
      <c r="R60" s="7">
        <f t="shared" si="42"/>
        <v>0</v>
      </c>
      <c r="S60" s="2"/>
      <c r="T60" s="6">
        <v>1915.77</v>
      </c>
      <c r="U60" s="2"/>
      <c r="V60" s="7">
        <f t="shared" si="43"/>
        <v>3.7684427027620338E-3</v>
      </c>
      <c r="W60" s="2"/>
      <c r="X60" s="6">
        <f t="shared" si="44"/>
        <v>-1915.77</v>
      </c>
      <c r="Y60" s="2"/>
      <c r="Z60" s="7">
        <f t="shared" si="45"/>
        <v>-1</v>
      </c>
    </row>
    <row r="61" spans="1:26" s="26" customFormat="1" outlineLevel="1" collapsed="1" x14ac:dyDescent="0.25">
      <c r="A61" s="25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SUM(OSRRefD22_3x_0)</f>
        <v>169.88</v>
      </c>
      <c r="E61" s="1"/>
      <c r="F61" s="5">
        <f t="shared" si="38"/>
        <v>1.3122068139281778E-2</v>
      </c>
      <c r="G61" s="1"/>
      <c r="H61" s="1">
        <f>SUM(OSRRefH22_3x_0)</f>
        <v>169.88</v>
      </c>
      <c r="I61" s="1"/>
      <c r="J61" s="5">
        <f t="shared" si="39"/>
        <v>1.0272131672909879E-2</v>
      </c>
      <c r="K61" s="1"/>
      <c r="L61" s="1">
        <f t="shared" si="40"/>
        <v>0</v>
      </c>
      <c r="M61" s="1"/>
      <c r="N61" s="5">
        <f t="shared" si="41"/>
        <v>0</v>
      </c>
      <c r="O61" s="12"/>
      <c r="P61" s="1">
        <f>SUM(OSRRefP22_3x_0)</f>
        <v>1868.68</v>
      </c>
      <c r="Q61" s="1"/>
      <c r="R61" s="5">
        <f t="shared" si="42"/>
        <v>1.463982411653823E-2</v>
      </c>
      <c r="S61" s="1"/>
      <c r="T61" s="1">
        <f>SUM(OSRRefT22_3x_0)</f>
        <v>1019.28</v>
      </c>
      <c r="U61" s="1"/>
      <c r="V61" s="5">
        <f t="shared" si="43"/>
        <v>2.0049892617961893E-3</v>
      </c>
      <c r="W61" s="1"/>
      <c r="X61" s="1">
        <f t="shared" si="44"/>
        <v>849.40000000000009</v>
      </c>
      <c r="Y61" s="1"/>
      <c r="Z61" s="5">
        <f t="shared" si="45"/>
        <v>0.83333333333333348</v>
      </c>
    </row>
    <row r="62" spans="1:26" s="23" customFormat="1" hidden="1" outlineLevel="2" x14ac:dyDescent="0.25">
      <c r="A62" s="27"/>
      <c r="B62" s="10" t="str">
        <f>CONCATENATE("          ", "6322", " - ", "EQUIPMENT DEPRECIATION EXPENSE")</f>
        <v xml:space="preserve">          6322 - EQUIPMENT DEPRECIATION EXPENSE</v>
      </c>
      <c r="C62" s="10"/>
      <c r="D62" s="6">
        <v>169.88</v>
      </c>
      <c r="E62" s="2"/>
      <c r="F62" s="7">
        <f t="shared" si="38"/>
        <v>1.3122068139281778E-2</v>
      </c>
      <c r="G62" s="2"/>
      <c r="H62" s="6">
        <v>169.88</v>
      </c>
      <c r="I62" s="2"/>
      <c r="J62" s="7">
        <f t="shared" si="39"/>
        <v>1.0272131672909879E-2</v>
      </c>
      <c r="K62" s="2"/>
      <c r="L62" s="6">
        <f t="shared" si="40"/>
        <v>0</v>
      </c>
      <c r="M62" s="2"/>
      <c r="N62" s="7">
        <f t="shared" si="41"/>
        <v>0</v>
      </c>
      <c r="O62" s="10"/>
      <c r="P62" s="6">
        <v>1868.68</v>
      </c>
      <c r="Q62" s="2"/>
      <c r="R62" s="7">
        <f t="shared" si="42"/>
        <v>1.463982411653823E-2</v>
      </c>
      <c r="S62" s="2"/>
      <c r="T62" s="6">
        <v>1019.28</v>
      </c>
      <c r="U62" s="2"/>
      <c r="V62" s="7">
        <f t="shared" si="43"/>
        <v>2.0049892617961893E-3</v>
      </c>
      <c r="W62" s="2"/>
      <c r="X62" s="6">
        <f t="shared" si="44"/>
        <v>849.40000000000009</v>
      </c>
      <c r="Y62" s="2"/>
      <c r="Z62" s="7">
        <f t="shared" si="45"/>
        <v>0.83333333333333348</v>
      </c>
    </row>
    <row r="63" spans="1:26" s="26" customFormat="1" outlineLevel="1" collapsed="1" x14ac:dyDescent="0.25">
      <c r="A63" s="25"/>
      <c r="B63" s="12" t="str">
        <f>CONCATENATE("     ","Discounts and Markdowns                           ")</f>
        <v xml:space="preserve">     Discounts and Markdowns                           </v>
      </c>
      <c r="C63" s="12"/>
      <c r="D63" s="1">
        <f>SUM(OSRRefD22_4x_0)</f>
        <v>0</v>
      </c>
      <c r="E63" s="1"/>
      <c r="F63" s="5">
        <f t="shared" si="38"/>
        <v>0</v>
      </c>
      <c r="G63" s="1"/>
      <c r="H63" s="1">
        <f>SUM(OSRRefH22_4x_0)</f>
        <v>0</v>
      </c>
      <c r="I63" s="1"/>
      <c r="J63" s="5">
        <f t="shared" si="39"/>
        <v>0</v>
      </c>
      <c r="K63" s="1"/>
      <c r="L63" s="1">
        <f t="shared" si="40"/>
        <v>0</v>
      </c>
      <c r="M63" s="1"/>
      <c r="N63" s="5">
        <f t="shared" si="41"/>
        <v>0</v>
      </c>
      <c r="O63" s="12"/>
      <c r="P63" s="1">
        <f>SUM(OSRRefP22_4x_0)</f>
        <v>0</v>
      </c>
      <c r="Q63" s="1"/>
      <c r="R63" s="5">
        <f t="shared" si="42"/>
        <v>0</v>
      </c>
      <c r="S63" s="1"/>
      <c r="T63" s="1">
        <f>SUM(OSRRefT22_4x_0)</f>
        <v>1281.19</v>
      </c>
      <c r="U63" s="1"/>
      <c r="V63" s="5">
        <f t="shared" si="43"/>
        <v>2.5201830628685542E-3</v>
      </c>
      <c r="W63" s="1"/>
      <c r="X63" s="1">
        <f t="shared" si="44"/>
        <v>-1281.19</v>
      </c>
      <c r="Y63" s="1"/>
      <c r="Z63" s="5">
        <f t="shared" si="45"/>
        <v>-1</v>
      </c>
    </row>
    <row r="64" spans="1:26" s="23" customFormat="1" hidden="1" outlineLevel="2" x14ac:dyDescent="0.25">
      <c r="A64" s="27"/>
      <c r="B64" s="10" t="str">
        <f>CONCATENATE("          ", "6382", " - ", "DISCOUNTS/MARK DOWNS")</f>
        <v xml:space="preserve">          6382 - DISCOUNTS/MARK DOWNS</v>
      </c>
      <c r="C64" s="10"/>
      <c r="D64" s="6">
        <v>0</v>
      </c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>
        <v>0</v>
      </c>
      <c r="Q64" s="2"/>
      <c r="R64" s="7">
        <f t="shared" si="42"/>
        <v>0</v>
      </c>
      <c r="S64" s="2"/>
      <c r="T64" s="6">
        <v>1281.19</v>
      </c>
      <c r="U64" s="2"/>
      <c r="V64" s="7">
        <f t="shared" si="43"/>
        <v>2.5201830628685542E-3</v>
      </c>
      <c r="W64" s="2"/>
      <c r="X64" s="6">
        <f t="shared" si="44"/>
        <v>-1281.19</v>
      </c>
      <c r="Y64" s="2"/>
      <c r="Z64" s="7">
        <f t="shared" si="45"/>
        <v>-1</v>
      </c>
    </row>
    <row r="65" spans="1:26" s="26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SUM(OSRRefD22_5x_0)</f>
        <v>1205.6400000000001</v>
      </c>
      <c r="E65" s="1"/>
      <c r="F65" s="5">
        <f t="shared" si="38"/>
        <v>9.3127444263266329E-2</v>
      </c>
      <c r="G65" s="1"/>
      <c r="H65" s="1">
        <f>SUM(OSRRefH22_5x_0)</f>
        <v>1205.6400000000001</v>
      </c>
      <c r="I65" s="1"/>
      <c r="J65" s="5">
        <f t="shared" si="39"/>
        <v>7.2901417648499348E-2</v>
      </c>
      <c r="K65" s="1"/>
      <c r="L65" s="1">
        <f t="shared" si="40"/>
        <v>0</v>
      </c>
      <c r="M65" s="1"/>
      <c r="N65" s="5">
        <f t="shared" si="41"/>
        <v>0</v>
      </c>
      <c r="O65" s="12"/>
      <c r="P65" s="1">
        <f>SUM(OSRRefP22_5x_0)</f>
        <v>13262.04</v>
      </c>
      <c r="Q65" s="1"/>
      <c r="R65" s="5">
        <f t="shared" si="42"/>
        <v>0.1038989730860793</v>
      </c>
      <c r="S65" s="1"/>
      <c r="T65" s="1">
        <f>SUM(OSRRefT22_5x_0)</f>
        <v>16081.71</v>
      </c>
      <c r="U65" s="1"/>
      <c r="V65" s="5">
        <f t="shared" si="43"/>
        <v>3.1633757025861776E-2</v>
      </c>
      <c r="W65" s="1"/>
      <c r="X65" s="1">
        <f t="shared" si="44"/>
        <v>-2819.6699999999983</v>
      </c>
      <c r="Y65" s="1"/>
      <c r="Z65" s="5">
        <f t="shared" si="45"/>
        <v>-0.1753339663505932</v>
      </c>
    </row>
    <row r="66" spans="1:26" s="23" customFormat="1" hidden="1" outlineLevel="2" x14ac:dyDescent="0.25">
      <c r="A66" s="27"/>
      <c r="B66" s="10" t="str">
        <f>CONCATENATE("          ", "6351", " - ", "EQUIPMENT RENTAL")</f>
        <v xml:space="preserve">          6351 - EQUIPMENT RENTAL</v>
      </c>
      <c r="C66" s="10"/>
      <c r="D66" s="6">
        <v>1205.6400000000001</v>
      </c>
      <c r="E66" s="2"/>
      <c r="F66" s="7">
        <f t="shared" si="38"/>
        <v>9.3127444263266329E-2</v>
      </c>
      <c r="G66" s="2"/>
      <c r="H66" s="6">
        <v>1205.6400000000001</v>
      </c>
      <c r="I66" s="2"/>
      <c r="J66" s="7">
        <f t="shared" si="39"/>
        <v>7.2901417648499348E-2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>
        <v>13262.04</v>
      </c>
      <c r="Q66" s="2"/>
      <c r="R66" s="7">
        <f t="shared" si="42"/>
        <v>0.1038989730860793</v>
      </c>
      <c r="S66" s="2"/>
      <c r="T66" s="6">
        <v>16081.71</v>
      </c>
      <c r="U66" s="2"/>
      <c r="V66" s="7">
        <f t="shared" si="43"/>
        <v>3.1633757025861776E-2</v>
      </c>
      <c r="W66" s="2"/>
      <c r="X66" s="6">
        <f t="shared" si="44"/>
        <v>-2819.6699999999983</v>
      </c>
      <c r="Y66" s="2"/>
      <c r="Z66" s="7">
        <f t="shared" si="45"/>
        <v>-0.1753339663505932</v>
      </c>
    </row>
    <row r="67" spans="1:26" s="26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SUM(OSRRefD22_6x_0)</f>
        <v>-23795.970000000005</v>
      </c>
      <c r="E67" s="1"/>
      <c r="F67" s="5">
        <f t="shared" si="38"/>
        <v>-1.8380759346615556</v>
      </c>
      <c r="G67" s="1"/>
      <c r="H67" s="1">
        <f>SUM(OSRRefH22_6x_0)</f>
        <v>4988.5300000000007</v>
      </c>
      <c r="I67" s="1"/>
      <c r="J67" s="5">
        <f t="shared" si="39"/>
        <v>0.30164137634954752</v>
      </c>
      <c r="K67" s="1"/>
      <c r="L67" s="1">
        <f t="shared" si="40"/>
        <v>-28784.500000000007</v>
      </c>
      <c r="M67" s="1"/>
      <c r="N67" s="5">
        <f t="shared" si="41"/>
        <v>-5.7701366935750622</v>
      </c>
      <c r="O67" s="12"/>
      <c r="P67" s="1">
        <f>SUM(OSRRefP22_6x_0)</f>
        <v>-96469.670000000013</v>
      </c>
      <c r="Q67" s="1"/>
      <c r="R67" s="5">
        <f t="shared" si="42"/>
        <v>-0.75577359493358132</v>
      </c>
      <c r="S67" s="1"/>
      <c r="T67" s="1">
        <f>SUM(OSRRefT22_6x_0)</f>
        <v>-12260.989999999998</v>
      </c>
      <c r="U67" s="1"/>
      <c r="V67" s="5">
        <f t="shared" si="43"/>
        <v>-2.4118155255661307E-2</v>
      </c>
      <c r="W67" s="1"/>
      <c r="X67" s="1">
        <f t="shared" si="44"/>
        <v>-84208.680000000022</v>
      </c>
      <c r="Y67" s="1"/>
      <c r="Z67" s="5">
        <f t="shared" si="45"/>
        <v>6.8680163673569616</v>
      </c>
    </row>
    <row r="68" spans="1:26" s="23" customFormat="1" hidden="1" outlineLevel="2" x14ac:dyDescent="0.25">
      <c r="A68" s="27"/>
      <c r="B68" s="10" t="str">
        <f>CONCATENATE("          ", "6305", " - ", "FREIGHT OUT")</f>
        <v xml:space="preserve">          6305 - FREIGHT OUT</v>
      </c>
      <c r="C68" s="10"/>
      <c r="D68" s="6">
        <v>19778.009999999998</v>
      </c>
      <c r="E68" s="2"/>
      <c r="F68" s="7">
        <f t="shared" si="38"/>
        <v>1.5277160047056533</v>
      </c>
      <c r="G68" s="2"/>
      <c r="H68" s="6">
        <v>6492.31</v>
      </c>
      <c r="I68" s="2"/>
      <c r="J68" s="7">
        <f t="shared" si="39"/>
        <v>0.39257042136419562</v>
      </c>
      <c r="K68" s="2"/>
      <c r="L68" s="6">
        <f t="shared" si="40"/>
        <v>13285.699999999997</v>
      </c>
      <c r="M68" s="2"/>
      <c r="N68" s="7">
        <f t="shared" si="41"/>
        <v>2.0463748650326306</v>
      </c>
      <c r="O68" s="10"/>
      <c r="P68" s="6">
        <v>197787.91</v>
      </c>
      <c r="Q68" s="2"/>
      <c r="R68" s="7">
        <f t="shared" si="42"/>
        <v>1.5495324051082544</v>
      </c>
      <c r="S68" s="2"/>
      <c r="T68" s="6">
        <v>45919.03</v>
      </c>
      <c r="U68" s="2"/>
      <c r="V68" s="7">
        <f t="shared" si="43"/>
        <v>9.0325682895864803E-2</v>
      </c>
      <c r="W68" s="2"/>
      <c r="X68" s="6">
        <f t="shared" si="44"/>
        <v>151868.88</v>
      </c>
      <c r="Y68" s="2"/>
      <c r="Z68" s="7">
        <f t="shared" si="45"/>
        <v>3.307318991712151</v>
      </c>
    </row>
    <row r="69" spans="1:26" s="23" customFormat="1" hidden="1" outlineLevel="2" x14ac:dyDescent="0.25">
      <c r="A69" s="27"/>
      <c r="B69" s="10" t="str">
        <f>CONCATENATE("          ", "6307", " - ", "POSTAGE")</f>
        <v xml:space="preserve">          6307 - POSTAGE</v>
      </c>
      <c r="C69" s="10"/>
      <c r="D69" s="6">
        <v>-43573.98</v>
      </c>
      <c r="E69" s="2"/>
      <c r="F69" s="7">
        <f t="shared" si="38"/>
        <v>-3.3657919393672091</v>
      </c>
      <c r="G69" s="2"/>
      <c r="H69" s="6">
        <v>-1503.78</v>
      </c>
      <c r="I69" s="2"/>
      <c r="J69" s="7">
        <f t="shared" si="39"/>
        <v>-9.0929045014648102E-2</v>
      </c>
      <c r="K69" s="2"/>
      <c r="L69" s="6">
        <f t="shared" si="40"/>
        <v>-42070.200000000004</v>
      </c>
      <c r="M69" s="2"/>
      <c r="N69" s="7">
        <f t="shared" si="41"/>
        <v>27.976299724693774</v>
      </c>
      <c r="O69" s="10"/>
      <c r="P69" s="6">
        <v>-294257.58</v>
      </c>
      <c r="Q69" s="2"/>
      <c r="R69" s="7">
        <f t="shared" si="42"/>
        <v>-2.3053060000418357</v>
      </c>
      <c r="S69" s="2"/>
      <c r="T69" s="6">
        <v>-58180.02</v>
      </c>
      <c r="U69" s="2"/>
      <c r="V69" s="7">
        <f t="shared" si="43"/>
        <v>-0.1144438381515261</v>
      </c>
      <c r="W69" s="2"/>
      <c r="X69" s="6">
        <f t="shared" si="44"/>
        <v>-236077.56000000003</v>
      </c>
      <c r="Y69" s="2"/>
      <c r="Z69" s="7">
        <f t="shared" si="45"/>
        <v>4.0577084710524343</v>
      </c>
    </row>
    <row r="70" spans="1:26" s="26" customFormat="1" outlineLevel="1" collapsed="1" x14ac:dyDescent="0.25">
      <c r="A70" s="25"/>
      <c r="B70" s="12" t="str">
        <f>CONCATENATE("     ","General                                           ")</f>
        <v xml:space="preserve">     General                                           </v>
      </c>
      <c r="C70" s="12"/>
      <c r="D70" s="1">
        <f>SUM(OSRRefD22_7x_0)</f>
        <v>0</v>
      </c>
      <c r="E70" s="1"/>
      <c r="F70" s="5">
        <f t="shared" ref="F70:F77" si="46">IF(D$12=0,0,D70/D$12)</f>
        <v>0</v>
      </c>
      <c r="G70" s="1"/>
      <c r="H70" s="1">
        <f>SUM(OSRRefH22_7x_0)</f>
        <v>0</v>
      </c>
      <c r="I70" s="1"/>
      <c r="J70" s="5">
        <f t="shared" ref="J70:J77" si="47">IF(H$12=0,0,H70/H$12)</f>
        <v>0</v>
      </c>
      <c r="K70" s="1"/>
      <c r="L70" s="1">
        <f t="shared" ref="L70:L77" si="48">+D70-H70</f>
        <v>0</v>
      </c>
      <c r="M70" s="1"/>
      <c r="N70" s="5">
        <f t="shared" ref="N70:N77" si="49">IF(H70=0,0,L70/H70)</f>
        <v>0</v>
      </c>
      <c r="O70" s="12"/>
      <c r="P70" s="1">
        <f>SUM(OSRRefP22_7x_0)</f>
        <v>0</v>
      </c>
      <c r="Q70" s="1"/>
      <c r="R70" s="5">
        <f t="shared" ref="R70:R77" si="50">IF(P$12=0,0,P70/P$12)</f>
        <v>0</v>
      </c>
      <c r="S70" s="1"/>
      <c r="T70" s="1">
        <f>SUM(OSRRefT22_7x_0)</f>
        <v>155.16999999999999</v>
      </c>
      <c r="U70" s="1"/>
      <c r="V70" s="5">
        <f t="shared" ref="V70:V77" si="51">IF(T$12=0,0,T70/T$12)</f>
        <v>3.052293616601078E-4</v>
      </c>
      <c r="W70" s="1"/>
      <c r="X70" s="1">
        <f t="shared" ref="X70:X77" si="52">+P70-T70</f>
        <v>-155.16999999999999</v>
      </c>
      <c r="Y70" s="1"/>
      <c r="Z70" s="5">
        <f t="shared" ref="Z70:Z77" si="53">IF(T70=0,0,X70/T70)</f>
        <v>-1</v>
      </c>
    </row>
    <row r="71" spans="1:26" s="23" customFormat="1" hidden="1" outlineLevel="2" x14ac:dyDescent="0.25">
      <c r="A71" s="27"/>
      <c r="B71" s="10" t="str">
        <f>CONCATENATE("          ", "6279", " - ", "GENERAL EXPENSE")</f>
        <v xml:space="preserve">          6279 - GENERAL EXPENSE</v>
      </c>
      <c r="C71" s="10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0"/>
      <c r="P71" s="6"/>
      <c r="Q71" s="2"/>
      <c r="R71" s="7">
        <f t="shared" si="50"/>
        <v>0</v>
      </c>
      <c r="S71" s="2"/>
      <c r="T71" s="6">
        <v>155.16999999999999</v>
      </c>
      <c r="U71" s="2"/>
      <c r="V71" s="7">
        <f t="shared" si="51"/>
        <v>3.052293616601078E-4</v>
      </c>
      <c r="W71" s="2"/>
      <c r="X71" s="6">
        <f t="shared" si="52"/>
        <v>-155.16999999999999</v>
      </c>
      <c r="Y71" s="2"/>
      <c r="Z71" s="7">
        <f t="shared" si="53"/>
        <v>-1</v>
      </c>
    </row>
    <row r="72" spans="1:26" s="26" customFormat="1" outlineLevel="1" collapsed="1" x14ac:dyDescent="0.25">
      <c r="A72" s="25"/>
      <c r="B72" s="12" t="str">
        <f>CONCATENATE("     ","Inventory Adjustment                              ")</f>
        <v xml:space="preserve">     Inventory Adjustment                              </v>
      </c>
      <c r="C72" s="12"/>
      <c r="D72" s="1">
        <f>SUM(OSRRefD22_8x_0)</f>
        <v>0</v>
      </c>
      <c r="E72" s="1"/>
      <c r="F72" s="5">
        <f t="shared" si="46"/>
        <v>0</v>
      </c>
      <c r="G72" s="1"/>
      <c r="H72" s="1">
        <f>SUM(OSRRefH22_8x_0)</f>
        <v>100</v>
      </c>
      <c r="I72" s="1"/>
      <c r="J72" s="5">
        <f t="shared" si="47"/>
        <v>6.0466986537025431E-3</v>
      </c>
      <c r="K72" s="1"/>
      <c r="L72" s="1">
        <f t="shared" si="48"/>
        <v>-100</v>
      </c>
      <c r="M72" s="1"/>
      <c r="N72" s="5">
        <f t="shared" si="49"/>
        <v>-1</v>
      </c>
      <c r="O72" s="12"/>
      <c r="P72" s="1">
        <f>SUM(OSRRefP22_8x_0)</f>
        <v>0</v>
      </c>
      <c r="Q72" s="1"/>
      <c r="R72" s="5">
        <f t="shared" si="50"/>
        <v>0</v>
      </c>
      <c r="S72" s="1"/>
      <c r="T72" s="1">
        <f>SUM(OSRRefT22_8x_0)</f>
        <v>1000</v>
      </c>
      <c r="U72" s="1"/>
      <c r="V72" s="5">
        <f t="shared" si="51"/>
        <v>1.9670642628092276E-3</v>
      </c>
      <c r="W72" s="1"/>
      <c r="X72" s="1">
        <f t="shared" si="52"/>
        <v>-1000</v>
      </c>
      <c r="Y72" s="1"/>
      <c r="Z72" s="5">
        <f t="shared" si="53"/>
        <v>-1</v>
      </c>
    </row>
    <row r="73" spans="1:26" s="23" customFormat="1" hidden="1" outlineLevel="2" x14ac:dyDescent="0.25">
      <c r="A73" s="27"/>
      <c r="B73" s="10" t="str">
        <f>CONCATENATE("          ", "6408", " - ", "INVENTORY ADJUSTMENT")</f>
        <v xml:space="preserve">          6408 - INVENTORY ADJUSTMENT</v>
      </c>
      <c r="C73" s="10"/>
      <c r="D73" s="6"/>
      <c r="E73" s="2"/>
      <c r="F73" s="7">
        <f t="shared" si="46"/>
        <v>0</v>
      </c>
      <c r="G73" s="2"/>
      <c r="H73" s="6">
        <v>100</v>
      </c>
      <c r="I73" s="2"/>
      <c r="J73" s="7">
        <f t="shared" si="47"/>
        <v>6.0466986537025431E-3</v>
      </c>
      <c r="K73" s="2"/>
      <c r="L73" s="6">
        <f t="shared" si="48"/>
        <v>-100</v>
      </c>
      <c r="M73" s="2"/>
      <c r="N73" s="7">
        <f t="shared" si="49"/>
        <v>-1</v>
      </c>
      <c r="O73" s="10"/>
      <c r="P73" s="6"/>
      <c r="Q73" s="2"/>
      <c r="R73" s="7">
        <f t="shared" si="50"/>
        <v>0</v>
      </c>
      <c r="S73" s="2"/>
      <c r="T73" s="6">
        <v>1000</v>
      </c>
      <c r="U73" s="2"/>
      <c r="V73" s="7">
        <f t="shared" si="51"/>
        <v>1.9670642628092276E-3</v>
      </c>
      <c r="W73" s="2"/>
      <c r="X73" s="6">
        <f t="shared" si="52"/>
        <v>-1000</v>
      </c>
      <c r="Y73" s="2"/>
      <c r="Z73" s="7">
        <f t="shared" si="53"/>
        <v>-1</v>
      </c>
    </row>
    <row r="74" spans="1:26" s="26" customFormat="1" outlineLevel="1" collapsed="1" x14ac:dyDescent="0.25">
      <c r="A74" s="25"/>
      <c r="B74" s="12" t="str">
        <f>CONCATENATE("     ","Repair and Maintenance                            ")</f>
        <v xml:space="preserve">     Repair and Maintenance                            </v>
      </c>
      <c r="C74" s="12"/>
      <c r="D74" s="1">
        <f>SUM(OSRRefD22_9x_0)</f>
        <v>3783.1099999999997</v>
      </c>
      <c r="E74" s="1"/>
      <c r="F74" s="5">
        <f t="shared" si="46"/>
        <v>0.29221937366610717</v>
      </c>
      <c r="G74" s="1"/>
      <c r="H74" s="1">
        <f>SUM(OSRRefH22_9x_0)</f>
        <v>353.37</v>
      </c>
      <c r="I74" s="1"/>
      <c r="J74" s="5">
        <f t="shared" si="47"/>
        <v>2.1367219032588678E-2</v>
      </c>
      <c r="K74" s="1"/>
      <c r="L74" s="1">
        <f t="shared" si="48"/>
        <v>3429.74</v>
      </c>
      <c r="M74" s="1"/>
      <c r="N74" s="5">
        <f t="shared" si="49"/>
        <v>9.7058041146673446</v>
      </c>
      <c r="O74" s="12"/>
      <c r="P74" s="1">
        <f>SUM(OSRRefP22_9x_0)</f>
        <v>34876.81</v>
      </c>
      <c r="Q74" s="1"/>
      <c r="R74" s="5">
        <f t="shared" si="50"/>
        <v>0.27323584784228527</v>
      </c>
      <c r="S74" s="1"/>
      <c r="T74" s="1">
        <f>SUM(OSRRefT22_9x_0)</f>
        <v>66267.679999999993</v>
      </c>
      <c r="U74" s="1"/>
      <c r="V74" s="5">
        <f t="shared" si="51"/>
        <v>0.13035278510727777</v>
      </c>
      <c r="W74" s="1"/>
      <c r="X74" s="1">
        <f t="shared" si="52"/>
        <v>-31390.869999999995</v>
      </c>
      <c r="Y74" s="1"/>
      <c r="Z74" s="5">
        <f t="shared" si="53"/>
        <v>-0.4736980380179297</v>
      </c>
    </row>
    <row r="75" spans="1:26" s="23" customFormat="1" hidden="1" outlineLevel="2" x14ac:dyDescent="0.25">
      <c r="A75" s="27"/>
      <c r="B75" s="10" t="str">
        <f>CONCATENATE("          ", "6371", " - ", "COMPUTER SOFTWARE MAINTENANCE")</f>
        <v xml:space="preserve">          6371 - COMPUTER SOFTWARE MAINTENANCE</v>
      </c>
      <c r="C75" s="10"/>
      <c r="D75" s="6"/>
      <c r="E75" s="2"/>
      <c r="F75" s="7">
        <f t="shared" si="46"/>
        <v>0</v>
      </c>
      <c r="G75" s="2"/>
      <c r="H75" s="6"/>
      <c r="I75" s="2"/>
      <c r="J75" s="7">
        <f t="shared" si="47"/>
        <v>0</v>
      </c>
      <c r="K75" s="2"/>
      <c r="L75" s="6">
        <f t="shared" si="48"/>
        <v>0</v>
      </c>
      <c r="M75" s="2"/>
      <c r="N75" s="7">
        <f t="shared" si="49"/>
        <v>0</v>
      </c>
      <c r="O75" s="10"/>
      <c r="P75" s="6">
        <v>7.69</v>
      </c>
      <c r="Q75" s="2"/>
      <c r="R75" s="7">
        <f t="shared" si="50"/>
        <v>6.0245867380278581E-5</v>
      </c>
      <c r="S75" s="2"/>
      <c r="T75" s="6"/>
      <c r="U75" s="2"/>
      <c r="V75" s="7">
        <f t="shared" si="51"/>
        <v>0</v>
      </c>
      <c r="W75" s="2"/>
      <c r="X75" s="6">
        <f t="shared" si="52"/>
        <v>7.69</v>
      </c>
      <c r="Y75" s="2"/>
      <c r="Z75" s="7">
        <f t="shared" si="53"/>
        <v>0</v>
      </c>
    </row>
    <row r="76" spans="1:26" s="23" customFormat="1" hidden="1" outlineLevel="2" x14ac:dyDescent="0.25">
      <c r="A76" s="27"/>
      <c r="B76" s="10" t="str">
        <f>CONCATENATE("          ", "6373", " - ", "MAINTENANCE CONTRACTS")</f>
        <v xml:space="preserve">          6373 - MAINTENANCE CONTRACTS</v>
      </c>
      <c r="C76" s="10"/>
      <c r="D76" s="6">
        <v>270.93</v>
      </c>
      <c r="E76" s="2"/>
      <c r="F76" s="7">
        <f t="shared" si="46"/>
        <v>2.092748952775849E-2</v>
      </c>
      <c r="G76" s="2"/>
      <c r="H76" s="6">
        <v>353.37</v>
      </c>
      <c r="I76" s="2"/>
      <c r="J76" s="7">
        <f t="shared" si="47"/>
        <v>2.1367219032588678E-2</v>
      </c>
      <c r="K76" s="2"/>
      <c r="L76" s="6">
        <f t="shared" si="48"/>
        <v>-82.44</v>
      </c>
      <c r="M76" s="2"/>
      <c r="N76" s="7">
        <f t="shared" si="49"/>
        <v>-0.23329654469819169</v>
      </c>
      <c r="O76" s="10"/>
      <c r="P76" s="6">
        <v>31352.34</v>
      </c>
      <c r="Q76" s="2"/>
      <c r="R76" s="7">
        <f t="shared" si="50"/>
        <v>0.24562404651513697</v>
      </c>
      <c r="S76" s="2"/>
      <c r="T76" s="6">
        <v>64865.919999999998</v>
      </c>
      <c r="U76" s="2"/>
      <c r="V76" s="7">
        <f t="shared" si="51"/>
        <v>0.12759543310624233</v>
      </c>
      <c r="W76" s="2"/>
      <c r="X76" s="6">
        <f t="shared" si="52"/>
        <v>-33513.58</v>
      </c>
      <c r="Y76" s="2"/>
      <c r="Z76" s="7">
        <f t="shared" si="53"/>
        <v>-0.5166592873422593</v>
      </c>
    </row>
    <row r="77" spans="1:26" s="23" customFormat="1" hidden="1" outlineLevel="2" x14ac:dyDescent="0.25">
      <c r="A77" s="27"/>
      <c r="B77" s="10" t="str">
        <f>CONCATENATE("          ", "6375", " - ", "OUTSIDE REPAIRS &amp; MAINTENANCE")</f>
        <v xml:space="preserve">          6375 - OUTSIDE REPAIRS &amp; MAINTENANCE</v>
      </c>
      <c r="C77" s="10"/>
      <c r="D77" s="6">
        <v>3512.18</v>
      </c>
      <c r="E77" s="2"/>
      <c r="F77" s="7">
        <f t="shared" si="46"/>
        <v>0.2712918841383487</v>
      </c>
      <c r="G77" s="2"/>
      <c r="H77" s="6"/>
      <c r="I77" s="2"/>
      <c r="J77" s="7">
        <f t="shared" si="47"/>
        <v>0</v>
      </c>
      <c r="K77" s="2"/>
      <c r="L77" s="6">
        <f t="shared" si="48"/>
        <v>3512.18</v>
      </c>
      <c r="M77" s="2"/>
      <c r="N77" s="7">
        <f t="shared" si="49"/>
        <v>0</v>
      </c>
      <c r="O77" s="10"/>
      <c r="P77" s="6">
        <v>3516.78</v>
      </c>
      <c r="Q77" s="2"/>
      <c r="R77" s="7">
        <f t="shared" si="50"/>
        <v>2.7551555459768024E-2</v>
      </c>
      <c r="S77" s="2"/>
      <c r="T77" s="6">
        <v>1401.76</v>
      </c>
      <c r="U77" s="2"/>
      <c r="V77" s="7">
        <f t="shared" si="51"/>
        <v>2.7573520010354628E-3</v>
      </c>
      <c r="W77" s="2"/>
      <c r="X77" s="6">
        <f t="shared" si="52"/>
        <v>2115.0200000000004</v>
      </c>
      <c r="Y77" s="2"/>
      <c r="Z77" s="7">
        <f t="shared" si="53"/>
        <v>1.5088317543659402</v>
      </c>
    </row>
    <row r="78" spans="1:26" s="26" customFormat="1" outlineLevel="1" collapsed="1" x14ac:dyDescent="0.25">
      <c r="A78" s="25"/>
      <c r="B78" s="12" t="str">
        <f>CONCATENATE("     ","Royalty &amp; Commissions                             ")</f>
        <v xml:space="preserve">     Royalty &amp; Commissions                             </v>
      </c>
      <c r="C78" s="12"/>
      <c r="D78" s="1">
        <f>SUM(OSRRefD22_10x_0)</f>
        <v>393.98</v>
      </c>
      <c r="E78" s="1"/>
      <c r="F78" s="5">
        <f t="shared" ref="F78:F88" si="54">IF(D$12=0,0,D78/D$12)</f>
        <v>3.0432260451578968E-2</v>
      </c>
      <c r="G78" s="1"/>
      <c r="H78" s="1">
        <f>SUM(OSRRefH22_10x_0)</f>
        <v>0</v>
      </c>
      <c r="I78" s="1"/>
      <c r="J78" s="5">
        <f t="shared" ref="J78:J88" si="55">IF(H$12=0,0,H78/H$12)</f>
        <v>0</v>
      </c>
      <c r="K78" s="1"/>
      <c r="L78" s="1">
        <f t="shared" ref="L78:L88" si="56">+D78-H78</f>
        <v>393.98</v>
      </c>
      <c r="M78" s="1"/>
      <c r="N78" s="5">
        <f t="shared" ref="N78:N88" si="57">IF(H78=0,0,L78/H78)</f>
        <v>0</v>
      </c>
      <c r="O78" s="12"/>
      <c r="P78" s="1">
        <f>SUM(OSRRefP22_10x_0)</f>
        <v>13627.87</v>
      </c>
      <c r="Q78" s="1"/>
      <c r="R78" s="5">
        <f t="shared" ref="R78:R88" si="58">IF(P$12=0,0,P78/P$12)</f>
        <v>0.10676499983038715</v>
      </c>
      <c r="S78" s="1"/>
      <c r="T78" s="1">
        <f>SUM(OSRRefT22_10x_0)</f>
        <v>82607.740000000005</v>
      </c>
      <c r="U78" s="1"/>
      <c r="V78" s="5">
        <f t="shared" ref="V78:V88" si="59">IF(T$12=0,0,T78/T$12)</f>
        <v>0.16249473318543634</v>
      </c>
      <c r="W78" s="1"/>
      <c r="X78" s="1">
        <f t="shared" ref="X78:X88" si="60">+P78-T78</f>
        <v>-68979.87000000001</v>
      </c>
      <c r="Y78" s="1"/>
      <c r="Z78" s="5">
        <f t="shared" ref="Z78:Z88" si="61">IF(T78=0,0,X78/T78)</f>
        <v>-0.83502913891603869</v>
      </c>
    </row>
    <row r="79" spans="1:26" s="23" customFormat="1" hidden="1" outlineLevel="2" x14ac:dyDescent="0.25">
      <c r="A79" s="27"/>
      <c r="B79" s="10" t="str">
        <f>CONCATENATE("          ", "6259", " - ", "ROYALTY &amp; COMMISSIONS")</f>
        <v xml:space="preserve">          6259 - ROYALTY &amp; COMMISSIONS</v>
      </c>
      <c r="C79" s="10"/>
      <c r="D79" s="6">
        <v>393.98</v>
      </c>
      <c r="E79" s="2"/>
      <c r="F79" s="7">
        <f t="shared" si="54"/>
        <v>3.0432260451578968E-2</v>
      </c>
      <c r="G79" s="2"/>
      <c r="H79" s="6"/>
      <c r="I79" s="2"/>
      <c r="J79" s="7">
        <f t="shared" si="55"/>
        <v>0</v>
      </c>
      <c r="K79" s="2"/>
      <c r="L79" s="6">
        <f t="shared" si="56"/>
        <v>393.98</v>
      </c>
      <c r="M79" s="2"/>
      <c r="N79" s="7">
        <f t="shared" si="57"/>
        <v>0</v>
      </c>
      <c r="O79" s="10"/>
      <c r="P79" s="6">
        <v>13627.87</v>
      </c>
      <c r="Q79" s="2"/>
      <c r="R79" s="7">
        <f t="shared" si="58"/>
        <v>0.10676499983038715</v>
      </c>
      <c r="S79" s="2"/>
      <c r="T79" s="6">
        <v>82607.740000000005</v>
      </c>
      <c r="U79" s="2"/>
      <c r="V79" s="7">
        <f t="shared" si="59"/>
        <v>0.16249473318543634</v>
      </c>
      <c r="W79" s="2"/>
      <c r="X79" s="6">
        <f t="shared" si="60"/>
        <v>-68979.87000000001</v>
      </c>
      <c r="Y79" s="2"/>
      <c r="Z79" s="7">
        <f t="shared" si="61"/>
        <v>-0.83502913891603869</v>
      </c>
    </row>
    <row r="80" spans="1:26" s="26" customFormat="1" outlineLevel="1" collapsed="1" x14ac:dyDescent="0.25">
      <c r="A80" s="25"/>
      <c r="B80" s="12" t="str">
        <f>CONCATENATE("     ","Subscriptions &amp; Dues                              ")</f>
        <v xml:space="preserve">     Subscriptions &amp; Dues                              </v>
      </c>
      <c r="C80" s="12"/>
      <c r="D80" s="1">
        <f>SUM(OSRRefD22_11x_0)</f>
        <v>31.75</v>
      </c>
      <c r="E80" s="1"/>
      <c r="F80" s="5">
        <f t="shared" si="54"/>
        <v>2.4524703521438453E-3</v>
      </c>
      <c r="G80" s="1"/>
      <c r="H80" s="1">
        <f>SUM(OSRRefH22_11x_0)</f>
        <v>0</v>
      </c>
      <c r="I80" s="1"/>
      <c r="J80" s="5">
        <f t="shared" si="55"/>
        <v>0</v>
      </c>
      <c r="K80" s="1"/>
      <c r="L80" s="1">
        <f t="shared" si="56"/>
        <v>31.75</v>
      </c>
      <c r="M80" s="1"/>
      <c r="N80" s="5">
        <f t="shared" si="57"/>
        <v>0</v>
      </c>
      <c r="O80" s="12"/>
      <c r="P80" s="1">
        <f>SUM(OSRRefP22_11x_0)</f>
        <v>31.75</v>
      </c>
      <c r="Q80" s="1"/>
      <c r="R80" s="5">
        <f t="shared" si="58"/>
        <v>2.48739439443933E-4</v>
      </c>
      <c r="S80" s="1"/>
      <c r="T80" s="1">
        <f>SUM(OSRRefT22_11x_0)</f>
        <v>0</v>
      </c>
      <c r="U80" s="1"/>
      <c r="V80" s="5">
        <f t="shared" si="59"/>
        <v>0</v>
      </c>
      <c r="W80" s="1"/>
      <c r="X80" s="1">
        <f t="shared" si="60"/>
        <v>31.75</v>
      </c>
      <c r="Y80" s="1"/>
      <c r="Z80" s="5">
        <f t="shared" si="61"/>
        <v>0</v>
      </c>
    </row>
    <row r="81" spans="1:26" s="23" customFormat="1" hidden="1" outlineLevel="2" x14ac:dyDescent="0.25">
      <c r="A81" s="27"/>
      <c r="B81" s="10" t="str">
        <f>CONCATENATE("          ", "6258", " - ", "MEMBERSHIP DUES")</f>
        <v xml:space="preserve">          6258 - MEMBERSHIP DUES</v>
      </c>
      <c r="C81" s="10"/>
      <c r="D81" s="6">
        <v>31.75</v>
      </c>
      <c r="E81" s="2"/>
      <c r="F81" s="7">
        <f t="shared" si="54"/>
        <v>2.4524703521438453E-3</v>
      </c>
      <c r="G81" s="2"/>
      <c r="H81" s="6"/>
      <c r="I81" s="2"/>
      <c r="J81" s="7">
        <f t="shared" si="55"/>
        <v>0</v>
      </c>
      <c r="K81" s="2"/>
      <c r="L81" s="6">
        <f t="shared" si="56"/>
        <v>31.75</v>
      </c>
      <c r="M81" s="2"/>
      <c r="N81" s="7">
        <f t="shared" si="57"/>
        <v>0</v>
      </c>
      <c r="O81" s="10"/>
      <c r="P81" s="6">
        <v>31.75</v>
      </c>
      <c r="Q81" s="2"/>
      <c r="R81" s="7">
        <f t="shared" si="58"/>
        <v>2.48739439443933E-4</v>
      </c>
      <c r="S81" s="2"/>
      <c r="T81" s="6"/>
      <c r="U81" s="2"/>
      <c r="V81" s="7">
        <f t="shared" si="59"/>
        <v>0</v>
      </c>
      <c r="W81" s="2"/>
      <c r="X81" s="6">
        <f t="shared" si="60"/>
        <v>31.75</v>
      </c>
      <c r="Y81" s="2"/>
      <c r="Z81" s="7">
        <f t="shared" si="61"/>
        <v>0</v>
      </c>
    </row>
    <row r="82" spans="1:26" s="26" customFormat="1" outlineLevel="1" collapsed="1" x14ac:dyDescent="0.25">
      <c r="A82" s="25"/>
      <c r="B82" s="12" t="str">
        <f>CONCATENATE("     ","Supplies                                          ")</f>
        <v xml:space="preserve">     Supplies                                          </v>
      </c>
      <c r="C82" s="12"/>
      <c r="D82" s="1">
        <f>SUM(OSRRefD22_12x_0)</f>
        <v>6628.24</v>
      </c>
      <c r="E82" s="1"/>
      <c r="F82" s="5">
        <f t="shared" si="54"/>
        <v>0.51198620746122592</v>
      </c>
      <c r="G82" s="1"/>
      <c r="H82" s="1">
        <f>SUM(OSRRefH22_12x_0)</f>
        <v>396.32</v>
      </c>
      <c r="I82" s="1"/>
      <c r="J82" s="5">
        <f t="shared" si="55"/>
        <v>2.3964276104353918E-2</v>
      </c>
      <c r="K82" s="1"/>
      <c r="L82" s="1">
        <f t="shared" si="56"/>
        <v>6231.92</v>
      </c>
      <c r="M82" s="1"/>
      <c r="N82" s="5">
        <f t="shared" si="57"/>
        <v>15.724465078724263</v>
      </c>
      <c r="O82" s="12"/>
      <c r="P82" s="1">
        <f>SUM(OSRRefP22_12x_0)</f>
        <v>42426.44</v>
      </c>
      <c r="Q82" s="1"/>
      <c r="R82" s="5">
        <f t="shared" si="58"/>
        <v>0.33238201269926482</v>
      </c>
      <c r="S82" s="1"/>
      <c r="T82" s="1">
        <f>SUM(OSRRefT22_12x_0)</f>
        <v>48993.490000000005</v>
      </c>
      <c r="U82" s="1"/>
      <c r="V82" s="5">
        <f t="shared" si="59"/>
        <v>9.6373343289301264E-2</v>
      </c>
      <c r="W82" s="1"/>
      <c r="X82" s="1">
        <f t="shared" si="60"/>
        <v>-6567.0500000000029</v>
      </c>
      <c r="Y82" s="1"/>
      <c r="Z82" s="5">
        <f t="shared" si="61"/>
        <v>-0.13403923664143955</v>
      </c>
    </row>
    <row r="83" spans="1:26" s="23" customFormat="1" hidden="1" outlineLevel="2" x14ac:dyDescent="0.25">
      <c r="A83" s="27"/>
      <c r="B83" s="10" t="str">
        <f>CONCATENATE("          ", "6234", " - ", "EXPENDABLE SUPPLIES &amp; EQUIPMEN")</f>
        <v xml:space="preserve">          6234 - EXPENDABLE SUPPLIES &amp; EQUIPMEN</v>
      </c>
      <c r="C83" s="10"/>
      <c r="D83" s="6"/>
      <c r="E83" s="2"/>
      <c r="F83" s="7">
        <f t="shared" si="54"/>
        <v>0</v>
      </c>
      <c r="G83" s="2"/>
      <c r="H83" s="6"/>
      <c r="I83" s="2"/>
      <c r="J83" s="7">
        <f t="shared" si="55"/>
        <v>0</v>
      </c>
      <c r="K83" s="2"/>
      <c r="L83" s="6">
        <f t="shared" si="56"/>
        <v>0</v>
      </c>
      <c r="M83" s="2"/>
      <c r="N83" s="7">
        <f t="shared" si="57"/>
        <v>0</v>
      </c>
      <c r="O83" s="10"/>
      <c r="P83" s="6"/>
      <c r="Q83" s="2"/>
      <c r="R83" s="7">
        <f t="shared" si="58"/>
        <v>0</v>
      </c>
      <c r="S83" s="2"/>
      <c r="T83" s="6">
        <v>1017.27</v>
      </c>
      <c r="U83" s="2"/>
      <c r="V83" s="7">
        <f t="shared" si="59"/>
        <v>2.0010354626279429E-3</v>
      </c>
      <c r="W83" s="2"/>
      <c r="X83" s="6">
        <f t="shared" si="60"/>
        <v>-1017.27</v>
      </c>
      <c r="Y83" s="2"/>
      <c r="Z83" s="7">
        <f t="shared" si="61"/>
        <v>-1</v>
      </c>
    </row>
    <row r="84" spans="1:26" s="23" customFormat="1" hidden="1" outlineLevel="2" x14ac:dyDescent="0.25">
      <c r="A84" s="27"/>
      <c r="B84" s="10" t="str">
        <f>CONCATENATE("          ", "6235", " - ", "COVID-19 EXPENSES")</f>
        <v xml:space="preserve">          6235 - COVID-19 EXPENSES</v>
      </c>
      <c r="C84" s="10"/>
      <c r="D84" s="6"/>
      <c r="E84" s="2"/>
      <c r="F84" s="7">
        <f t="shared" si="54"/>
        <v>0</v>
      </c>
      <c r="G84" s="2"/>
      <c r="H84" s="6"/>
      <c r="I84" s="2"/>
      <c r="J84" s="7">
        <f t="shared" si="55"/>
        <v>0</v>
      </c>
      <c r="K84" s="2"/>
      <c r="L84" s="6">
        <f t="shared" si="56"/>
        <v>0</v>
      </c>
      <c r="M84" s="2"/>
      <c r="N84" s="7">
        <f t="shared" si="57"/>
        <v>0</v>
      </c>
      <c r="O84" s="10"/>
      <c r="P84" s="6">
        <v>310.91000000000003</v>
      </c>
      <c r="Q84" s="2"/>
      <c r="R84" s="7">
        <f t="shared" si="58"/>
        <v>2.4357662714177392E-3</v>
      </c>
      <c r="S84" s="2"/>
      <c r="T84" s="6"/>
      <c r="U84" s="2"/>
      <c r="V84" s="7">
        <f t="shared" si="59"/>
        <v>0</v>
      </c>
      <c r="W84" s="2"/>
      <c r="X84" s="6">
        <f t="shared" si="60"/>
        <v>310.91000000000003</v>
      </c>
      <c r="Y84" s="2"/>
      <c r="Z84" s="7">
        <f t="shared" si="61"/>
        <v>0</v>
      </c>
    </row>
    <row r="85" spans="1:26" s="23" customFormat="1" hidden="1" outlineLevel="2" x14ac:dyDescent="0.25">
      <c r="A85" s="27"/>
      <c r="B85" s="10" t="str">
        <f>CONCATENATE("          ", "6241", " - ", "OFFICE EXPENSE")</f>
        <v xml:space="preserve">          6241 - OFFICE EXPENSE</v>
      </c>
      <c r="C85" s="10"/>
      <c r="D85" s="6">
        <v>18.25</v>
      </c>
      <c r="E85" s="2"/>
      <c r="F85" s="7">
        <f t="shared" si="54"/>
        <v>1.4096876827283521E-3</v>
      </c>
      <c r="G85" s="2"/>
      <c r="H85" s="6"/>
      <c r="I85" s="2"/>
      <c r="J85" s="7">
        <f t="shared" si="55"/>
        <v>0</v>
      </c>
      <c r="K85" s="2"/>
      <c r="L85" s="6">
        <f t="shared" si="56"/>
        <v>18.25</v>
      </c>
      <c r="M85" s="2"/>
      <c r="N85" s="7">
        <f t="shared" si="57"/>
        <v>0</v>
      </c>
      <c r="O85" s="10"/>
      <c r="P85" s="6">
        <v>4676.01</v>
      </c>
      <c r="Q85" s="2"/>
      <c r="R85" s="7">
        <f t="shared" si="58"/>
        <v>3.6633326180605524E-2</v>
      </c>
      <c r="S85" s="2"/>
      <c r="T85" s="6">
        <v>1713.32</v>
      </c>
      <c r="U85" s="2"/>
      <c r="V85" s="7">
        <f t="shared" si="59"/>
        <v>3.3702105427563054E-3</v>
      </c>
      <c r="W85" s="2"/>
      <c r="X85" s="6">
        <f t="shared" si="60"/>
        <v>2962.6900000000005</v>
      </c>
      <c r="Y85" s="2"/>
      <c r="Z85" s="7">
        <f t="shared" si="61"/>
        <v>1.729209954941284</v>
      </c>
    </row>
    <row r="86" spans="1:26" s="23" customFormat="1" hidden="1" outlineLevel="2" x14ac:dyDescent="0.25">
      <c r="A86" s="27"/>
      <c r="B86" s="10" t="str">
        <f>CONCATENATE("          ", "6243", " - ", "PAPER SUPPLIES")</f>
        <v xml:space="preserve">          6243 - PAPER SUPPLIES</v>
      </c>
      <c r="C86" s="10"/>
      <c r="D86" s="6"/>
      <c r="E86" s="2"/>
      <c r="F86" s="7">
        <f t="shared" si="54"/>
        <v>0</v>
      </c>
      <c r="G86" s="2"/>
      <c r="H86" s="6">
        <v>50.85</v>
      </c>
      <c r="I86" s="2"/>
      <c r="J86" s="7">
        <f t="shared" si="55"/>
        <v>3.0747462654077433E-3</v>
      </c>
      <c r="K86" s="2"/>
      <c r="L86" s="6">
        <f t="shared" si="56"/>
        <v>-50.85</v>
      </c>
      <c r="M86" s="2"/>
      <c r="N86" s="7">
        <f t="shared" si="57"/>
        <v>-1</v>
      </c>
      <c r="O86" s="10"/>
      <c r="P86" s="6">
        <v>6682.58</v>
      </c>
      <c r="Q86" s="2"/>
      <c r="R86" s="7">
        <f t="shared" si="58"/>
        <v>5.2353423724070487E-2</v>
      </c>
      <c r="S86" s="2"/>
      <c r="T86" s="6">
        <v>17939.21</v>
      </c>
      <c r="U86" s="2"/>
      <c r="V86" s="7">
        <f t="shared" si="59"/>
        <v>3.528757889402992E-2</v>
      </c>
      <c r="W86" s="2"/>
      <c r="X86" s="6">
        <f t="shared" si="60"/>
        <v>-11256.63</v>
      </c>
      <c r="Y86" s="2"/>
      <c r="Z86" s="7">
        <f t="shared" si="61"/>
        <v>-0.6274874980559344</v>
      </c>
    </row>
    <row r="87" spans="1:26" s="23" customFormat="1" hidden="1" outlineLevel="2" x14ac:dyDescent="0.25">
      <c r="A87" s="27"/>
      <c r="B87" s="10" t="str">
        <f>CONCATENATE("          ", "6245", " - ", "PRINTING")</f>
        <v xml:space="preserve">          6245 - PRINTING</v>
      </c>
      <c r="C87" s="10"/>
      <c r="D87" s="6">
        <v>5963.79</v>
      </c>
      <c r="E87" s="2"/>
      <c r="F87" s="7">
        <f t="shared" si="54"/>
        <v>0.46066198933580926</v>
      </c>
      <c r="G87" s="2"/>
      <c r="H87" s="6">
        <v>66.150000000000006</v>
      </c>
      <c r="I87" s="2"/>
      <c r="J87" s="7">
        <f t="shared" si="55"/>
        <v>3.9998911594242327E-3</v>
      </c>
      <c r="K87" s="2"/>
      <c r="L87" s="6">
        <f t="shared" si="56"/>
        <v>5897.64</v>
      </c>
      <c r="M87" s="2"/>
      <c r="N87" s="7">
        <f t="shared" si="57"/>
        <v>89.155555555555551</v>
      </c>
      <c r="O87" s="10"/>
      <c r="P87" s="6">
        <v>9015.7199999999993</v>
      </c>
      <c r="Q87" s="2"/>
      <c r="R87" s="7">
        <f t="shared" si="58"/>
        <v>7.0631972881368688E-2</v>
      </c>
      <c r="S87" s="2"/>
      <c r="T87" s="6">
        <v>5894.17</v>
      </c>
      <c r="U87" s="2"/>
      <c r="V87" s="7">
        <f t="shared" si="59"/>
        <v>1.1594211165922264E-2</v>
      </c>
      <c r="W87" s="2"/>
      <c r="X87" s="6">
        <f t="shared" si="60"/>
        <v>3121.5499999999993</v>
      </c>
      <c r="Y87" s="2"/>
      <c r="Z87" s="7">
        <f t="shared" si="61"/>
        <v>0.52959958738889434</v>
      </c>
    </row>
    <row r="88" spans="1:26" s="23" customFormat="1" hidden="1" outlineLevel="2" x14ac:dyDescent="0.25">
      <c r="A88" s="27"/>
      <c r="B88" s="10" t="str">
        <f>CONCATENATE("          ", "6247", " - ", "STORE SUPPLIES")</f>
        <v xml:space="preserve">          6247 - STORE SUPPLIES</v>
      </c>
      <c r="C88" s="10"/>
      <c r="D88" s="6">
        <v>646.20000000000005</v>
      </c>
      <c r="E88" s="2"/>
      <c r="F88" s="7">
        <f t="shared" si="54"/>
        <v>4.9914530442688287E-2</v>
      </c>
      <c r="G88" s="2"/>
      <c r="H88" s="6">
        <v>279.32</v>
      </c>
      <c r="I88" s="2"/>
      <c r="J88" s="7">
        <f t="shared" si="55"/>
        <v>1.6889638679521944E-2</v>
      </c>
      <c r="K88" s="2"/>
      <c r="L88" s="6">
        <f t="shared" si="56"/>
        <v>366.88000000000005</v>
      </c>
      <c r="M88" s="2"/>
      <c r="N88" s="7">
        <f t="shared" si="57"/>
        <v>1.3134755835600747</v>
      </c>
      <c r="O88" s="10"/>
      <c r="P88" s="6">
        <v>21741.22</v>
      </c>
      <c r="Q88" s="2"/>
      <c r="R88" s="7">
        <f t="shared" si="58"/>
        <v>0.1703275236418024</v>
      </c>
      <c r="S88" s="2"/>
      <c r="T88" s="6">
        <v>22429.52</v>
      </c>
      <c r="U88" s="2"/>
      <c r="V88" s="7">
        <f t="shared" si="59"/>
        <v>4.4120307223964823E-2</v>
      </c>
      <c r="W88" s="2"/>
      <c r="X88" s="6">
        <f t="shared" si="60"/>
        <v>-688.29999999999927</v>
      </c>
      <c r="Y88" s="2"/>
      <c r="Z88" s="7">
        <f t="shared" si="61"/>
        <v>-3.0687237176720644E-2</v>
      </c>
    </row>
    <row r="89" spans="1:26" s="26" customFormat="1" outlineLevel="1" collapsed="1" x14ac:dyDescent="0.25">
      <c r="A89" s="25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SUM(OSRRefD22_13x_0)</f>
        <v>157.85</v>
      </c>
      <c r="E89" s="1"/>
      <c r="F89" s="5">
        <f t="shared" ref="F89:F94" si="62">IF(D$12=0,0,D89/D$12)</f>
        <v>1.2192832916091528E-2</v>
      </c>
      <c r="G89" s="1"/>
      <c r="H89" s="1">
        <f>SUM(OSRRefH22_13x_0)</f>
        <v>187.6</v>
      </c>
      <c r="I89" s="1"/>
      <c r="J89" s="5">
        <f t="shared" ref="J89:J94" si="63">IF(H$12=0,0,H89/H$12)</f>
        <v>1.1343606674345971E-2</v>
      </c>
      <c r="K89" s="1"/>
      <c r="L89" s="1">
        <f t="shared" ref="L89:L94" si="64">+D89-H89</f>
        <v>-29.75</v>
      </c>
      <c r="M89" s="1"/>
      <c r="N89" s="5">
        <f t="shared" ref="N89:N94" si="65">IF(H89=0,0,L89/H89)</f>
        <v>-0.15858208955223882</v>
      </c>
      <c r="O89" s="12"/>
      <c r="P89" s="1">
        <f>SUM(OSRRefP22_13x_0)</f>
        <v>1743.35</v>
      </c>
      <c r="Q89" s="1"/>
      <c r="R89" s="5">
        <f t="shared" ref="R89:R94" si="66">IF(P$12=0,0,P89/P$12)</f>
        <v>1.3657949661561595E-2</v>
      </c>
      <c r="S89" s="1"/>
      <c r="T89" s="1">
        <f>SUM(OSRRefT22_13x_0)</f>
        <v>2213.6</v>
      </c>
      <c r="U89" s="1"/>
      <c r="V89" s="5">
        <f t="shared" ref="V89:V94" si="67">IF(T$12=0,0,T89/T$12)</f>
        <v>4.3542934521545061E-3</v>
      </c>
      <c r="W89" s="1"/>
      <c r="X89" s="1">
        <f t="shared" ref="X89:X94" si="68">+P89-T89</f>
        <v>-470.25</v>
      </c>
      <c r="Y89" s="1"/>
      <c r="Z89" s="5">
        <f t="shared" ref="Z89:Z94" si="69">IF(T89=0,0,X89/T89)</f>
        <v>-0.21243675460787859</v>
      </c>
    </row>
    <row r="90" spans="1:26" s="23" customFormat="1" hidden="1" outlineLevel="2" x14ac:dyDescent="0.25">
      <c r="A90" s="27"/>
      <c r="B90" s="10" t="str">
        <f>CONCATENATE("          ", "6309", " - ", "TELEPHONE")</f>
        <v xml:space="preserve">          6309 - TELEPHONE</v>
      </c>
      <c r="C90" s="10"/>
      <c r="D90" s="6">
        <v>157.85</v>
      </c>
      <c r="E90" s="2"/>
      <c r="F90" s="7">
        <f t="shared" si="62"/>
        <v>1.2192832916091528E-2</v>
      </c>
      <c r="G90" s="2"/>
      <c r="H90" s="6">
        <v>187.6</v>
      </c>
      <c r="I90" s="2"/>
      <c r="J90" s="7">
        <f t="shared" si="63"/>
        <v>1.1343606674345971E-2</v>
      </c>
      <c r="K90" s="2"/>
      <c r="L90" s="6">
        <f t="shared" si="64"/>
        <v>-29.75</v>
      </c>
      <c r="M90" s="2"/>
      <c r="N90" s="7">
        <f t="shared" si="65"/>
        <v>-0.15858208955223882</v>
      </c>
      <c r="O90" s="10"/>
      <c r="P90" s="6">
        <v>1743.35</v>
      </c>
      <c r="Q90" s="2"/>
      <c r="R90" s="7">
        <f t="shared" si="66"/>
        <v>1.3657949661561595E-2</v>
      </c>
      <c r="S90" s="2"/>
      <c r="T90" s="6">
        <v>2213.6</v>
      </c>
      <c r="U90" s="2"/>
      <c r="V90" s="7">
        <f t="shared" si="67"/>
        <v>4.3542934521545061E-3</v>
      </c>
      <c r="W90" s="2"/>
      <c r="X90" s="6">
        <f t="shared" si="68"/>
        <v>-470.25</v>
      </c>
      <c r="Y90" s="2"/>
      <c r="Z90" s="7">
        <f t="shared" si="69"/>
        <v>-0.21243675460787859</v>
      </c>
    </row>
    <row r="91" spans="1:26" s="26" customFormat="1" outlineLevel="1" collapsed="1" x14ac:dyDescent="0.25">
      <c r="A91" s="25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SUM(OSRRefD22_14x_0)</f>
        <v>0</v>
      </c>
      <c r="E91" s="1"/>
      <c r="F91" s="5">
        <f t="shared" si="62"/>
        <v>0</v>
      </c>
      <c r="G91" s="1"/>
      <c r="H91" s="1">
        <f>SUM(OSRRefH22_14x_0)</f>
        <v>0</v>
      </c>
      <c r="I91" s="1"/>
      <c r="J91" s="5">
        <f t="shared" si="63"/>
        <v>0</v>
      </c>
      <c r="K91" s="1"/>
      <c r="L91" s="1">
        <f t="shared" si="64"/>
        <v>0</v>
      </c>
      <c r="M91" s="1"/>
      <c r="N91" s="5">
        <f t="shared" si="65"/>
        <v>0</v>
      </c>
      <c r="O91" s="12"/>
      <c r="P91" s="1">
        <f>SUM(OSRRefP22_14x_0)</f>
        <v>0</v>
      </c>
      <c r="Q91" s="1"/>
      <c r="R91" s="5">
        <f t="shared" si="66"/>
        <v>0</v>
      </c>
      <c r="S91" s="1"/>
      <c r="T91" s="1">
        <f>SUM(OSRRefT22_14x_0)</f>
        <v>97.71</v>
      </c>
      <c r="U91" s="1"/>
      <c r="V91" s="5">
        <f t="shared" si="67"/>
        <v>1.922018491190896E-4</v>
      </c>
      <c r="W91" s="1"/>
      <c r="X91" s="1">
        <f t="shared" si="68"/>
        <v>-97.71</v>
      </c>
      <c r="Y91" s="1"/>
      <c r="Z91" s="5">
        <f t="shared" si="69"/>
        <v>-1</v>
      </c>
    </row>
    <row r="92" spans="1:26" s="23" customFormat="1" hidden="1" outlineLevel="2" x14ac:dyDescent="0.25">
      <c r="A92" s="27"/>
      <c r="B92" s="10" t="str">
        <f>CONCATENATE("          ", "6376", " - ", "TRAINING")</f>
        <v xml:space="preserve">          6376 - TRAINING</v>
      </c>
      <c r="C92" s="10"/>
      <c r="D92" s="6"/>
      <c r="E92" s="2"/>
      <c r="F92" s="7">
        <f t="shared" si="62"/>
        <v>0</v>
      </c>
      <c r="G92" s="2"/>
      <c r="H92" s="6"/>
      <c r="I92" s="2"/>
      <c r="J92" s="7">
        <f t="shared" si="63"/>
        <v>0</v>
      </c>
      <c r="K92" s="2"/>
      <c r="L92" s="6">
        <f t="shared" si="64"/>
        <v>0</v>
      </c>
      <c r="M92" s="2"/>
      <c r="N92" s="7">
        <f t="shared" si="65"/>
        <v>0</v>
      </c>
      <c r="O92" s="10"/>
      <c r="P92" s="6"/>
      <c r="Q92" s="2"/>
      <c r="R92" s="7">
        <f t="shared" si="66"/>
        <v>0</v>
      </c>
      <c r="S92" s="2"/>
      <c r="T92" s="6">
        <v>97.71</v>
      </c>
      <c r="U92" s="2"/>
      <c r="V92" s="7">
        <f t="shared" si="67"/>
        <v>1.922018491190896E-4</v>
      </c>
      <c r="W92" s="2"/>
      <c r="X92" s="6">
        <f t="shared" si="68"/>
        <v>-97.71</v>
      </c>
      <c r="Y92" s="2"/>
      <c r="Z92" s="7">
        <f t="shared" si="69"/>
        <v>-1</v>
      </c>
    </row>
    <row r="93" spans="1:26" s="26" customFormat="1" outlineLevel="1" collapsed="1" x14ac:dyDescent="0.25">
      <c r="A93" s="25"/>
      <c r="B93" s="12" t="str">
        <f>CONCATENATE("     ","Utilities                                         ")</f>
        <v xml:space="preserve">     Utilities                                         </v>
      </c>
      <c r="C93" s="12"/>
      <c r="D93" s="1">
        <f>SUM(OSRRefD22_15x_0)</f>
        <v>0</v>
      </c>
      <c r="E93" s="1"/>
      <c r="F93" s="5">
        <f t="shared" si="62"/>
        <v>0</v>
      </c>
      <c r="G93" s="1"/>
      <c r="H93" s="1">
        <f>SUM(OSRRefH22_15x_0)</f>
        <v>0</v>
      </c>
      <c r="I93" s="1"/>
      <c r="J93" s="5">
        <f t="shared" si="63"/>
        <v>0</v>
      </c>
      <c r="K93" s="1"/>
      <c r="L93" s="1">
        <f t="shared" si="64"/>
        <v>0</v>
      </c>
      <c r="M93" s="1"/>
      <c r="N93" s="5">
        <f t="shared" si="65"/>
        <v>0</v>
      </c>
      <c r="O93" s="12"/>
      <c r="P93" s="1">
        <f>SUM(OSRRefP22_15x_0)</f>
        <v>15.02</v>
      </c>
      <c r="Q93" s="1"/>
      <c r="R93" s="5">
        <f t="shared" si="66"/>
        <v>1.1767138206135036E-4</v>
      </c>
      <c r="S93" s="1"/>
      <c r="T93" s="1">
        <f>SUM(OSRRefT22_15x_0)</f>
        <v>0</v>
      </c>
      <c r="U93" s="1"/>
      <c r="V93" s="5">
        <f t="shared" si="67"/>
        <v>0</v>
      </c>
      <c r="W93" s="1"/>
      <c r="X93" s="1">
        <f t="shared" si="68"/>
        <v>15.02</v>
      </c>
      <c r="Y93" s="1"/>
      <c r="Z93" s="5">
        <f t="shared" si="69"/>
        <v>0</v>
      </c>
    </row>
    <row r="94" spans="1:26" s="23" customFormat="1" hidden="1" outlineLevel="2" x14ac:dyDescent="0.25">
      <c r="A94" s="27"/>
      <c r="B94" s="10" t="str">
        <f>CONCATENATE("          ", "6274", " - ", "UTILITIES")</f>
        <v xml:space="preserve">          6274 - UTILITIES</v>
      </c>
      <c r="C94" s="10"/>
      <c r="D94" s="6"/>
      <c r="E94" s="2"/>
      <c r="F94" s="7">
        <f t="shared" si="62"/>
        <v>0</v>
      </c>
      <c r="G94" s="2"/>
      <c r="H94" s="6"/>
      <c r="I94" s="2"/>
      <c r="J94" s="7">
        <f t="shared" si="63"/>
        <v>0</v>
      </c>
      <c r="K94" s="2"/>
      <c r="L94" s="6">
        <f t="shared" si="64"/>
        <v>0</v>
      </c>
      <c r="M94" s="2"/>
      <c r="N94" s="7">
        <f t="shared" si="65"/>
        <v>0</v>
      </c>
      <c r="O94" s="10"/>
      <c r="P94" s="6">
        <v>15.02</v>
      </c>
      <c r="Q94" s="2"/>
      <c r="R94" s="7">
        <f t="shared" si="66"/>
        <v>1.1767138206135036E-4</v>
      </c>
      <c r="S94" s="2"/>
      <c r="T94" s="6"/>
      <c r="U94" s="2"/>
      <c r="V94" s="7">
        <f t="shared" si="67"/>
        <v>0</v>
      </c>
      <c r="W94" s="2"/>
      <c r="X94" s="6">
        <f t="shared" si="68"/>
        <v>15.02</v>
      </c>
      <c r="Y94" s="2"/>
      <c r="Z94" s="7">
        <f t="shared" si="69"/>
        <v>0</v>
      </c>
    </row>
    <row r="95" spans="1:26" s="57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4" customFormat="1" collapsed="1" x14ac:dyDescent="0.25">
      <c r="A96" s="11"/>
      <c r="B96" s="29" t="s">
        <v>292</v>
      </c>
      <c r="C96" s="11"/>
      <c r="D96" s="4">
        <f>SUM(OSRRefD25x_0)</f>
        <v>6782</v>
      </c>
      <c r="E96" s="4"/>
      <c r="F96" s="13">
        <f t="shared" ref="F96:F102" si="70">IF(D$12=0,0,D96/D$12)</f>
        <v>0.52386311585006484</v>
      </c>
      <c r="G96" s="4"/>
      <c r="H96" s="4">
        <f>SUM(OSRRefH25x_0)</f>
        <v>67980.639999999999</v>
      </c>
      <c r="I96" s="4"/>
      <c r="J96" s="13">
        <f t="shared" ref="J96:J102" si="71">IF(H$12=0,0,H96/H$12)</f>
        <v>4.1105844436583725</v>
      </c>
      <c r="K96" s="4"/>
      <c r="L96" s="4">
        <f t="shared" ref="L96:L102" si="72">+D96-H96</f>
        <v>-61198.64</v>
      </c>
      <c r="M96" s="4"/>
      <c r="N96" s="13">
        <f t="shared" ref="N96:N102" si="73">IF(H96=0,0,L96/H96)</f>
        <v>-0.90023630257084963</v>
      </c>
      <c r="O96" s="11"/>
      <c r="P96" s="4">
        <f>SUM(OSRRefP25x_0)</f>
        <v>74602</v>
      </c>
      <c r="Q96" s="4"/>
      <c r="R96" s="13">
        <f t="shared" ref="R96:R102" si="74">IF(P$12=0,0,P96/P$12)</f>
        <v>0.58445542240618242</v>
      </c>
      <c r="S96" s="4"/>
      <c r="T96" s="4">
        <f>SUM(OSRRefT25x_0)</f>
        <v>657981.55000000005</v>
      </c>
      <c r="U96" s="4"/>
      <c r="V96" s="13">
        <f t="shared" ref="V96:V102" si="75">IF(T$12=0,0,T96/T$12)</f>
        <v>1.2942919925928229</v>
      </c>
      <c r="W96" s="4"/>
      <c r="X96" s="4">
        <f t="shared" ref="X96:X102" si="76">+P96-T96</f>
        <v>-583379.55000000005</v>
      </c>
      <c r="Y96" s="4"/>
      <c r="Z96" s="13">
        <f t="shared" ref="Z96:Z102" si="77">IF(T96=0,0,X96/T96)</f>
        <v>-0.88661992118168054</v>
      </c>
    </row>
    <row r="97" spans="1:26" s="23" customFormat="1" hidden="1" outlineLevel="1" x14ac:dyDescent="0.25">
      <c r="A97" s="44"/>
      <c r="B97" s="10" t="str">
        <f>CONCATENATE("          ", "4098", " - ", "TAXABLE SALES-GRAD RENTALS")</f>
        <v xml:space="preserve">          4098 - TAXABLE SALES-GRAD RENTALS</v>
      </c>
      <c r="C97" s="10"/>
      <c r="D97" s="2">
        <f t="shared" ref="D97:D99" si="78">0</f>
        <v>0</v>
      </c>
      <c r="E97" s="2"/>
      <c r="F97" s="19">
        <f t="shared" si="70"/>
        <v>0</v>
      </c>
      <c r="G97" s="2"/>
      <c r="H97" s="2">
        <f>-152</f>
        <v>-152</v>
      </c>
      <c r="I97" s="2"/>
      <c r="J97" s="19">
        <f t="shared" si="71"/>
        <v>-9.190981953627865E-3</v>
      </c>
      <c r="K97" s="2"/>
      <c r="L97" s="2">
        <f t="shared" si="72"/>
        <v>152</v>
      </c>
      <c r="M97" s="2"/>
      <c r="N97" s="19">
        <f t="shared" si="73"/>
        <v>-1</v>
      </c>
      <c r="O97" s="10"/>
      <c r="P97" s="2">
        <f t="shared" ref="P97:P99" si="79">0</f>
        <v>0</v>
      </c>
      <c r="Q97" s="2"/>
      <c r="R97" s="19">
        <f t="shared" si="74"/>
        <v>0</v>
      </c>
      <c r="S97" s="2"/>
      <c r="T97" s="2">
        <f>--1946.85</f>
        <v>1946.85</v>
      </c>
      <c r="U97" s="2"/>
      <c r="V97" s="19">
        <f t="shared" si="75"/>
        <v>3.8295790600501442E-3</v>
      </c>
      <c r="W97" s="2"/>
      <c r="X97" s="2">
        <f t="shared" si="76"/>
        <v>-1946.85</v>
      </c>
      <c r="Y97" s="2"/>
      <c r="Z97" s="19">
        <f t="shared" si="77"/>
        <v>-1</v>
      </c>
    </row>
    <row r="98" spans="1:26" s="23" customFormat="1" hidden="1" outlineLevel="1" x14ac:dyDescent="0.25">
      <c r="A98" s="44"/>
      <c r="B98" s="10" t="str">
        <f>CONCATENATE("          ", "4197", " - ", "NON-TAXABLE SALES-RETURNED CHE")</f>
        <v xml:space="preserve">          4197 - NON-TAXABLE SALES-RETURNED CHE</v>
      </c>
      <c r="C98" s="10"/>
      <c r="D98" s="2">
        <f t="shared" si="78"/>
        <v>0</v>
      </c>
      <c r="E98" s="2"/>
      <c r="F98" s="19">
        <f t="shared" si="70"/>
        <v>0</v>
      </c>
      <c r="G98" s="2"/>
      <c r="H98" s="2">
        <f>0</f>
        <v>0</v>
      </c>
      <c r="I98" s="2"/>
      <c r="J98" s="19">
        <f t="shared" si="71"/>
        <v>0</v>
      </c>
      <c r="K98" s="2"/>
      <c r="L98" s="2">
        <f t="shared" si="72"/>
        <v>0</v>
      </c>
      <c r="M98" s="2"/>
      <c r="N98" s="19">
        <f t="shared" si="73"/>
        <v>0</v>
      </c>
      <c r="O98" s="10"/>
      <c r="P98" s="2">
        <f t="shared" si="79"/>
        <v>0</v>
      </c>
      <c r="Q98" s="2"/>
      <c r="R98" s="19">
        <f t="shared" si="74"/>
        <v>0</v>
      </c>
      <c r="S98" s="2"/>
      <c r="T98" s="2">
        <f>--30</f>
        <v>30</v>
      </c>
      <c r="U98" s="2"/>
      <c r="V98" s="19">
        <f t="shared" si="75"/>
        <v>5.9011927884276827E-5</v>
      </c>
      <c r="W98" s="2"/>
      <c r="X98" s="2">
        <f t="shared" si="76"/>
        <v>-30</v>
      </c>
      <c r="Y98" s="2"/>
      <c r="Z98" s="19">
        <f t="shared" si="77"/>
        <v>-1</v>
      </c>
    </row>
    <row r="99" spans="1:26" s="23" customFormat="1" hidden="1" outlineLevel="1" x14ac:dyDescent="0.25">
      <c r="A99" s="44"/>
      <c r="B99" s="10" t="str">
        <f>CONCATENATE("          ", "4198", " - ", "NON-TAXABLE SALES-GRAD RENTALS")</f>
        <v xml:space="preserve">          4198 - NON-TAXABLE SALES-GRAD RENTALS</v>
      </c>
      <c r="C99" s="10"/>
      <c r="D99" s="2">
        <f t="shared" si="78"/>
        <v>0</v>
      </c>
      <c r="E99" s="2"/>
      <c r="F99" s="19">
        <f t="shared" si="70"/>
        <v>0</v>
      </c>
      <c r="G99" s="2"/>
      <c r="H99" s="2">
        <f>-3469.7</f>
        <v>-3469.7</v>
      </c>
      <c r="I99" s="2"/>
      <c r="J99" s="19">
        <f t="shared" si="71"/>
        <v>-0.20980230318751714</v>
      </c>
      <c r="K99" s="2"/>
      <c r="L99" s="2">
        <f t="shared" si="72"/>
        <v>3469.7</v>
      </c>
      <c r="M99" s="2"/>
      <c r="N99" s="19">
        <f t="shared" si="73"/>
        <v>-1</v>
      </c>
      <c r="O99" s="10"/>
      <c r="P99" s="2">
        <f t="shared" si="79"/>
        <v>0</v>
      </c>
      <c r="Q99" s="2"/>
      <c r="R99" s="19">
        <f t="shared" si="74"/>
        <v>0</v>
      </c>
      <c r="S99" s="2"/>
      <c r="T99" s="2">
        <f>--163.76</f>
        <v>163.76</v>
      </c>
      <c r="U99" s="2"/>
      <c r="V99" s="19">
        <f t="shared" si="75"/>
        <v>3.2212644367763906E-4</v>
      </c>
      <c r="W99" s="2"/>
      <c r="X99" s="2">
        <f t="shared" si="76"/>
        <v>-163.76</v>
      </c>
      <c r="Y99" s="2"/>
      <c r="Z99" s="19">
        <f t="shared" si="77"/>
        <v>-1</v>
      </c>
    </row>
    <row r="100" spans="1:26" s="23" customFormat="1" hidden="1" outlineLevel="1" x14ac:dyDescent="0.25">
      <c r="A100" s="44"/>
      <c r="B100" s="10" t="str">
        <f>CONCATENATE("          ", "9150", " - ", "MISC. INCOME")</f>
        <v xml:space="preserve">          9150 - MISC. INCOME</v>
      </c>
      <c r="C100" s="10"/>
      <c r="D100" s="2">
        <f>--6782</f>
        <v>6782</v>
      </c>
      <c r="E100" s="2"/>
      <c r="F100" s="19">
        <f t="shared" si="70"/>
        <v>0.52386311585006484</v>
      </c>
      <c r="G100" s="2"/>
      <c r="H100" s="2">
        <f>--13269</f>
        <v>13269</v>
      </c>
      <c r="I100" s="2"/>
      <c r="J100" s="19">
        <f t="shared" si="71"/>
        <v>0.80233644435979046</v>
      </c>
      <c r="K100" s="2"/>
      <c r="L100" s="2">
        <f t="shared" si="72"/>
        <v>-6487</v>
      </c>
      <c r="M100" s="2"/>
      <c r="N100" s="19">
        <f t="shared" si="73"/>
        <v>-0.48888386464692141</v>
      </c>
      <c r="O100" s="10"/>
      <c r="P100" s="2">
        <f>--74602</f>
        <v>74602</v>
      </c>
      <c r="Q100" s="2"/>
      <c r="R100" s="19">
        <f t="shared" si="74"/>
        <v>0.58445542240618242</v>
      </c>
      <c r="S100" s="2"/>
      <c r="T100" s="2">
        <f>--144632.1</f>
        <v>144632.1</v>
      </c>
      <c r="U100" s="2"/>
      <c r="V100" s="19">
        <f t="shared" si="75"/>
        <v>0.28450063516505048</v>
      </c>
      <c r="W100" s="2"/>
      <c r="X100" s="2">
        <f t="shared" si="76"/>
        <v>-70030.100000000006</v>
      </c>
      <c r="Y100" s="2"/>
      <c r="Z100" s="19">
        <f t="shared" si="77"/>
        <v>-0.48419472579047118</v>
      </c>
    </row>
    <row r="101" spans="1:26" s="23" customFormat="1" hidden="1" outlineLevel="1" x14ac:dyDescent="0.25">
      <c r="A101" s="44"/>
      <c r="B101" s="10" t="str">
        <f>CONCATENATE("          ", "9160", " - ", "MISC. INCOME")</f>
        <v xml:space="preserve">          9160 - MISC. INCOME</v>
      </c>
      <c r="C101" s="10"/>
      <c r="D101" s="2">
        <f t="shared" ref="D101:D102" si="80">0</f>
        <v>0</v>
      </c>
      <c r="E101" s="2"/>
      <c r="F101" s="19">
        <f t="shared" si="70"/>
        <v>0</v>
      </c>
      <c r="G101" s="2"/>
      <c r="H101" s="2">
        <f>0</f>
        <v>0</v>
      </c>
      <c r="I101" s="2"/>
      <c r="J101" s="19">
        <f t="shared" si="71"/>
        <v>0</v>
      </c>
      <c r="K101" s="2"/>
      <c r="L101" s="2">
        <f t="shared" si="72"/>
        <v>0</v>
      </c>
      <c r="M101" s="2"/>
      <c r="N101" s="19">
        <f t="shared" si="73"/>
        <v>0</v>
      </c>
      <c r="O101" s="10"/>
      <c r="P101" s="2">
        <f t="shared" ref="P101:P102" si="81">0</f>
        <v>0</v>
      </c>
      <c r="Q101" s="2"/>
      <c r="R101" s="19">
        <f t="shared" si="74"/>
        <v>0</v>
      </c>
      <c r="S101" s="2"/>
      <c r="T101" s="2">
        <f>--22475</f>
        <v>22475</v>
      </c>
      <c r="U101" s="2"/>
      <c r="V101" s="19">
        <f t="shared" si="75"/>
        <v>4.4209769306637385E-2</v>
      </c>
      <c r="W101" s="2"/>
      <c r="X101" s="2">
        <f t="shared" si="76"/>
        <v>-22475</v>
      </c>
      <c r="Y101" s="2"/>
      <c r="Z101" s="19">
        <f t="shared" si="77"/>
        <v>-1</v>
      </c>
    </row>
    <row r="102" spans="1:26" s="23" customFormat="1" hidden="1" outlineLevel="1" x14ac:dyDescent="0.25">
      <c r="A102" s="44"/>
      <c r="B102" s="10" t="str">
        <f>CONCATENATE("          ", "9163", " - ", "MISC. INCOME")</f>
        <v xml:space="preserve">          9163 - MISC. INCOME</v>
      </c>
      <c r="C102" s="10"/>
      <c r="D102" s="2">
        <f t="shared" si="80"/>
        <v>0</v>
      </c>
      <c r="E102" s="2"/>
      <c r="F102" s="19">
        <f t="shared" si="70"/>
        <v>0</v>
      </c>
      <c r="G102" s="2"/>
      <c r="H102" s="2">
        <f>--58333.34</f>
        <v>58333.34</v>
      </c>
      <c r="I102" s="2"/>
      <c r="J102" s="19">
        <f t="shared" si="71"/>
        <v>3.527241284439727</v>
      </c>
      <c r="K102" s="2"/>
      <c r="L102" s="2">
        <f t="shared" si="72"/>
        <v>-58333.34</v>
      </c>
      <c r="M102" s="2"/>
      <c r="N102" s="19">
        <f t="shared" si="73"/>
        <v>-1</v>
      </c>
      <c r="O102" s="10"/>
      <c r="P102" s="2">
        <f t="shared" si="81"/>
        <v>0</v>
      </c>
      <c r="Q102" s="2"/>
      <c r="R102" s="19">
        <f t="shared" si="74"/>
        <v>0</v>
      </c>
      <c r="S102" s="2"/>
      <c r="T102" s="2">
        <f>--488733.84</f>
        <v>488733.84</v>
      </c>
      <c r="U102" s="2"/>
      <c r="V102" s="19">
        <f t="shared" si="75"/>
        <v>0.96137087068952298</v>
      </c>
      <c r="W102" s="2"/>
      <c r="X102" s="2">
        <f t="shared" si="76"/>
        <v>-488733.84</v>
      </c>
      <c r="Y102" s="2"/>
      <c r="Z102" s="19">
        <f t="shared" si="77"/>
        <v>-1</v>
      </c>
    </row>
    <row r="103" spans="1:26" x14ac:dyDescent="0.25">
      <c r="A103" s="9"/>
      <c r="B103" s="11"/>
      <c r="C103" s="11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1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4" customFormat="1" x14ac:dyDescent="0.25">
      <c r="A104" s="11"/>
      <c r="B104" s="28" t="s">
        <v>276</v>
      </c>
      <c r="C104" s="28"/>
      <c r="D104" s="20">
        <f>+D41-D43+D96</f>
        <v>6727.9700000000084</v>
      </c>
      <c r="E104" s="14"/>
      <c r="F104" s="21">
        <f>IF(D$12=0,0,D104/D$12)</f>
        <v>0.51968966787758264</v>
      </c>
      <c r="G104" s="14"/>
      <c r="H104" s="20">
        <f>+H41-H43+H96</f>
        <v>56335.08</v>
      </c>
      <c r="I104" s="14"/>
      <c r="J104" s="21">
        <f>IF(H$12=0,0,H104/H$12)</f>
        <v>3.4064125239222509</v>
      </c>
      <c r="K104" s="15"/>
      <c r="L104" s="20">
        <f>+D104-H104</f>
        <v>-49607.109999999993</v>
      </c>
      <c r="M104" s="15"/>
      <c r="N104" s="21">
        <f>IF(H104=0,0,L104/H104)</f>
        <v>-0.88057228284756128</v>
      </c>
      <c r="O104" s="29"/>
      <c r="P104" s="20">
        <f>+P41-P43+P96</f>
        <v>-83314.320000000007</v>
      </c>
      <c r="Q104" s="14"/>
      <c r="R104" s="21">
        <f>IF(P$12=0,0,P104/P$12)</f>
        <v>-0.6527104647071641</v>
      </c>
      <c r="S104" s="14"/>
      <c r="T104" s="20">
        <f>+T41-T43+T96</f>
        <v>673633.58999999985</v>
      </c>
      <c r="U104" s="14"/>
      <c r="V104" s="21">
        <f>IF(T$12=0,0,T104/T$12)</f>
        <v>1.325080561116883</v>
      </c>
      <c r="W104" s="15"/>
      <c r="X104" s="20">
        <f>+P104-T104</f>
        <v>-756947.90999999992</v>
      </c>
      <c r="Y104" s="15"/>
      <c r="Z104" s="21">
        <f>IF(T104=0,0,X104/T104)</f>
        <v>-1.1236789869697561</v>
      </c>
    </row>
    <row r="105" spans="1:26" x14ac:dyDescent="0.25">
      <c r="A105" s="9"/>
      <c r="B105" s="11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4" customFormat="1" x14ac:dyDescent="0.25">
      <c r="A106" s="51"/>
      <c r="B106" s="11" t="s">
        <v>127</v>
      </c>
      <c r="C106" s="11"/>
      <c r="D106" s="4">
        <v>3281.05</v>
      </c>
      <c r="E106" s="4"/>
      <c r="F106" s="13">
        <f>IF(D$12=0,0,D106/D$12)</f>
        <v>0.25343867240634849</v>
      </c>
      <c r="G106" s="4"/>
      <c r="H106" s="4">
        <v>4357.46</v>
      </c>
      <c r="I106" s="4"/>
      <c r="J106" s="13">
        <f>IF(H$12=0,0,H106/H$12)</f>
        <v>0.26348247515562684</v>
      </c>
      <c r="K106" s="4"/>
      <c r="L106" s="4">
        <f>+D106-H106</f>
        <v>-1076.4099999999999</v>
      </c>
      <c r="M106" s="4"/>
      <c r="N106" s="13">
        <f>IF(H106=0,0,L106/H106)</f>
        <v>-0.24702693771141901</v>
      </c>
      <c r="O106" s="11"/>
      <c r="P106" s="4">
        <v>27276.23</v>
      </c>
      <c r="Q106" s="4"/>
      <c r="R106" s="13">
        <f>IF(P$12=0,0,P106/P$12)</f>
        <v>0.21369052473523745</v>
      </c>
      <c r="S106" s="4"/>
      <c r="T106" s="4">
        <v>60201.68</v>
      </c>
      <c r="U106" s="4"/>
      <c r="V106" s="13">
        <f>IF(T$12=0,0,T106/T$12)</f>
        <v>0.11842057328907701</v>
      </c>
      <c r="W106" s="4"/>
      <c r="X106" s="4">
        <f>+P106-T106</f>
        <v>-32925.449999999997</v>
      </c>
      <c r="Y106" s="4"/>
      <c r="Z106" s="13">
        <f>IF(T106=0,0,X106/T106)</f>
        <v>-0.5469191225228266</v>
      </c>
    </row>
    <row r="107" spans="1:26" x14ac:dyDescent="0.25">
      <c r="A107" s="9"/>
      <c r="B107" s="11"/>
      <c r="C107" s="11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1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ht="15.75" thickBot="1" x14ac:dyDescent="0.3">
      <c r="A108" s="11"/>
      <c r="B108" s="28" t="s">
        <v>125</v>
      </c>
      <c r="C108" s="28"/>
      <c r="D108" s="35">
        <f>+D104-D106</f>
        <v>3446.9200000000083</v>
      </c>
      <c r="E108" s="14"/>
      <c r="F108" s="36">
        <f>IF(D$12=0,0,D108/D$12)</f>
        <v>0.26625099547123415</v>
      </c>
      <c r="G108" s="14"/>
      <c r="H108" s="35">
        <f>+H104-H106</f>
        <v>51977.62</v>
      </c>
      <c r="I108" s="14"/>
      <c r="J108" s="36">
        <f>IF(H$12=0,0,H108/H$12)</f>
        <v>3.1429300487666239</v>
      </c>
      <c r="K108" s="15"/>
      <c r="L108" s="35">
        <f>D108-H108</f>
        <v>-48530.7</v>
      </c>
      <c r="M108" s="15"/>
      <c r="N108" s="36">
        <f>IF(H108=0,0,L108/H108)</f>
        <v>-0.93368453576750909</v>
      </c>
      <c r="O108" s="29"/>
      <c r="P108" s="35">
        <f>+P104-P106</f>
        <v>-110590.55</v>
      </c>
      <c r="Q108" s="14"/>
      <c r="R108" s="36">
        <f>IF(P$12=0,0,P108/P$12)</f>
        <v>-0.86640098944240151</v>
      </c>
      <c r="S108" s="14"/>
      <c r="T108" s="35">
        <f>+T104-T106</f>
        <v>613431.9099999998</v>
      </c>
      <c r="U108" s="14"/>
      <c r="V108" s="36">
        <f>IF(T$12=0,0,T108/T$12)</f>
        <v>1.2066599878278059</v>
      </c>
      <c r="W108" s="15"/>
      <c r="X108" s="35">
        <f>P108-T108</f>
        <v>-724022.45999999985</v>
      </c>
      <c r="Y108" s="15"/>
      <c r="Z108" s="36">
        <f>IF(T108=0,0,X108/T108)</f>
        <v>-1.1802817039628735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4" customFormat="1" ht="15.75" thickBot="1" x14ac:dyDescent="0.3">
      <c r="A111" s="11"/>
      <c r="B111" s="28" t="s">
        <v>293</v>
      </c>
      <c r="C111" s="28"/>
      <c r="D111" s="30">
        <f>SUM(D108:D110)</f>
        <v>3446.9200000000083</v>
      </c>
      <c r="E111" s="14"/>
      <c r="F111" s="31">
        <f>IF(D$12=0,0,D111/D$12)</f>
        <v>0.26625099547123415</v>
      </c>
      <c r="G111" s="14"/>
      <c r="H111" s="30">
        <f>SUM(H108:H110)</f>
        <v>51977.62</v>
      </c>
      <c r="I111" s="14"/>
      <c r="J111" s="31">
        <f>IF(H$12=0,0,H111/H$12)</f>
        <v>3.1429300487666239</v>
      </c>
      <c r="K111" s="15"/>
      <c r="L111" s="30">
        <f>+D111-H111</f>
        <v>-48530.7</v>
      </c>
      <c r="M111" s="15"/>
      <c r="N111" s="31">
        <f>IF(H111=0,0,L111/H111)</f>
        <v>-0.93368453576750909</v>
      </c>
      <c r="O111" s="29"/>
      <c r="P111" s="30">
        <f>SUM(P108:P110)</f>
        <v>-110590.55</v>
      </c>
      <c r="Q111" s="14"/>
      <c r="R111" s="31">
        <f>IF(P$12=0,0,P111/P$12)</f>
        <v>-0.86640098944240151</v>
      </c>
      <c r="S111" s="14"/>
      <c r="T111" s="30">
        <f>SUM(T108:T110)</f>
        <v>613431.9099999998</v>
      </c>
      <c r="U111" s="14"/>
      <c r="V111" s="31">
        <f>IF(T$12=0,0,T111/T$12)</f>
        <v>1.2066599878278059</v>
      </c>
      <c r="W111" s="15"/>
      <c r="X111" s="30">
        <f>+P111-T111</f>
        <v>-724022.45999999985</v>
      </c>
      <c r="Y111" s="15"/>
      <c r="Z111" s="31">
        <f>IF(T111=0,0,X111/T111)</f>
        <v>-1.1802817039628735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9">
        <v>44356.893285729166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2" t="s">
        <v>56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54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12946.13</v>
      </c>
      <c r="E12" s="4"/>
      <c r="F12" s="13"/>
      <c r="G12" s="4"/>
      <c r="H12" s="4">
        <f>SUM(OSRRefH13x_0)</f>
        <v>2956.15</v>
      </c>
      <c r="I12" s="4"/>
      <c r="J12" s="13"/>
      <c r="K12" s="4"/>
      <c r="L12" s="4">
        <f t="shared" ref="L12:L29" si="0">+D12-H12</f>
        <v>9989.98</v>
      </c>
      <c r="M12" s="4"/>
      <c r="N12" s="13">
        <f t="shared" ref="N12:N29" si="1">IF(H12=0,0,L12/H12)</f>
        <v>3.3793887319655629</v>
      </c>
      <c r="O12" s="11"/>
      <c r="P12" s="4">
        <f>SUM(OSRRefP13x_0)</f>
        <v>127643.60999999999</v>
      </c>
      <c r="Q12" s="4"/>
      <c r="R12" s="13"/>
      <c r="S12" s="4"/>
      <c r="T12" s="4">
        <f>SUM(OSRRefT13x_0)</f>
        <v>473158.02</v>
      </c>
      <c r="U12" s="4"/>
      <c r="V12" s="13"/>
      <c r="W12" s="4"/>
      <c r="X12" s="4">
        <f t="shared" ref="X12:X29" si="2">+P12-T12</f>
        <v>-345514.41000000003</v>
      </c>
      <c r="Y12" s="4"/>
      <c r="Z12" s="13">
        <f t="shared" ref="Z12:Z29" si="3">IF(T12=0,0,X12/T12)</f>
        <v>-0.73023048409916003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</f>
        <v>-1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</v>
      </c>
      <c r="M13" s="2"/>
      <c r="N13" s="19">
        <f t="shared" si="1"/>
        <v>0</v>
      </c>
      <c r="O13" s="10"/>
      <c r="P13" s="2">
        <f>-10.28</f>
        <v>-10.28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-10.28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--381.55</f>
        <v>381.55</v>
      </c>
      <c r="E14" s="2"/>
      <c r="F14" s="19"/>
      <c r="G14" s="2"/>
      <c r="H14" s="2">
        <f>--813.1</f>
        <v>813.1</v>
      </c>
      <c r="I14" s="2"/>
      <c r="J14" s="19"/>
      <c r="K14" s="2"/>
      <c r="L14" s="2">
        <f t="shared" si="0"/>
        <v>-431.55</v>
      </c>
      <c r="M14" s="2"/>
      <c r="N14" s="19">
        <f t="shared" si="1"/>
        <v>-0.53074652564260238</v>
      </c>
      <c r="O14" s="10"/>
      <c r="P14" s="2">
        <f>--93301.72</f>
        <v>93301.72</v>
      </c>
      <c r="Q14" s="2"/>
      <c r="R14" s="19"/>
      <c r="S14" s="2"/>
      <c r="T14" s="2">
        <f>--175020.35</f>
        <v>175020.35</v>
      </c>
      <c r="U14" s="2"/>
      <c r="V14" s="19"/>
      <c r="W14" s="2"/>
      <c r="X14" s="2">
        <f t="shared" si="2"/>
        <v>-81718.63</v>
      </c>
      <c r="Y14" s="2"/>
      <c r="Z14" s="19">
        <f t="shared" si="3"/>
        <v>-0.4669093051179477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--1225.83</f>
        <v>1225.83</v>
      </c>
      <c r="E15" s="2"/>
      <c r="F15" s="19"/>
      <c r="G15" s="2"/>
      <c r="H15" s="2">
        <f>--2076.05</f>
        <v>2076.0500000000002</v>
      </c>
      <c r="I15" s="2"/>
      <c r="J15" s="19"/>
      <c r="K15" s="2"/>
      <c r="L15" s="2">
        <f t="shared" si="0"/>
        <v>-850.22000000000025</v>
      </c>
      <c r="M15" s="2"/>
      <c r="N15" s="19">
        <f t="shared" si="1"/>
        <v>-0.40953734254955332</v>
      </c>
      <c r="O15" s="10"/>
      <c r="P15" s="2">
        <f>--18325.67</f>
        <v>18325.669999999998</v>
      </c>
      <c r="Q15" s="2"/>
      <c r="R15" s="19"/>
      <c r="S15" s="2"/>
      <c r="T15" s="2">
        <f>--76522.66</f>
        <v>76522.66</v>
      </c>
      <c r="U15" s="2"/>
      <c r="V15" s="19"/>
      <c r="W15" s="2"/>
      <c r="X15" s="2">
        <f t="shared" si="2"/>
        <v>-58196.990000000005</v>
      </c>
      <c r="Y15" s="2"/>
      <c r="Z15" s="19">
        <f t="shared" si="3"/>
        <v>-0.76051969442776823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--9.47</f>
        <v>9.4700000000000006</v>
      </c>
      <c r="E16" s="2"/>
      <c r="F16" s="19"/>
      <c r="G16" s="2"/>
      <c r="H16" s="2">
        <f t="shared" ref="H16:H19" si="4">0</f>
        <v>0</v>
      </c>
      <c r="I16" s="2"/>
      <c r="J16" s="19"/>
      <c r="K16" s="2"/>
      <c r="L16" s="2">
        <f t="shared" si="0"/>
        <v>9.4700000000000006</v>
      </c>
      <c r="M16" s="2"/>
      <c r="N16" s="19">
        <f t="shared" si="1"/>
        <v>0</v>
      </c>
      <c r="O16" s="10"/>
      <c r="P16" s="2">
        <f>--62.15</f>
        <v>62.15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-859.57</v>
      </c>
      <c r="Y16" s="2"/>
      <c r="Z16" s="19">
        <f t="shared" si="3"/>
        <v>-0.93257171375254966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"4095", " - ", "TAXABLE SALES-CUSTOMER SERVICE")</f>
        <v xml:space="preserve">          4095 - TAXABLE SALES-CUSTOMER SERVICE</v>
      </c>
      <c r="C19" s="10"/>
      <c r="D19" s="2">
        <f>--10891.24</f>
        <v>10891.24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10891.24</v>
      </c>
      <c r="M19" s="2"/>
      <c r="N19" s="19">
        <f t="shared" si="1"/>
        <v>0</v>
      </c>
      <c r="O19" s="10"/>
      <c r="P19" s="2">
        <f>--13925.83</f>
        <v>13925.83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13925.83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"4141", " - ", "NON-TAXABLE SALES-LOGO GIFTS")</f>
        <v xml:space="preserve">          4141 - NON-TAXABLE SALES-LOGO GIFTS</v>
      </c>
      <c r="C20" s="10"/>
      <c r="D20" s="2">
        <f>--476.8</f>
        <v>476.8</v>
      </c>
      <c r="E20" s="2"/>
      <c r="F20" s="19"/>
      <c r="G20" s="2"/>
      <c r="H20" s="2">
        <f>--57</f>
        <v>57</v>
      </c>
      <c r="I20" s="2"/>
      <c r="J20" s="19"/>
      <c r="K20" s="2"/>
      <c r="L20" s="2">
        <f t="shared" si="0"/>
        <v>419.8</v>
      </c>
      <c r="M20" s="2"/>
      <c r="N20" s="19">
        <f t="shared" si="1"/>
        <v>7.3649122807017546</v>
      </c>
      <c r="O20" s="10"/>
      <c r="P20" s="2">
        <f>--1756.04</f>
        <v>1756.04</v>
      </c>
      <c r="Q20" s="2"/>
      <c r="R20" s="19"/>
      <c r="S20" s="2"/>
      <c r="T20" s="2">
        <f>--921.6</f>
        <v>921.6</v>
      </c>
      <c r="U20" s="2"/>
      <c r="V20" s="19"/>
      <c r="W20" s="2"/>
      <c r="X20" s="2">
        <f t="shared" si="2"/>
        <v>834.43999999999994</v>
      </c>
      <c r="Y20" s="2"/>
      <c r="Z20" s="19">
        <f t="shared" si="3"/>
        <v>0.90542534722222212</v>
      </c>
    </row>
    <row r="21" spans="1:26" s="23" customFormat="1" hidden="1" outlineLevel="1" x14ac:dyDescent="0.25">
      <c r="A21" s="44"/>
      <c r="B21" s="10" t="str">
        <f>CONCATENATE("          ", "4142", " - ", "NON-TAXABLE SALES-EVERYDAY GIF")</f>
        <v xml:space="preserve">          4142 - NON-TAXABLE SALES-EVERYDAY GIF</v>
      </c>
      <c r="C21" s="10"/>
      <c r="D21" s="2">
        <f>--4.39</f>
        <v>4.3899999999999997</v>
      </c>
      <c r="E21" s="2"/>
      <c r="F21" s="19"/>
      <c r="G21" s="2"/>
      <c r="H21" s="2">
        <f t="shared" ref="H21:H22" si="7">0</f>
        <v>0</v>
      </c>
      <c r="I21" s="2"/>
      <c r="J21" s="19"/>
      <c r="K21" s="2"/>
      <c r="L21" s="2">
        <f t="shared" si="0"/>
        <v>4.3899999999999997</v>
      </c>
      <c r="M21" s="2"/>
      <c r="N21" s="19">
        <f t="shared" si="1"/>
        <v>0</v>
      </c>
      <c r="O21" s="10"/>
      <c r="P21" s="2">
        <f>--1137.08</f>
        <v>1137.08</v>
      </c>
      <c r="Q21" s="2"/>
      <c r="R21" s="19"/>
      <c r="S21" s="2"/>
      <c r="T21" s="2">
        <f>--8924.02</f>
        <v>8924.02</v>
      </c>
      <c r="U21" s="2"/>
      <c r="V21" s="19"/>
      <c r="W21" s="2"/>
      <c r="X21" s="2">
        <f t="shared" si="2"/>
        <v>-7786.9400000000005</v>
      </c>
      <c r="Y21" s="2"/>
      <c r="Z21" s="19">
        <f t="shared" si="3"/>
        <v>-0.87258208744489596</v>
      </c>
    </row>
    <row r="22" spans="1:26" s="23" customFormat="1" hidden="1" outlineLevel="1" x14ac:dyDescent="0.25">
      <c r="A22" s="44"/>
      <c r="B22" s="10" t="str">
        <f>CONCATENATE("          ", "4146", " - ", "NON-TAXABLE SALES-COIN OP MACH")</f>
        <v xml:space="preserve">          4146 - NON-TAXABLE SALES-COIN OP MACH</v>
      </c>
      <c r="C22" s="10"/>
      <c r="D22" s="2">
        <f>--56.6</f>
        <v>56.6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56.6</v>
      </c>
      <c r="M22" s="2"/>
      <c r="N22" s="19">
        <f t="shared" si="1"/>
        <v>0</v>
      </c>
      <c r="O22" s="10"/>
      <c r="P22" s="2">
        <f>--385.9</f>
        <v>385.9</v>
      </c>
      <c r="Q22" s="2"/>
      <c r="R22" s="19"/>
      <c r="S22" s="2"/>
      <c r="T22" s="2">
        <f>--205908.65</f>
        <v>205908.65</v>
      </c>
      <c r="U22" s="2"/>
      <c r="V22" s="19"/>
      <c r="W22" s="2"/>
      <c r="X22" s="2">
        <f t="shared" si="2"/>
        <v>-205522.75</v>
      </c>
      <c r="Y22" s="2"/>
      <c r="Z22" s="19">
        <f t="shared" si="3"/>
        <v>-0.99812586795163782</v>
      </c>
    </row>
    <row r="23" spans="1:26" s="23" customFormat="1" hidden="1" outlineLevel="1" x14ac:dyDescent="0.25">
      <c r="A23" s="44"/>
      <c r="B23" s="10" t="str">
        <f>CONCATENATE("          ", "4147", " - ", "NON-TAXABLE SALES-MISC")</f>
        <v xml:space="preserve">          4147 - NON-TAXABLE SALES-MISC</v>
      </c>
      <c r="C23" s="10"/>
      <c r="D23" s="2">
        <f>--13.5</f>
        <v>13.5</v>
      </c>
      <c r="E23" s="2"/>
      <c r="F23" s="19"/>
      <c r="G23" s="2"/>
      <c r="H23" s="2">
        <f>--10</f>
        <v>10</v>
      </c>
      <c r="I23" s="2"/>
      <c r="J23" s="19"/>
      <c r="K23" s="2"/>
      <c r="L23" s="2">
        <f t="shared" si="0"/>
        <v>3.5</v>
      </c>
      <c r="M23" s="2"/>
      <c r="N23" s="19">
        <f t="shared" si="1"/>
        <v>0.35</v>
      </c>
      <c r="O23" s="10"/>
      <c r="P23" s="2">
        <f>--168</f>
        <v>168</v>
      </c>
      <c r="Q23" s="2"/>
      <c r="R23" s="19"/>
      <c r="S23" s="2"/>
      <c r="T23" s="2">
        <f>--3446.37</f>
        <v>3446.37</v>
      </c>
      <c r="U23" s="2"/>
      <c r="V23" s="19"/>
      <c r="W23" s="2"/>
      <c r="X23" s="2">
        <f t="shared" si="2"/>
        <v>-3278.37</v>
      </c>
      <c r="Y23" s="2"/>
      <c r="Z23" s="19">
        <f t="shared" si="3"/>
        <v>-0.95125305756491618</v>
      </c>
    </row>
    <row r="24" spans="1:26" s="23" customFormat="1" hidden="1" outlineLevel="1" x14ac:dyDescent="0.25">
      <c r="A24" s="44"/>
      <c r="B24" s="10" t="str">
        <f>CONCATENATE("          ", "4241", " - ", "SALES RETURN TAXABLE-LOGO GIFT")</f>
        <v xml:space="preserve">          4241 - SALES RETURN TAXABLE-LOGO GIFT</v>
      </c>
      <c r="C24" s="10"/>
      <c r="D24" s="2">
        <f>-7.95</f>
        <v>-7.95</v>
      </c>
      <c r="E24" s="2"/>
      <c r="F24" s="19"/>
      <c r="G24" s="2"/>
      <c r="H24" s="2">
        <f t="shared" ref="H24:H29" si="8">0</f>
        <v>0</v>
      </c>
      <c r="I24" s="2"/>
      <c r="J24" s="19"/>
      <c r="K24" s="2"/>
      <c r="L24" s="2">
        <f t="shared" si="0"/>
        <v>-7.95</v>
      </c>
      <c r="M24" s="2"/>
      <c r="N24" s="19">
        <f t="shared" si="1"/>
        <v>0</v>
      </c>
      <c r="O24" s="10"/>
      <c r="P24" s="2">
        <f>-1293</f>
        <v>-1293</v>
      </c>
      <c r="Q24" s="2"/>
      <c r="R24" s="19"/>
      <c r="S24" s="2"/>
      <c r="T24" s="2">
        <f>-1059.4</f>
        <v>-1059.4000000000001</v>
      </c>
      <c r="U24" s="2"/>
      <c r="V24" s="19"/>
      <c r="W24" s="2"/>
      <c r="X24" s="2">
        <f t="shared" si="2"/>
        <v>-233.59999999999991</v>
      </c>
      <c r="Y24" s="2"/>
      <c r="Z24" s="19">
        <f t="shared" si="3"/>
        <v>0.22050217104021133</v>
      </c>
    </row>
    <row r="25" spans="1:26" s="23" customFormat="1" hidden="1" outlineLevel="1" x14ac:dyDescent="0.25">
      <c r="A25" s="44"/>
      <c r="B25" s="10" t="str">
        <f>CONCATENATE("          ", "4242", " - ", "SALES RETURN TAXABLE-EVERYDAY")</f>
        <v xml:space="preserve">          4242 - SALES RETURN TAXABLE-EVERYDAY</v>
      </c>
      <c r="C25" s="10"/>
      <c r="D25" s="2">
        <f>0</f>
        <v>0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0</f>
        <v>0</v>
      </c>
      <c r="Q25" s="2"/>
      <c r="R25" s="19"/>
      <c r="S25" s="2"/>
      <c r="T25" s="2">
        <f>-227.7</f>
        <v>-227.7</v>
      </c>
      <c r="U25" s="2"/>
      <c r="V25" s="19"/>
      <c r="W25" s="2"/>
      <c r="X25" s="2">
        <f t="shared" si="2"/>
        <v>227.7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"4341", " - ", "SALES RETURN NON TAXABLE-LOGO")</f>
        <v xml:space="preserve">          4341 - SALES RETURN NON TAXABLE-LOGO</v>
      </c>
      <c r="C26" s="10"/>
      <c r="D26" s="2">
        <f>-104.3</f>
        <v>-104.3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-104.3</v>
      </c>
      <c r="M26" s="2"/>
      <c r="N26" s="19">
        <f t="shared" si="1"/>
        <v>0</v>
      </c>
      <c r="O26" s="10"/>
      <c r="P26" s="2">
        <f>-115.5</f>
        <v>-115.5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-115.5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"4342", " - ", "SALES RETURN NON TAXABLE-EVERY")</f>
        <v xml:space="preserve">          4342 - SALES RETURN NON TAXABLE-EVERY</v>
      </c>
      <c r="C27" s="10"/>
      <c r="D27" s="2">
        <f t="shared" ref="D27:D29" si="9">0</f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9" si="10">0</f>
        <v>0</v>
      </c>
      <c r="Q27" s="2"/>
      <c r="R27" s="19"/>
      <c r="S27" s="2"/>
      <c r="T27" s="2">
        <f>-39.42</f>
        <v>-39.42</v>
      </c>
      <c r="U27" s="2"/>
      <c r="V27" s="19"/>
      <c r="W27" s="2"/>
      <c r="X27" s="2">
        <f t="shared" si="2"/>
        <v>39.42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"4346", " - ", "SALES RETURN NON TAXABLE-COIN-")</f>
        <v xml:space="preserve">          4346 - SALES RETURN NON TAXABLE-COIN-</v>
      </c>
      <c r="C28" s="10"/>
      <c r="D28" s="2">
        <f t="shared" si="9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10"/>
        <v>0</v>
      </c>
      <c r="Q28" s="2"/>
      <c r="R28" s="19"/>
      <c r="S28" s="2"/>
      <c r="T28" s="2">
        <f>-8.15</f>
        <v>-8.15</v>
      </c>
      <c r="U28" s="2"/>
      <c r="V28" s="19"/>
      <c r="W28" s="2"/>
      <c r="X28" s="2">
        <f t="shared" si="2"/>
        <v>8.15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"4347", " - ", "SALES RETURN NON TAXABLE-MISC")</f>
        <v xml:space="preserve">          4347 - SALES RETURN NON TAXABLE-MISC</v>
      </c>
      <c r="C29" s="10"/>
      <c r="D29" s="2">
        <f t="shared" si="9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10"/>
        <v>0</v>
      </c>
      <c r="Q29" s="2"/>
      <c r="R29" s="19"/>
      <c r="S29" s="2"/>
      <c r="T29" s="2">
        <f>-84</f>
        <v>-84</v>
      </c>
      <c r="U29" s="2"/>
      <c r="V29" s="19"/>
      <c r="W29" s="2"/>
      <c r="X29" s="2">
        <f t="shared" si="2"/>
        <v>84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9" t="s">
        <v>256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8" t="s">
        <v>107</v>
      </c>
      <c r="C33" s="28"/>
      <c r="D33" s="20">
        <f>D12-D31</f>
        <v>12946.13</v>
      </c>
      <c r="E33" s="14"/>
      <c r="F33" s="21">
        <f>IF(D$12=0,0,D33/D$12)</f>
        <v>1</v>
      </c>
      <c r="G33" s="14"/>
      <c r="H33" s="20">
        <f>H12-H31</f>
        <v>2956.15</v>
      </c>
      <c r="I33" s="14"/>
      <c r="J33" s="21">
        <f>IF(H$12=0,0,H33/H$12)</f>
        <v>1</v>
      </c>
      <c r="K33" s="15"/>
      <c r="L33" s="20">
        <f>+D33-H33</f>
        <v>9989.98</v>
      </c>
      <c r="M33" s="15"/>
      <c r="N33" s="21">
        <f>IF(H33=0,0,L33/H33)</f>
        <v>3.3793887319655629</v>
      </c>
      <c r="O33" s="29"/>
      <c r="P33" s="20">
        <f>P12-P31</f>
        <v>127643.60999999999</v>
      </c>
      <c r="Q33" s="14"/>
      <c r="R33" s="21">
        <f>IF(P$12=0,0,P33/P$12)</f>
        <v>1</v>
      </c>
      <c r="S33" s="14"/>
      <c r="T33" s="20">
        <f>T12-T31</f>
        <v>473158.02</v>
      </c>
      <c r="U33" s="14"/>
      <c r="V33" s="21">
        <f>IF(T$12=0,0,T33/T$12)</f>
        <v>1</v>
      </c>
      <c r="W33" s="15"/>
      <c r="X33" s="20">
        <f>+P33-T33</f>
        <v>-345514.41000000003</v>
      </c>
      <c r="Y33" s="15"/>
      <c r="Z33" s="21">
        <f>IF(T33=0,0,X33/T33)</f>
        <v>-0.73023048409916003</v>
      </c>
    </row>
    <row r="34" spans="1:26" x14ac:dyDescent="0.25">
      <c r="A34" s="9"/>
      <c r="B34" s="11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4" customFormat="1" x14ac:dyDescent="0.25">
      <c r="A35" s="11"/>
      <c r="B35" s="29" t="s">
        <v>294</v>
      </c>
      <c r="C35" s="11"/>
      <c r="D35" s="22">
        <f>SUM(OSRRefD22x_0)</f>
        <v>13000.159999999991</v>
      </c>
      <c r="E35" s="22"/>
      <c r="F35" s="32">
        <f t="shared" ref="F35:F44" si="11">IF(D$12=0,0,D35/D$12)</f>
        <v>1.0041734479724822</v>
      </c>
      <c r="G35" s="22"/>
      <c r="H35" s="22">
        <f>SUM(OSRRefH22x_0)</f>
        <v>17623.939999999999</v>
      </c>
      <c r="I35" s="22"/>
      <c r="J35" s="32">
        <f t="shared" ref="J35:J44" si="12">IF(H$12=0,0,H35/H$12)</f>
        <v>5.9617881365965859</v>
      </c>
      <c r="K35" s="4"/>
      <c r="L35" s="22">
        <f t="shared" ref="L35:L44" si="13">+D35-H35</f>
        <v>-4623.7800000000079</v>
      </c>
      <c r="M35" s="4"/>
      <c r="N35" s="32">
        <f t="shared" ref="N35:N44" si="14">IF(H35=0,0,L35/H35)</f>
        <v>-0.26235790634784323</v>
      </c>
      <c r="O35" s="11"/>
      <c r="P35" s="22">
        <f>SUM(OSRRefP22x_0)</f>
        <v>285559.93</v>
      </c>
      <c r="Q35" s="22"/>
      <c r="R35" s="32">
        <f t="shared" ref="R35:R44" si="15">IF(P$12=0,0,P35/P$12)</f>
        <v>2.2371658871133464</v>
      </c>
      <c r="S35" s="22"/>
      <c r="T35" s="22">
        <f>SUM(OSRRefT22x_0)</f>
        <v>471764.14000000007</v>
      </c>
      <c r="U35" s="22"/>
      <c r="V35" s="32">
        <f t="shared" ref="V35:V44" si="16">IF(T$12=0,0,T35/T$12)</f>
        <v>0.99705409199235395</v>
      </c>
      <c r="W35" s="4"/>
      <c r="X35" s="22">
        <f t="shared" ref="X35:X44" si="17">+P35-T35</f>
        <v>-186204.21000000008</v>
      </c>
      <c r="Y35" s="4"/>
      <c r="Z35" s="32">
        <f t="shared" ref="Z35:Z44" si="18">IF(T35=0,0,X35/T35)</f>
        <v>-0.3946976766822507</v>
      </c>
    </row>
    <row r="36" spans="1:26" s="26" customFormat="1" outlineLevel="1" collapsed="1" x14ac:dyDescent="0.25">
      <c r="A36" s="25"/>
      <c r="B36" s="12" t="str">
        <f>CONCATENATE("     ","*Benefits                                         ")</f>
        <v xml:space="preserve">     *Benefits                                         </v>
      </c>
      <c r="C36" s="12"/>
      <c r="D36" s="1">
        <f>SUM(OSRRefD22_0x_0)</f>
        <v>9093.39</v>
      </c>
      <c r="E36" s="1"/>
      <c r="F36" s="5">
        <f t="shared" si="11"/>
        <v>0.70240218505452978</v>
      </c>
      <c r="G36" s="1"/>
      <c r="H36" s="1">
        <f>SUM(OSRRefH22_0x_0)</f>
        <v>6736.43</v>
      </c>
      <c r="I36" s="1"/>
      <c r="J36" s="5">
        <f t="shared" si="12"/>
        <v>2.2787849060433336</v>
      </c>
      <c r="K36" s="1"/>
      <c r="L36" s="1">
        <f t="shared" si="13"/>
        <v>2356.9599999999991</v>
      </c>
      <c r="M36" s="1"/>
      <c r="N36" s="5">
        <f t="shared" si="14"/>
        <v>0.34988265297791249</v>
      </c>
      <c r="O36" s="12"/>
      <c r="P36" s="1">
        <f>SUM(OSRRefP22_0x_0)</f>
        <v>103991.72000000002</v>
      </c>
      <c r="Q36" s="1"/>
      <c r="R36" s="5">
        <f t="shared" si="15"/>
        <v>0.81470368943654936</v>
      </c>
      <c r="S36" s="1"/>
      <c r="T36" s="1">
        <f>SUM(OSRRefT22_0x_0)</f>
        <v>88967.040000000008</v>
      </c>
      <c r="U36" s="1"/>
      <c r="V36" s="5">
        <f t="shared" si="16"/>
        <v>0.18802817714048259</v>
      </c>
      <c r="W36" s="1"/>
      <c r="X36" s="1">
        <f t="shared" si="17"/>
        <v>15024.680000000008</v>
      </c>
      <c r="Y36" s="1"/>
      <c r="Z36" s="5">
        <f t="shared" si="18"/>
        <v>0.16887917143247663</v>
      </c>
    </row>
    <row r="37" spans="1:26" s="23" customFormat="1" hidden="1" outlineLevel="2" x14ac:dyDescent="0.25">
      <c r="A37" s="27"/>
      <c r="B37" s="10" t="str">
        <f>CONCATENATE("          ", "6111", " - ", "F.I.C.A.")</f>
        <v xml:space="preserve">          6111 - F.I.C.A.</v>
      </c>
      <c r="C37" s="10"/>
      <c r="D37" s="6">
        <v>1240.76</v>
      </c>
      <c r="E37" s="2"/>
      <c r="F37" s="7">
        <f t="shared" si="11"/>
        <v>9.584022406696055E-2</v>
      </c>
      <c r="G37" s="2"/>
      <c r="H37" s="6">
        <v>870.7</v>
      </c>
      <c r="I37" s="2"/>
      <c r="J37" s="7">
        <f t="shared" si="12"/>
        <v>0.29453850447372426</v>
      </c>
      <c r="K37" s="2"/>
      <c r="L37" s="6">
        <f t="shared" si="13"/>
        <v>370.05999999999995</v>
      </c>
      <c r="M37" s="2"/>
      <c r="N37" s="7">
        <f t="shared" si="14"/>
        <v>0.425014356265074</v>
      </c>
      <c r="O37" s="10"/>
      <c r="P37" s="6">
        <v>14531.78</v>
      </c>
      <c r="Q37" s="2"/>
      <c r="R37" s="7">
        <f t="shared" si="15"/>
        <v>0.11384651374244274</v>
      </c>
      <c r="S37" s="2"/>
      <c r="T37" s="6">
        <v>13814.22</v>
      </c>
      <c r="U37" s="2"/>
      <c r="V37" s="7">
        <f t="shared" si="16"/>
        <v>2.9195785374196974E-2</v>
      </c>
      <c r="W37" s="2"/>
      <c r="X37" s="6">
        <f t="shared" si="17"/>
        <v>717.56000000000131</v>
      </c>
      <c r="Y37" s="2"/>
      <c r="Z37" s="7">
        <f t="shared" si="18"/>
        <v>5.1943576980821311E-2</v>
      </c>
    </row>
    <row r="38" spans="1:26" s="23" customFormat="1" hidden="1" outlineLevel="2" x14ac:dyDescent="0.25">
      <c r="A38" s="27"/>
      <c r="B38" s="10" t="str">
        <f>CONCATENATE("          ", "6112", " - ", "COMPENSATION INSURANCE")</f>
        <v xml:space="preserve">          6112 - COMPENSATION INSURANCE</v>
      </c>
      <c r="C38" s="10"/>
      <c r="D38" s="6">
        <v>475.52</v>
      </c>
      <c r="E38" s="2"/>
      <c r="F38" s="7">
        <f t="shared" si="11"/>
        <v>3.6730667774848548E-2</v>
      </c>
      <c r="G38" s="2"/>
      <c r="H38" s="6">
        <v>324.37</v>
      </c>
      <c r="I38" s="2"/>
      <c r="J38" s="7">
        <f t="shared" si="12"/>
        <v>0.1097271789320569</v>
      </c>
      <c r="K38" s="2"/>
      <c r="L38" s="6">
        <f t="shared" si="13"/>
        <v>151.14999999999998</v>
      </c>
      <c r="M38" s="2"/>
      <c r="N38" s="7">
        <f t="shared" si="14"/>
        <v>0.46598020778740318</v>
      </c>
      <c r="O38" s="10"/>
      <c r="P38" s="6">
        <v>3812.67</v>
      </c>
      <c r="Q38" s="2"/>
      <c r="R38" s="7">
        <f t="shared" si="15"/>
        <v>2.9869650349124414E-2</v>
      </c>
      <c r="S38" s="2"/>
      <c r="T38" s="6">
        <v>2418.8000000000002</v>
      </c>
      <c r="U38" s="2"/>
      <c r="V38" s="7">
        <f t="shared" si="16"/>
        <v>5.1120342417528926E-3</v>
      </c>
      <c r="W38" s="2"/>
      <c r="X38" s="6">
        <f t="shared" si="17"/>
        <v>1393.87</v>
      </c>
      <c r="Y38" s="2"/>
      <c r="Z38" s="7">
        <f t="shared" si="18"/>
        <v>0.57626509012733573</v>
      </c>
    </row>
    <row r="39" spans="1:26" s="23" customFormat="1" hidden="1" outlineLevel="2" x14ac:dyDescent="0.25">
      <c r="A39" s="27"/>
      <c r="B39" s="10" t="str">
        <f>CONCATENATE("          ", "6113", " - ", "GROUP INSURANCE")</f>
        <v xml:space="preserve">          6113 - GROUP INSURANCE</v>
      </c>
      <c r="C39" s="10"/>
      <c r="D39" s="6">
        <v>3421.48</v>
      </c>
      <c r="E39" s="2"/>
      <c r="F39" s="7">
        <f t="shared" si="11"/>
        <v>0.26428592946309054</v>
      </c>
      <c r="G39" s="2"/>
      <c r="H39" s="6">
        <v>2724.48</v>
      </c>
      <c r="I39" s="2"/>
      <c r="J39" s="7">
        <f t="shared" si="12"/>
        <v>0.92163117568458974</v>
      </c>
      <c r="K39" s="2"/>
      <c r="L39" s="6">
        <f t="shared" si="13"/>
        <v>697</v>
      </c>
      <c r="M39" s="2"/>
      <c r="N39" s="7">
        <f t="shared" si="14"/>
        <v>0.25582863518910032</v>
      </c>
      <c r="O39" s="10"/>
      <c r="P39" s="6">
        <v>39478.730000000003</v>
      </c>
      <c r="Q39" s="2"/>
      <c r="R39" s="7">
        <f t="shared" si="15"/>
        <v>0.30928872976876798</v>
      </c>
      <c r="S39" s="2"/>
      <c r="T39" s="6">
        <v>32486.49</v>
      </c>
      <c r="U39" s="2"/>
      <c r="V39" s="7">
        <f t="shared" si="16"/>
        <v>6.8658859465174027E-2</v>
      </c>
      <c r="W39" s="2"/>
      <c r="X39" s="6">
        <f t="shared" si="17"/>
        <v>6992.2400000000016</v>
      </c>
      <c r="Y39" s="2"/>
      <c r="Z39" s="7">
        <f t="shared" si="18"/>
        <v>0.21523531781980759</v>
      </c>
    </row>
    <row r="40" spans="1:26" s="23" customFormat="1" hidden="1" outlineLevel="2" x14ac:dyDescent="0.25">
      <c r="A40" s="27"/>
      <c r="B40" s="10" t="str">
        <f>CONCATENATE("          ", "6114", " - ", "STATE UNEMPLOYMENT INSURANCE")</f>
        <v xml:space="preserve">          6114 - STATE UNEMPLOYMENT INSURANCE</v>
      </c>
      <c r="C40" s="10"/>
      <c r="D40" s="6">
        <v>66.83</v>
      </c>
      <c r="E40" s="2"/>
      <c r="F40" s="7">
        <f t="shared" si="11"/>
        <v>5.1621604294101791E-3</v>
      </c>
      <c r="G40" s="2"/>
      <c r="H40" s="6">
        <v>44.39</v>
      </c>
      <c r="I40" s="2"/>
      <c r="J40" s="7">
        <f t="shared" si="12"/>
        <v>1.5016152766266935E-2</v>
      </c>
      <c r="K40" s="2"/>
      <c r="L40" s="6">
        <f t="shared" si="13"/>
        <v>22.439999999999998</v>
      </c>
      <c r="M40" s="2"/>
      <c r="N40" s="7">
        <f t="shared" si="14"/>
        <v>0.50551926109484113</v>
      </c>
      <c r="O40" s="10"/>
      <c r="P40" s="6">
        <v>535.82000000000005</v>
      </c>
      <c r="Q40" s="2"/>
      <c r="R40" s="7">
        <f t="shared" si="15"/>
        <v>4.1977816202471872E-3</v>
      </c>
      <c r="S40" s="2"/>
      <c r="T40" s="6">
        <v>523.47</v>
      </c>
      <c r="U40" s="2"/>
      <c r="V40" s="7">
        <f t="shared" si="16"/>
        <v>1.1063322988797697E-3</v>
      </c>
      <c r="W40" s="2"/>
      <c r="X40" s="6">
        <f t="shared" si="17"/>
        <v>12.350000000000023</v>
      </c>
      <c r="Y40" s="2"/>
      <c r="Z40" s="7">
        <f t="shared" si="18"/>
        <v>2.3592564998949361E-2</v>
      </c>
    </row>
    <row r="41" spans="1:26" s="23" customFormat="1" hidden="1" outlineLevel="2" x14ac:dyDescent="0.25">
      <c r="A41" s="27"/>
      <c r="B41" s="10" t="str">
        <f>CONCATENATE("          ", "6115", " - ", "P.E.R.S.")</f>
        <v xml:space="preserve">          6115 - P.E.R.S.</v>
      </c>
      <c r="C41" s="10"/>
      <c r="D41" s="6">
        <v>1614.41</v>
      </c>
      <c r="E41" s="2"/>
      <c r="F41" s="7">
        <f t="shared" si="11"/>
        <v>0.1247021310615605</v>
      </c>
      <c r="G41" s="2"/>
      <c r="H41" s="6">
        <v>1166.77</v>
      </c>
      <c r="I41" s="2"/>
      <c r="J41" s="7">
        <f t="shared" si="12"/>
        <v>0.39469242088527307</v>
      </c>
      <c r="K41" s="2"/>
      <c r="L41" s="6">
        <f t="shared" si="13"/>
        <v>447.6400000000001</v>
      </c>
      <c r="M41" s="2"/>
      <c r="N41" s="7">
        <f t="shared" si="14"/>
        <v>0.383657447483223</v>
      </c>
      <c r="O41" s="10"/>
      <c r="P41" s="6">
        <v>18925.89</v>
      </c>
      <c r="Q41" s="2"/>
      <c r="R41" s="7">
        <f t="shared" si="15"/>
        <v>0.14827134707330827</v>
      </c>
      <c r="S41" s="2"/>
      <c r="T41" s="6">
        <v>14252.53</v>
      </c>
      <c r="U41" s="2"/>
      <c r="V41" s="7">
        <f t="shared" si="16"/>
        <v>3.0122135518277804E-2</v>
      </c>
      <c r="W41" s="2"/>
      <c r="X41" s="6">
        <f t="shared" si="17"/>
        <v>4673.3599999999988</v>
      </c>
      <c r="Y41" s="2"/>
      <c r="Z41" s="7">
        <f t="shared" si="18"/>
        <v>0.32789687164313974</v>
      </c>
    </row>
    <row r="42" spans="1:26" s="23" customFormat="1" hidden="1" outlineLevel="2" x14ac:dyDescent="0.25">
      <c r="A42" s="27"/>
      <c r="B42" s="10" t="str">
        <f>CONCATENATE("          ", "6118", " - ", "VACATION")</f>
        <v xml:space="preserve">          6118 - VACATION</v>
      </c>
      <c r="C42" s="10"/>
      <c r="D42" s="6">
        <v>1095.78</v>
      </c>
      <c r="E42" s="2"/>
      <c r="F42" s="7">
        <f t="shared" si="11"/>
        <v>8.4641510629045125E-2</v>
      </c>
      <c r="G42" s="2"/>
      <c r="H42" s="6">
        <v>1039.18</v>
      </c>
      <c r="I42" s="2"/>
      <c r="J42" s="7">
        <f t="shared" si="12"/>
        <v>0.35153155286436749</v>
      </c>
      <c r="K42" s="2"/>
      <c r="L42" s="6">
        <f t="shared" si="13"/>
        <v>56.599999999999909</v>
      </c>
      <c r="M42" s="2"/>
      <c r="N42" s="7">
        <f t="shared" si="14"/>
        <v>5.4466021286013883E-2</v>
      </c>
      <c r="O42" s="10"/>
      <c r="P42" s="6">
        <v>14235.66</v>
      </c>
      <c r="Q42" s="2"/>
      <c r="R42" s="7">
        <f t="shared" si="15"/>
        <v>0.11152661696108408</v>
      </c>
      <c r="S42" s="2"/>
      <c r="T42" s="6">
        <v>14382.28</v>
      </c>
      <c r="U42" s="2"/>
      <c r="V42" s="7">
        <f t="shared" si="16"/>
        <v>3.0396356802744249E-2</v>
      </c>
      <c r="W42" s="2"/>
      <c r="X42" s="6">
        <f t="shared" si="17"/>
        <v>-146.6200000000008</v>
      </c>
      <c r="Y42" s="2"/>
      <c r="Z42" s="7">
        <f t="shared" si="18"/>
        <v>-1.0194489329925491E-2</v>
      </c>
    </row>
    <row r="43" spans="1:26" s="23" customFormat="1" hidden="1" outlineLevel="2" x14ac:dyDescent="0.25">
      <c r="A43" s="27"/>
      <c r="B43" s="10" t="str">
        <f>CONCATENATE("          ", "6119", " - ", "SICK LEAVE")</f>
        <v xml:space="preserve">          6119 - SICK LEAVE</v>
      </c>
      <c r="C43" s="10"/>
      <c r="D43" s="6">
        <v>738.5</v>
      </c>
      <c r="E43" s="2"/>
      <c r="F43" s="7">
        <f t="shared" si="11"/>
        <v>5.7044074175062361E-2</v>
      </c>
      <c r="G43" s="2"/>
      <c r="H43" s="6">
        <v>526.54</v>
      </c>
      <c r="I43" s="2"/>
      <c r="J43" s="7">
        <f t="shared" si="12"/>
        <v>0.17811680733386329</v>
      </c>
      <c r="K43" s="2"/>
      <c r="L43" s="6">
        <f t="shared" si="13"/>
        <v>211.96000000000004</v>
      </c>
      <c r="M43" s="2"/>
      <c r="N43" s="7">
        <f t="shared" si="14"/>
        <v>0.40255251262961989</v>
      </c>
      <c r="O43" s="10"/>
      <c r="P43" s="6">
        <v>8756.02</v>
      </c>
      <c r="Q43" s="2"/>
      <c r="R43" s="7">
        <f t="shared" si="15"/>
        <v>6.8597401781413117E-2</v>
      </c>
      <c r="S43" s="2"/>
      <c r="T43" s="6">
        <v>8606.74</v>
      </c>
      <c r="U43" s="2"/>
      <c r="V43" s="7">
        <f t="shared" si="16"/>
        <v>1.8189990735019135E-2</v>
      </c>
      <c r="W43" s="2"/>
      <c r="X43" s="6">
        <f t="shared" si="17"/>
        <v>149.28000000000065</v>
      </c>
      <c r="Y43" s="2"/>
      <c r="Z43" s="7">
        <f t="shared" si="18"/>
        <v>1.7344546250961532E-2</v>
      </c>
    </row>
    <row r="44" spans="1:26" s="23" customFormat="1" hidden="1" outlineLevel="2" x14ac:dyDescent="0.25">
      <c r="A44" s="27"/>
      <c r="B44" s="10" t="str">
        <f>CONCATENATE("          ", "6156", " - ", "EMPLOYEE MEALS")</f>
        <v xml:space="preserve">          6156 - EMPLOYEE MEALS</v>
      </c>
      <c r="C44" s="10"/>
      <c r="D44" s="6">
        <v>440.11</v>
      </c>
      <c r="E44" s="2"/>
      <c r="F44" s="7">
        <f t="shared" si="11"/>
        <v>3.3995487454552061E-2</v>
      </c>
      <c r="G44" s="2"/>
      <c r="H44" s="6">
        <v>40</v>
      </c>
      <c r="I44" s="2"/>
      <c r="J44" s="7">
        <f t="shared" si="12"/>
        <v>1.3531113103191651E-2</v>
      </c>
      <c r="K44" s="2"/>
      <c r="L44" s="6">
        <f t="shared" si="13"/>
        <v>400.11</v>
      </c>
      <c r="M44" s="2"/>
      <c r="N44" s="7">
        <f t="shared" si="14"/>
        <v>10.002750000000001</v>
      </c>
      <c r="O44" s="10"/>
      <c r="P44" s="6">
        <v>3715.15</v>
      </c>
      <c r="Q44" s="2"/>
      <c r="R44" s="7">
        <f t="shared" si="15"/>
        <v>2.9105648140161505E-2</v>
      </c>
      <c r="S44" s="2"/>
      <c r="T44" s="6">
        <v>2482.5100000000002</v>
      </c>
      <c r="U44" s="2"/>
      <c r="V44" s="7">
        <f t="shared" si="16"/>
        <v>5.2466827044377268E-3</v>
      </c>
      <c r="W44" s="2"/>
      <c r="X44" s="6">
        <f t="shared" si="17"/>
        <v>1232.6399999999999</v>
      </c>
      <c r="Y44" s="2"/>
      <c r="Z44" s="7">
        <f t="shared" si="18"/>
        <v>0.49652972193465478</v>
      </c>
    </row>
    <row r="45" spans="1:26" s="26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15332.29</v>
      </c>
      <c r="E45" s="1"/>
      <c r="F45" s="5">
        <f t="shared" ref="F45:F49" si="19">IF(D$12=0,0,D45/D$12)</f>
        <v>1.184314540329813</v>
      </c>
      <c r="G45" s="1"/>
      <c r="H45" s="1">
        <f>SUM(OSRRefH22_1x_0)</f>
        <v>8890.02</v>
      </c>
      <c r="I45" s="1"/>
      <c r="J45" s="5">
        <f t="shared" ref="J45:J49" si="20">IF(H$12=0,0,H45/H$12)</f>
        <v>3.0072966527408962</v>
      </c>
      <c r="K45" s="1"/>
      <c r="L45" s="1">
        <f t="shared" ref="L45:L49" si="21">+D45-H45</f>
        <v>6442.27</v>
      </c>
      <c r="M45" s="1"/>
      <c r="N45" s="5">
        <f t="shared" ref="N45:N49" si="22">IF(H45=0,0,L45/H45)</f>
        <v>0.72466316161268485</v>
      </c>
      <c r="O45" s="12"/>
      <c r="P45" s="1">
        <f>SUM(OSRRefP22_1x_0)</f>
        <v>170185.91999999998</v>
      </c>
      <c r="Q45" s="1"/>
      <c r="R45" s="5">
        <f t="shared" ref="R45:R49" si="23">IF(P$12=0,0,P45/P$12)</f>
        <v>1.3332897745527568</v>
      </c>
      <c r="S45" s="1"/>
      <c r="T45" s="1">
        <f>SUM(OSRRefT22_1x_0)</f>
        <v>172775.8</v>
      </c>
      <c r="U45" s="1"/>
      <c r="V45" s="5">
        <f t="shared" ref="V45:V49" si="24">IF(T$12=0,0,T45/T$12)</f>
        <v>0.36515454181670637</v>
      </c>
      <c r="W45" s="1"/>
      <c r="X45" s="1">
        <f t="shared" ref="X45:X49" si="25">+P45-T45</f>
        <v>-2589.8800000000047</v>
      </c>
      <c r="Y45" s="1"/>
      <c r="Z45" s="5">
        <f t="shared" ref="Z45:Z49" si="26">IF(T45=0,0,X45/T45)</f>
        <v>-1.4989830751760401E-2</v>
      </c>
    </row>
    <row r="46" spans="1:26" s="23" customFormat="1" hidden="1" outlineLevel="2" x14ac:dyDescent="0.25">
      <c r="A46" s="27"/>
      <c r="B46" s="10" t="str">
        <f>CONCATENATE("          ", "6002", " - ", "STAFF SALARIES")</f>
        <v xml:space="preserve">          6002 - STAFF SALARIES</v>
      </c>
      <c r="C46" s="10"/>
      <c r="D46" s="6">
        <v>14617.17</v>
      </c>
      <c r="E46" s="2"/>
      <c r="F46" s="7">
        <f t="shared" si="19"/>
        <v>1.1290764112518568</v>
      </c>
      <c r="G46" s="2"/>
      <c r="H46" s="6">
        <v>8890.02</v>
      </c>
      <c r="I46" s="2"/>
      <c r="J46" s="7">
        <f t="shared" si="20"/>
        <v>3.0072966527408962</v>
      </c>
      <c r="K46" s="2"/>
      <c r="L46" s="6">
        <f t="shared" si="21"/>
        <v>5727.15</v>
      </c>
      <c r="M46" s="2"/>
      <c r="N46" s="7">
        <f t="shared" si="22"/>
        <v>0.64422239769989265</v>
      </c>
      <c r="O46" s="10"/>
      <c r="P46" s="6">
        <v>162474.29999999999</v>
      </c>
      <c r="Q46" s="2"/>
      <c r="R46" s="7">
        <f t="shared" si="23"/>
        <v>1.2728745293242647</v>
      </c>
      <c r="S46" s="2"/>
      <c r="T46" s="6">
        <v>120345.64</v>
      </c>
      <c r="U46" s="2"/>
      <c r="V46" s="7">
        <f t="shared" si="24"/>
        <v>0.25434555669161013</v>
      </c>
      <c r="W46" s="2"/>
      <c r="X46" s="6">
        <f t="shared" si="25"/>
        <v>42128.659999999989</v>
      </c>
      <c r="Y46" s="2"/>
      <c r="Z46" s="7">
        <f t="shared" si="26"/>
        <v>0.35006386604450307</v>
      </c>
    </row>
    <row r="47" spans="1:26" s="23" customFormat="1" hidden="1" outlineLevel="2" x14ac:dyDescent="0.25">
      <c r="A47" s="27"/>
      <c r="B47" s="10" t="str">
        <f>CONCATENATE("          ", "6005", " - ", "TEMPORARY WAGES-HOURLY")</f>
        <v xml:space="preserve">          6005 - TEMPORARY WAGES-HOURLY</v>
      </c>
      <c r="C47" s="10"/>
      <c r="D47" s="6"/>
      <c r="E47" s="2"/>
      <c r="F47" s="7">
        <f t="shared" si="19"/>
        <v>0</v>
      </c>
      <c r="G47" s="2"/>
      <c r="H47" s="6"/>
      <c r="I47" s="2"/>
      <c r="J47" s="7">
        <f t="shared" si="20"/>
        <v>0</v>
      </c>
      <c r="K47" s="2"/>
      <c r="L47" s="6">
        <f t="shared" si="21"/>
        <v>0</v>
      </c>
      <c r="M47" s="2"/>
      <c r="N47" s="7">
        <f t="shared" si="22"/>
        <v>0</v>
      </c>
      <c r="O47" s="10"/>
      <c r="P47" s="6">
        <v>383.25</v>
      </c>
      <c r="Q47" s="2"/>
      <c r="R47" s="7">
        <f t="shared" si="23"/>
        <v>3.0025004776972389E-3</v>
      </c>
      <c r="S47" s="2"/>
      <c r="T47" s="6">
        <v>18111.36</v>
      </c>
      <c r="U47" s="2"/>
      <c r="V47" s="7">
        <f t="shared" si="24"/>
        <v>3.8277613893134478E-2</v>
      </c>
      <c r="W47" s="2"/>
      <c r="X47" s="6">
        <f t="shared" si="25"/>
        <v>-17728.11</v>
      </c>
      <c r="Y47" s="2"/>
      <c r="Z47" s="7">
        <f t="shared" si="26"/>
        <v>-0.97883924785328102</v>
      </c>
    </row>
    <row r="48" spans="1:26" s="23" customFormat="1" hidden="1" outlineLevel="2" x14ac:dyDescent="0.25">
      <c r="A48" s="27"/>
      <c r="B48" s="10" t="str">
        <f>CONCATENATE("          ", "6006", " - ", "TEMPORARY PART TIME")</f>
        <v xml:space="preserve">          6006 - TEMPORARY PART TIME</v>
      </c>
      <c r="C48" s="10"/>
      <c r="D48" s="6"/>
      <c r="E48" s="2"/>
      <c r="F48" s="7">
        <f t="shared" si="19"/>
        <v>0</v>
      </c>
      <c r="G48" s="2"/>
      <c r="H48" s="6"/>
      <c r="I48" s="2"/>
      <c r="J48" s="7">
        <f t="shared" si="20"/>
        <v>0</v>
      </c>
      <c r="K48" s="2"/>
      <c r="L48" s="6">
        <f t="shared" si="21"/>
        <v>0</v>
      </c>
      <c r="M48" s="2"/>
      <c r="N48" s="7">
        <f t="shared" si="22"/>
        <v>0</v>
      </c>
      <c r="O48" s="10"/>
      <c r="P48" s="6"/>
      <c r="Q48" s="2"/>
      <c r="R48" s="7">
        <f t="shared" si="23"/>
        <v>0</v>
      </c>
      <c r="S48" s="2"/>
      <c r="T48" s="6">
        <v>2451.21</v>
      </c>
      <c r="U48" s="2"/>
      <c r="V48" s="7">
        <f t="shared" si="24"/>
        <v>5.1805314427514088E-3</v>
      </c>
      <c r="W48" s="2"/>
      <c r="X48" s="6">
        <f t="shared" si="25"/>
        <v>-2451.21</v>
      </c>
      <c r="Y48" s="2"/>
      <c r="Z48" s="7">
        <f t="shared" si="26"/>
        <v>-1</v>
      </c>
    </row>
    <row r="49" spans="1:26" s="23" customFormat="1" hidden="1" outlineLevel="2" x14ac:dyDescent="0.25">
      <c r="A49" s="27"/>
      <c r="B49" s="10" t="str">
        <f>CONCATENATE("          ", "6007", " - ", "STUDENT HOURLY")</f>
        <v xml:space="preserve">          6007 - STUDENT HOURLY</v>
      </c>
      <c r="C49" s="10"/>
      <c r="D49" s="6">
        <v>715.12</v>
      </c>
      <c r="E49" s="2"/>
      <c r="F49" s="7">
        <f t="shared" si="19"/>
        <v>5.5238129077956118E-2</v>
      </c>
      <c r="G49" s="2"/>
      <c r="H49" s="6"/>
      <c r="I49" s="2"/>
      <c r="J49" s="7">
        <f t="shared" si="20"/>
        <v>0</v>
      </c>
      <c r="K49" s="2"/>
      <c r="L49" s="6">
        <f t="shared" si="21"/>
        <v>715.12</v>
      </c>
      <c r="M49" s="2"/>
      <c r="N49" s="7">
        <f t="shared" si="22"/>
        <v>0</v>
      </c>
      <c r="O49" s="10"/>
      <c r="P49" s="6">
        <v>7328.37</v>
      </c>
      <c r="Q49" s="2"/>
      <c r="R49" s="7">
        <f t="shared" si="23"/>
        <v>5.7412744750794817E-2</v>
      </c>
      <c r="S49" s="2"/>
      <c r="T49" s="6">
        <v>31867.59</v>
      </c>
      <c r="U49" s="2"/>
      <c r="V49" s="7">
        <f t="shared" si="24"/>
        <v>6.7350839789210373E-2</v>
      </c>
      <c r="W49" s="2"/>
      <c r="X49" s="6">
        <f t="shared" si="25"/>
        <v>-24539.22</v>
      </c>
      <c r="Y49" s="2"/>
      <c r="Z49" s="7">
        <f t="shared" si="26"/>
        <v>-0.77003689328248548</v>
      </c>
    </row>
    <row r="50" spans="1:26" s="26" customFormat="1" outlineLevel="1" collapsed="1" x14ac:dyDescent="0.25">
      <c r="A50" s="25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60" si="27">IF(D$12=0,0,D50/D$12)</f>
        <v>0</v>
      </c>
      <c r="G50" s="1"/>
      <c r="H50" s="1">
        <f>SUM(OSRRefH22_2x_0)</f>
        <v>0</v>
      </c>
      <c r="I50" s="1"/>
      <c r="J50" s="5">
        <f t="shared" ref="J50:J60" si="28">IF(H$12=0,0,H50/H$12)</f>
        <v>0</v>
      </c>
      <c r="K50" s="1"/>
      <c r="L50" s="1">
        <f t="shared" ref="L50:L60" si="29">+D50-H50</f>
        <v>0</v>
      </c>
      <c r="M50" s="1"/>
      <c r="N50" s="5">
        <f t="shared" ref="N50:N60" si="30">IF(H50=0,0,L50/H50)</f>
        <v>0</v>
      </c>
      <c r="O50" s="12"/>
      <c r="P50" s="1">
        <f>SUM(OSRRefP22_2x_0)</f>
        <v>0</v>
      </c>
      <c r="Q50" s="1"/>
      <c r="R50" s="5">
        <f t="shared" ref="R50:R60" si="31">IF(P$12=0,0,P50/P$12)</f>
        <v>0</v>
      </c>
      <c r="S50" s="1"/>
      <c r="T50" s="1">
        <f>SUM(OSRRefT22_2x_0)</f>
        <v>751</v>
      </c>
      <c r="U50" s="1"/>
      <c r="V50" s="5">
        <f t="shared" ref="V50:V60" si="32">IF(T$12=0,0,T50/T$12)</f>
        <v>1.5872075887036639E-3</v>
      </c>
      <c r="W50" s="1"/>
      <c r="X50" s="1">
        <f t="shared" ref="X50:X60" si="33">+P50-T50</f>
        <v>-751</v>
      </c>
      <c r="Y50" s="1"/>
      <c r="Z50" s="5">
        <f t="shared" ref="Z50:Z60" si="34">IF(T50=0,0,X50/T50)</f>
        <v>-1</v>
      </c>
    </row>
    <row r="51" spans="1:26" s="23" customFormat="1" hidden="1" outlineLevel="2" x14ac:dyDescent="0.25">
      <c r="A51" s="27"/>
      <c r="B51" s="10" t="str">
        <f>CONCATENATE("          ", "6362", " - ", "ADVERTISING EXPENSE")</f>
        <v xml:space="preserve">          6362 - ADVERTISING EXPENSE</v>
      </c>
      <c r="C51" s="10"/>
      <c r="D51" s="6"/>
      <c r="E51" s="2"/>
      <c r="F51" s="7">
        <f t="shared" si="27"/>
        <v>0</v>
      </c>
      <c r="G51" s="2"/>
      <c r="H51" s="6"/>
      <c r="I51" s="2"/>
      <c r="J51" s="7">
        <f t="shared" si="28"/>
        <v>0</v>
      </c>
      <c r="K51" s="2"/>
      <c r="L51" s="6">
        <f t="shared" si="29"/>
        <v>0</v>
      </c>
      <c r="M51" s="2"/>
      <c r="N51" s="7">
        <f t="shared" si="30"/>
        <v>0</v>
      </c>
      <c r="O51" s="10"/>
      <c r="P51" s="6"/>
      <c r="Q51" s="2"/>
      <c r="R51" s="7">
        <f t="shared" si="31"/>
        <v>0</v>
      </c>
      <c r="S51" s="2"/>
      <c r="T51" s="6">
        <v>751</v>
      </c>
      <c r="U51" s="2"/>
      <c r="V51" s="7">
        <f t="shared" si="32"/>
        <v>1.5872075887036639E-3</v>
      </c>
      <c r="W51" s="2"/>
      <c r="X51" s="6">
        <f t="shared" si="33"/>
        <v>-751</v>
      </c>
      <c r="Y51" s="2"/>
      <c r="Z51" s="7">
        <f t="shared" si="34"/>
        <v>-1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SUM(OSRRefD22_3x_0)</f>
        <v>169.88</v>
      </c>
      <c r="E52" s="1"/>
      <c r="F52" s="5">
        <f t="shared" si="27"/>
        <v>1.3122068139281778E-2</v>
      </c>
      <c r="G52" s="1"/>
      <c r="H52" s="1">
        <f>SUM(OSRRefH22_3x_0)</f>
        <v>169.88</v>
      </c>
      <c r="I52" s="1"/>
      <c r="J52" s="5">
        <f t="shared" si="28"/>
        <v>5.7466637349254938E-2</v>
      </c>
      <c r="K52" s="1"/>
      <c r="L52" s="1">
        <f t="shared" si="29"/>
        <v>0</v>
      </c>
      <c r="M52" s="1"/>
      <c r="N52" s="5">
        <f t="shared" si="30"/>
        <v>0</v>
      </c>
      <c r="O52" s="12"/>
      <c r="P52" s="1">
        <f>SUM(OSRRefP22_3x_0)</f>
        <v>1868.68</v>
      </c>
      <c r="Q52" s="1"/>
      <c r="R52" s="5">
        <f t="shared" si="31"/>
        <v>1.463982411653823E-2</v>
      </c>
      <c r="S52" s="1"/>
      <c r="T52" s="1">
        <f>SUM(OSRRefT22_3x_0)</f>
        <v>1019.28</v>
      </c>
      <c r="U52" s="1"/>
      <c r="V52" s="5">
        <f t="shared" si="32"/>
        <v>2.1542063262501602E-3</v>
      </c>
      <c r="W52" s="1"/>
      <c r="X52" s="1">
        <f t="shared" si="33"/>
        <v>849.40000000000009</v>
      </c>
      <c r="Y52" s="1"/>
      <c r="Z52" s="5">
        <f t="shared" si="34"/>
        <v>0.83333333333333348</v>
      </c>
    </row>
    <row r="53" spans="1:26" s="23" customFormat="1" hidden="1" outlineLevel="2" x14ac:dyDescent="0.25">
      <c r="A53" s="27"/>
      <c r="B53" s="10" t="str">
        <f>CONCATENATE("          ", "6322", " - ", "EQUIPMENT DEPRECIATION EXPENSE")</f>
        <v xml:space="preserve">          6322 - EQUIPMENT DEPRECIATION EXPENSE</v>
      </c>
      <c r="C53" s="10"/>
      <c r="D53" s="6">
        <v>169.88</v>
      </c>
      <c r="E53" s="2"/>
      <c r="F53" s="7">
        <f t="shared" si="27"/>
        <v>1.3122068139281778E-2</v>
      </c>
      <c r="G53" s="2"/>
      <c r="H53" s="6">
        <v>169.88</v>
      </c>
      <c r="I53" s="2"/>
      <c r="J53" s="7">
        <f t="shared" si="28"/>
        <v>5.7466637349254938E-2</v>
      </c>
      <c r="K53" s="2"/>
      <c r="L53" s="6">
        <f t="shared" si="29"/>
        <v>0</v>
      </c>
      <c r="M53" s="2"/>
      <c r="N53" s="7">
        <f t="shared" si="30"/>
        <v>0</v>
      </c>
      <c r="O53" s="10"/>
      <c r="P53" s="6">
        <v>1868.68</v>
      </c>
      <c r="Q53" s="2"/>
      <c r="R53" s="7">
        <f t="shared" si="31"/>
        <v>1.463982411653823E-2</v>
      </c>
      <c r="S53" s="2"/>
      <c r="T53" s="6">
        <v>1019.28</v>
      </c>
      <c r="U53" s="2"/>
      <c r="V53" s="7">
        <f t="shared" si="32"/>
        <v>2.1542063262501602E-3</v>
      </c>
      <c r="W53" s="2"/>
      <c r="X53" s="6">
        <f t="shared" si="33"/>
        <v>849.40000000000009</v>
      </c>
      <c r="Y53" s="2"/>
      <c r="Z53" s="7">
        <f t="shared" si="34"/>
        <v>0.83333333333333348</v>
      </c>
    </row>
    <row r="54" spans="1:26" s="26" customFormat="1" outlineLevel="1" collapsed="1" x14ac:dyDescent="0.25">
      <c r="A54" s="25"/>
      <c r="B54" s="12" t="str">
        <f>CONCATENATE("     ","Discounts and Markdowns                           ")</f>
        <v xml:space="preserve">     Discounts and Markdowns                           </v>
      </c>
      <c r="C54" s="12"/>
      <c r="D54" s="1">
        <f>SUM(OSRRefD22_4x_0)</f>
        <v>0</v>
      </c>
      <c r="E54" s="1"/>
      <c r="F54" s="5">
        <f t="shared" si="27"/>
        <v>0</v>
      </c>
      <c r="G54" s="1"/>
      <c r="H54" s="1">
        <f>SUM(OSRRefH22_4x_0)</f>
        <v>0</v>
      </c>
      <c r="I54" s="1"/>
      <c r="J54" s="5">
        <f t="shared" si="28"/>
        <v>0</v>
      </c>
      <c r="K54" s="1"/>
      <c r="L54" s="1">
        <f t="shared" si="29"/>
        <v>0</v>
      </c>
      <c r="M54" s="1"/>
      <c r="N54" s="5">
        <f t="shared" si="30"/>
        <v>0</v>
      </c>
      <c r="O54" s="12"/>
      <c r="P54" s="1">
        <f>SUM(OSRRefP22_4x_0)</f>
        <v>0</v>
      </c>
      <c r="Q54" s="1"/>
      <c r="R54" s="5">
        <f t="shared" si="31"/>
        <v>0</v>
      </c>
      <c r="S54" s="1"/>
      <c r="T54" s="1">
        <f>SUM(OSRRefT22_4x_0)</f>
        <v>726.07</v>
      </c>
      <c r="U54" s="1"/>
      <c r="V54" s="5">
        <f t="shared" si="32"/>
        <v>1.5345190598269897E-3</v>
      </c>
      <c r="W54" s="1"/>
      <c r="X54" s="1">
        <f t="shared" si="33"/>
        <v>-726.07</v>
      </c>
      <c r="Y54" s="1"/>
      <c r="Z54" s="5">
        <f t="shared" si="34"/>
        <v>-1</v>
      </c>
    </row>
    <row r="55" spans="1:26" s="23" customFormat="1" hidden="1" outlineLevel="2" x14ac:dyDescent="0.25">
      <c r="A55" s="27"/>
      <c r="B55" s="10" t="str">
        <f>CONCATENATE("          ", "6382", " - ", "DISCOUNTS/MARK DOWNS")</f>
        <v xml:space="preserve">          6382 - DISCOUNTS/MARK DOWNS</v>
      </c>
      <c r="C55" s="10"/>
      <c r="D55" s="6">
        <v>0</v>
      </c>
      <c r="E55" s="2"/>
      <c r="F55" s="7">
        <f t="shared" si="27"/>
        <v>0</v>
      </c>
      <c r="G55" s="2"/>
      <c r="H55" s="6"/>
      <c r="I55" s="2"/>
      <c r="J55" s="7">
        <f t="shared" si="28"/>
        <v>0</v>
      </c>
      <c r="K55" s="2"/>
      <c r="L55" s="6">
        <f t="shared" si="29"/>
        <v>0</v>
      </c>
      <c r="M55" s="2"/>
      <c r="N55" s="7">
        <f t="shared" si="30"/>
        <v>0</v>
      </c>
      <c r="O55" s="10"/>
      <c r="P55" s="6">
        <v>0</v>
      </c>
      <c r="Q55" s="2"/>
      <c r="R55" s="7">
        <f t="shared" si="31"/>
        <v>0</v>
      </c>
      <c r="S55" s="2"/>
      <c r="T55" s="6">
        <v>726.07</v>
      </c>
      <c r="U55" s="2"/>
      <c r="V55" s="7">
        <f t="shared" si="32"/>
        <v>1.5345190598269897E-3</v>
      </c>
      <c r="W55" s="2"/>
      <c r="X55" s="6">
        <f t="shared" si="33"/>
        <v>-726.07</v>
      </c>
      <c r="Y55" s="2"/>
      <c r="Z55" s="7">
        <f t="shared" si="34"/>
        <v>-1</v>
      </c>
    </row>
    <row r="56" spans="1:26" s="26" customFormat="1" outlineLevel="1" collapsed="1" x14ac:dyDescent="0.25">
      <c r="A56" s="25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SUM(OSRRefD22_5x_0)</f>
        <v>1205.6400000000001</v>
      </c>
      <c r="E56" s="1"/>
      <c r="F56" s="5">
        <f t="shared" si="27"/>
        <v>9.3127444263266329E-2</v>
      </c>
      <c r="G56" s="1"/>
      <c r="H56" s="1">
        <f>SUM(OSRRefH22_5x_0)</f>
        <v>1205.6400000000001</v>
      </c>
      <c r="I56" s="1"/>
      <c r="J56" s="5">
        <f t="shared" si="28"/>
        <v>0.40784128004329956</v>
      </c>
      <c r="K56" s="1"/>
      <c r="L56" s="1">
        <f t="shared" si="29"/>
        <v>0</v>
      </c>
      <c r="M56" s="1"/>
      <c r="N56" s="5">
        <f t="shared" si="30"/>
        <v>0</v>
      </c>
      <c r="O56" s="12"/>
      <c r="P56" s="1">
        <f>SUM(OSRRefP22_5x_0)</f>
        <v>13262.04</v>
      </c>
      <c r="Q56" s="1"/>
      <c r="R56" s="5">
        <f t="shared" si="31"/>
        <v>0.1038989730860793</v>
      </c>
      <c r="S56" s="1"/>
      <c r="T56" s="1">
        <f>SUM(OSRRefT22_5x_0)</f>
        <v>16081.71</v>
      </c>
      <c r="U56" s="1"/>
      <c r="V56" s="5">
        <f t="shared" si="32"/>
        <v>3.3988032158896932E-2</v>
      </c>
      <c r="W56" s="1"/>
      <c r="X56" s="1">
        <f t="shared" si="33"/>
        <v>-2819.6699999999983</v>
      </c>
      <c r="Y56" s="1"/>
      <c r="Z56" s="5">
        <f t="shared" si="34"/>
        <v>-0.1753339663505932</v>
      </c>
    </row>
    <row r="57" spans="1:26" s="23" customFormat="1" hidden="1" outlineLevel="2" x14ac:dyDescent="0.25">
      <c r="A57" s="27"/>
      <c r="B57" s="10" t="str">
        <f>CONCATENATE("          ", "6351", " - ", "EQUIPMENT RENTAL")</f>
        <v xml:space="preserve">          6351 - EQUIPMENT RENTAL</v>
      </c>
      <c r="C57" s="10"/>
      <c r="D57" s="6">
        <v>1205.6400000000001</v>
      </c>
      <c r="E57" s="2"/>
      <c r="F57" s="7">
        <f t="shared" si="27"/>
        <v>9.3127444263266329E-2</v>
      </c>
      <c r="G57" s="2"/>
      <c r="H57" s="6">
        <v>1205.6400000000001</v>
      </c>
      <c r="I57" s="2"/>
      <c r="J57" s="7">
        <f t="shared" si="28"/>
        <v>0.40784128004329956</v>
      </c>
      <c r="K57" s="2"/>
      <c r="L57" s="6">
        <f t="shared" si="29"/>
        <v>0</v>
      </c>
      <c r="M57" s="2"/>
      <c r="N57" s="7">
        <f t="shared" si="30"/>
        <v>0</v>
      </c>
      <c r="O57" s="10"/>
      <c r="P57" s="6">
        <v>13262.04</v>
      </c>
      <c r="Q57" s="2"/>
      <c r="R57" s="7">
        <f t="shared" si="31"/>
        <v>0.1038989730860793</v>
      </c>
      <c r="S57" s="2"/>
      <c r="T57" s="6">
        <v>16081.71</v>
      </c>
      <c r="U57" s="2"/>
      <c r="V57" s="7">
        <f t="shared" si="32"/>
        <v>3.3988032158896932E-2</v>
      </c>
      <c r="W57" s="2"/>
      <c r="X57" s="6">
        <f t="shared" si="33"/>
        <v>-2819.6699999999983</v>
      </c>
      <c r="Y57" s="2"/>
      <c r="Z57" s="7">
        <f t="shared" si="34"/>
        <v>-0.1753339663505932</v>
      </c>
    </row>
    <row r="58" spans="1:26" s="26" customFormat="1" outlineLevel="1" collapsed="1" x14ac:dyDescent="0.25">
      <c r="A58" s="25"/>
      <c r="B58" s="12" t="str">
        <f>CONCATENATE("     ","Freight out/Postage                               ")</f>
        <v xml:space="preserve">     Freight out/Postage                               </v>
      </c>
      <c r="C58" s="12"/>
      <c r="D58" s="1">
        <f>SUM(OSRRefD22_6x_0)</f>
        <v>-23795.970000000005</v>
      </c>
      <c r="E58" s="1"/>
      <c r="F58" s="5">
        <f t="shared" si="27"/>
        <v>-1.8380759346615556</v>
      </c>
      <c r="G58" s="1"/>
      <c r="H58" s="1">
        <f>SUM(OSRRefH22_6x_0)</f>
        <v>0</v>
      </c>
      <c r="I58" s="1"/>
      <c r="J58" s="5">
        <f t="shared" si="28"/>
        <v>0</v>
      </c>
      <c r="K58" s="1"/>
      <c r="L58" s="1">
        <f t="shared" si="29"/>
        <v>-23795.970000000005</v>
      </c>
      <c r="M58" s="1"/>
      <c r="N58" s="5">
        <f t="shared" si="30"/>
        <v>0</v>
      </c>
      <c r="O58" s="12"/>
      <c r="P58" s="1">
        <f>SUM(OSRRefP22_6x_0)</f>
        <v>-96469.670000000013</v>
      </c>
      <c r="Q58" s="1"/>
      <c r="R58" s="5">
        <f t="shared" si="31"/>
        <v>-0.75577359493358132</v>
      </c>
      <c r="S58" s="1"/>
      <c r="T58" s="1">
        <f>SUM(OSRRefT22_6x_0)</f>
        <v>15.02</v>
      </c>
      <c r="U58" s="1"/>
      <c r="V58" s="5">
        <f t="shared" si="32"/>
        <v>3.1744151774073276E-5</v>
      </c>
      <c r="W58" s="1"/>
      <c r="X58" s="1">
        <f t="shared" si="33"/>
        <v>-96484.690000000017</v>
      </c>
      <c r="Y58" s="1"/>
      <c r="Z58" s="5">
        <f t="shared" si="34"/>
        <v>-6423.7476697736365</v>
      </c>
    </row>
    <row r="59" spans="1:26" s="23" customFormat="1" hidden="1" outlineLevel="2" x14ac:dyDescent="0.25">
      <c r="A59" s="27"/>
      <c r="B59" s="10" t="str">
        <f>CONCATENATE("          ", "6305", " - ", "FREIGHT OUT")</f>
        <v xml:space="preserve">          6305 - FREIGHT OUT</v>
      </c>
      <c r="C59" s="10"/>
      <c r="D59" s="6">
        <v>19778.009999999998</v>
      </c>
      <c r="E59" s="2"/>
      <c r="F59" s="7">
        <f t="shared" si="27"/>
        <v>1.5277160047056533</v>
      </c>
      <c r="G59" s="2"/>
      <c r="H59" s="6"/>
      <c r="I59" s="2"/>
      <c r="J59" s="7">
        <f t="shared" si="28"/>
        <v>0</v>
      </c>
      <c r="K59" s="2"/>
      <c r="L59" s="6">
        <f t="shared" si="29"/>
        <v>19778.009999999998</v>
      </c>
      <c r="M59" s="2"/>
      <c r="N59" s="7">
        <f t="shared" si="30"/>
        <v>0</v>
      </c>
      <c r="O59" s="10"/>
      <c r="P59" s="6">
        <v>197787.91</v>
      </c>
      <c r="Q59" s="2"/>
      <c r="R59" s="7">
        <f t="shared" si="31"/>
        <v>1.5495324051082544</v>
      </c>
      <c r="S59" s="2"/>
      <c r="T59" s="6">
        <v>15.02</v>
      </c>
      <c r="U59" s="2"/>
      <c r="V59" s="7">
        <f t="shared" si="32"/>
        <v>3.1744151774073276E-5</v>
      </c>
      <c r="W59" s="2"/>
      <c r="X59" s="6">
        <f t="shared" si="33"/>
        <v>197772.89</v>
      </c>
      <c r="Y59" s="2"/>
      <c r="Z59" s="7">
        <f t="shared" si="34"/>
        <v>13167.302929427431</v>
      </c>
    </row>
    <row r="60" spans="1:26" s="23" customFormat="1" hidden="1" outlineLevel="2" x14ac:dyDescent="0.25">
      <c r="A60" s="27"/>
      <c r="B60" s="10" t="str">
        <f>CONCATENATE("          ", "6307", " - ", "POSTAGE")</f>
        <v xml:space="preserve">          6307 - POSTAGE</v>
      </c>
      <c r="C60" s="10"/>
      <c r="D60" s="6">
        <v>-43573.98</v>
      </c>
      <c r="E60" s="2"/>
      <c r="F60" s="7">
        <f t="shared" si="27"/>
        <v>-3.3657919393672091</v>
      </c>
      <c r="G60" s="2"/>
      <c r="H60" s="6"/>
      <c r="I60" s="2"/>
      <c r="J60" s="7">
        <f t="shared" si="28"/>
        <v>0</v>
      </c>
      <c r="K60" s="2"/>
      <c r="L60" s="6">
        <f t="shared" si="29"/>
        <v>-43573.98</v>
      </c>
      <c r="M60" s="2"/>
      <c r="N60" s="7">
        <f t="shared" si="30"/>
        <v>0</v>
      </c>
      <c r="O60" s="10"/>
      <c r="P60" s="6">
        <v>-294257.58</v>
      </c>
      <c r="Q60" s="2"/>
      <c r="R60" s="7">
        <f t="shared" si="31"/>
        <v>-2.3053060000418357</v>
      </c>
      <c r="S60" s="2"/>
      <c r="T60" s="6"/>
      <c r="U60" s="2"/>
      <c r="V60" s="7">
        <f t="shared" si="32"/>
        <v>0</v>
      </c>
      <c r="W60" s="2"/>
      <c r="X60" s="6">
        <f t="shared" si="33"/>
        <v>-294257.58</v>
      </c>
      <c r="Y60" s="2"/>
      <c r="Z60" s="7">
        <f t="shared" si="34"/>
        <v>0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SUM(OSRRefD22_7x_0)</f>
        <v>0</v>
      </c>
      <c r="E61" s="1"/>
      <c r="F61" s="5">
        <f t="shared" ref="F61:F66" si="35">IF(D$12=0,0,D61/D$12)</f>
        <v>0</v>
      </c>
      <c r="G61" s="1"/>
      <c r="H61" s="1">
        <f>SUM(OSRRefH22_7x_0)</f>
        <v>0</v>
      </c>
      <c r="I61" s="1"/>
      <c r="J61" s="5">
        <f t="shared" ref="J61:J66" si="36">IF(H$12=0,0,H61/H$12)</f>
        <v>0</v>
      </c>
      <c r="K61" s="1"/>
      <c r="L61" s="1">
        <f t="shared" ref="L61:L66" si="37">+D61-H61</f>
        <v>0</v>
      </c>
      <c r="M61" s="1"/>
      <c r="N61" s="5">
        <f t="shared" ref="N61:N66" si="38">IF(H61=0,0,L61/H61)</f>
        <v>0</v>
      </c>
      <c r="O61" s="12"/>
      <c r="P61" s="1">
        <f>SUM(OSRRefP22_7x_0)</f>
        <v>0</v>
      </c>
      <c r="Q61" s="1"/>
      <c r="R61" s="5">
        <f t="shared" ref="R61:R66" si="39">IF(P$12=0,0,P61/P$12)</f>
        <v>0</v>
      </c>
      <c r="S61" s="1"/>
      <c r="T61" s="1">
        <f>SUM(OSRRefT22_7x_0)</f>
        <v>75</v>
      </c>
      <c r="U61" s="1"/>
      <c r="V61" s="5">
        <f t="shared" ref="V61:V66" si="40">IF(T$12=0,0,T61/T$12)</f>
        <v>1.5850941298638455E-4</v>
      </c>
      <c r="W61" s="1"/>
      <c r="X61" s="1">
        <f t="shared" ref="X61:X66" si="41">+P61-T61</f>
        <v>-75</v>
      </c>
      <c r="Y61" s="1"/>
      <c r="Z61" s="5">
        <f t="shared" ref="Z61:Z66" si="42">IF(T61=0,0,X61/T61)</f>
        <v>-1</v>
      </c>
    </row>
    <row r="62" spans="1:26" s="23" customFormat="1" hidden="1" outlineLevel="2" x14ac:dyDescent="0.25">
      <c r="A62" s="27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35"/>
        <v>0</v>
      </c>
      <c r="G62" s="2"/>
      <c r="H62" s="6"/>
      <c r="I62" s="2"/>
      <c r="J62" s="7">
        <f t="shared" si="36"/>
        <v>0</v>
      </c>
      <c r="K62" s="2"/>
      <c r="L62" s="6">
        <f t="shared" si="37"/>
        <v>0</v>
      </c>
      <c r="M62" s="2"/>
      <c r="N62" s="7">
        <f t="shared" si="38"/>
        <v>0</v>
      </c>
      <c r="O62" s="10"/>
      <c r="P62" s="6"/>
      <c r="Q62" s="2"/>
      <c r="R62" s="7">
        <f t="shared" si="39"/>
        <v>0</v>
      </c>
      <c r="S62" s="2"/>
      <c r="T62" s="6">
        <v>75</v>
      </c>
      <c r="U62" s="2"/>
      <c r="V62" s="7">
        <f t="shared" si="40"/>
        <v>1.5850941298638455E-4</v>
      </c>
      <c r="W62" s="2"/>
      <c r="X62" s="6">
        <f t="shared" si="41"/>
        <v>-75</v>
      </c>
      <c r="Y62" s="2"/>
      <c r="Z62" s="7">
        <f t="shared" si="42"/>
        <v>-1</v>
      </c>
    </row>
    <row r="63" spans="1:26" s="26" customFormat="1" outlineLevel="1" collapsed="1" x14ac:dyDescent="0.25">
      <c r="A63" s="25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SUM(OSRRefD22_8x_0)</f>
        <v>3783.1099999999997</v>
      </c>
      <c r="E63" s="1"/>
      <c r="F63" s="5">
        <f t="shared" si="35"/>
        <v>0.29221937366610717</v>
      </c>
      <c r="G63" s="1"/>
      <c r="H63" s="1">
        <f>SUM(OSRRefH22_8x_0)</f>
        <v>353.37</v>
      </c>
      <c r="I63" s="1"/>
      <c r="J63" s="5">
        <f t="shared" si="36"/>
        <v>0.11953723593187085</v>
      </c>
      <c r="K63" s="1"/>
      <c r="L63" s="1">
        <f t="shared" si="37"/>
        <v>3429.74</v>
      </c>
      <c r="M63" s="1"/>
      <c r="N63" s="5">
        <f t="shared" si="38"/>
        <v>9.7058041146673446</v>
      </c>
      <c r="O63" s="12"/>
      <c r="P63" s="1">
        <f>SUM(OSRRefP22_8x_0)</f>
        <v>34876.81</v>
      </c>
      <c r="Q63" s="1"/>
      <c r="R63" s="5">
        <f t="shared" si="39"/>
        <v>0.27323584784228527</v>
      </c>
      <c r="S63" s="1"/>
      <c r="T63" s="1">
        <f>SUM(OSRRefT22_8x_0)</f>
        <v>66267.679999999993</v>
      </c>
      <c r="U63" s="1"/>
      <c r="V63" s="5">
        <f t="shared" si="40"/>
        <v>0.140054014090261</v>
      </c>
      <c r="W63" s="1"/>
      <c r="X63" s="1">
        <f t="shared" si="41"/>
        <v>-31390.869999999995</v>
      </c>
      <c r="Y63" s="1"/>
      <c r="Z63" s="5">
        <f t="shared" si="42"/>
        <v>-0.4736980380179297</v>
      </c>
    </row>
    <row r="64" spans="1:26" s="23" customFormat="1" hidden="1" outlineLevel="2" x14ac:dyDescent="0.25">
      <c r="A64" s="27"/>
      <c r="B64" s="10" t="str">
        <f>CONCATENATE("          ", "6371", " - ", "COMPUTER SOFTWARE MAINTENANCE")</f>
        <v xml:space="preserve">          6371 - COMPUTER SOFTWARE MAINTENANCE</v>
      </c>
      <c r="C64" s="10"/>
      <c r="D64" s="6"/>
      <c r="E64" s="2"/>
      <c r="F64" s="7">
        <f t="shared" si="35"/>
        <v>0</v>
      </c>
      <c r="G64" s="2"/>
      <c r="H64" s="6"/>
      <c r="I64" s="2"/>
      <c r="J64" s="7">
        <f t="shared" si="36"/>
        <v>0</v>
      </c>
      <c r="K64" s="2"/>
      <c r="L64" s="6">
        <f t="shared" si="37"/>
        <v>0</v>
      </c>
      <c r="M64" s="2"/>
      <c r="N64" s="7">
        <f t="shared" si="38"/>
        <v>0</v>
      </c>
      <c r="O64" s="10"/>
      <c r="P64" s="6">
        <v>7.69</v>
      </c>
      <c r="Q64" s="2"/>
      <c r="R64" s="7">
        <f t="shared" si="39"/>
        <v>6.0245867380278581E-5</v>
      </c>
      <c r="S64" s="2"/>
      <c r="T64" s="6"/>
      <c r="U64" s="2"/>
      <c r="V64" s="7">
        <f t="shared" si="40"/>
        <v>0</v>
      </c>
      <c r="W64" s="2"/>
      <c r="X64" s="6">
        <f t="shared" si="41"/>
        <v>7.69</v>
      </c>
      <c r="Y64" s="2"/>
      <c r="Z64" s="7">
        <f t="shared" si="42"/>
        <v>0</v>
      </c>
    </row>
    <row r="65" spans="1:26" s="23" customFormat="1" hidden="1" outlineLevel="2" x14ac:dyDescent="0.25">
      <c r="A65" s="27"/>
      <c r="B65" s="10" t="str">
        <f>CONCATENATE("          ", "6373", " - ", "MAINTENANCE CONTRACTS")</f>
        <v xml:space="preserve">          6373 - MAINTENANCE CONTRACTS</v>
      </c>
      <c r="C65" s="10"/>
      <c r="D65" s="6">
        <v>270.93</v>
      </c>
      <c r="E65" s="2"/>
      <c r="F65" s="7">
        <f t="shared" si="35"/>
        <v>2.092748952775849E-2</v>
      </c>
      <c r="G65" s="2"/>
      <c r="H65" s="6">
        <v>353.37</v>
      </c>
      <c r="I65" s="2"/>
      <c r="J65" s="7">
        <f t="shared" si="36"/>
        <v>0.11953723593187085</v>
      </c>
      <c r="K65" s="2"/>
      <c r="L65" s="6">
        <f t="shared" si="37"/>
        <v>-82.44</v>
      </c>
      <c r="M65" s="2"/>
      <c r="N65" s="7">
        <f t="shared" si="38"/>
        <v>-0.23329654469819169</v>
      </c>
      <c r="O65" s="10"/>
      <c r="P65" s="6">
        <v>31352.34</v>
      </c>
      <c r="Q65" s="2"/>
      <c r="R65" s="7">
        <f t="shared" si="39"/>
        <v>0.24562404651513697</v>
      </c>
      <c r="S65" s="2"/>
      <c r="T65" s="6">
        <v>64865.919999999998</v>
      </c>
      <c r="U65" s="2"/>
      <c r="V65" s="7">
        <f t="shared" si="40"/>
        <v>0.13709145202695708</v>
      </c>
      <c r="W65" s="2"/>
      <c r="X65" s="6">
        <f t="shared" si="41"/>
        <v>-33513.58</v>
      </c>
      <c r="Y65" s="2"/>
      <c r="Z65" s="7">
        <f t="shared" si="42"/>
        <v>-0.5166592873422593</v>
      </c>
    </row>
    <row r="66" spans="1:26" s="23" customFormat="1" hidden="1" outlineLevel="2" x14ac:dyDescent="0.25">
      <c r="A66" s="27"/>
      <c r="B66" s="10" t="str">
        <f>CONCATENATE("          ", "6375", " - ", "OUTSIDE REPAIRS &amp; MAINTENANCE")</f>
        <v xml:space="preserve">          6375 - OUTSIDE REPAIRS &amp; MAINTENANCE</v>
      </c>
      <c r="C66" s="10"/>
      <c r="D66" s="6">
        <v>3512.18</v>
      </c>
      <c r="E66" s="2"/>
      <c r="F66" s="7">
        <f t="shared" si="35"/>
        <v>0.2712918841383487</v>
      </c>
      <c r="G66" s="2"/>
      <c r="H66" s="6"/>
      <c r="I66" s="2"/>
      <c r="J66" s="7">
        <f t="shared" si="36"/>
        <v>0</v>
      </c>
      <c r="K66" s="2"/>
      <c r="L66" s="6">
        <f t="shared" si="37"/>
        <v>3512.18</v>
      </c>
      <c r="M66" s="2"/>
      <c r="N66" s="7">
        <f t="shared" si="38"/>
        <v>0</v>
      </c>
      <c r="O66" s="10"/>
      <c r="P66" s="6">
        <v>3516.78</v>
      </c>
      <c r="Q66" s="2"/>
      <c r="R66" s="7">
        <f t="shared" si="39"/>
        <v>2.7551555459768024E-2</v>
      </c>
      <c r="S66" s="2"/>
      <c r="T66" s="6">
        <v>1401.76</v>
      </c>
      <c r="U66" s="2"/>
      <c r="V66" s="7">
        <f t="shared" si="40"/>
        <v>2.9625620633039252E-3</v>
      </c>
      <c r="W66" s="2"/>
      <c r="X66" s="6">
        <f t="shared" si="41"/>
        <v>2115.0200000000004</v>
      </c>
      <c r="Y66" s="2"/>
      <c r="Z66" s="7">
        <f t="shared" si="42"/>
        <v>1.5088317543659402</v>
      </c>
    </row>
    <row r="67" spans="1:26" s="26" customFormat="1" outlineLevel="1" collapsed="1" x14ac:dyDescent="0.25">
      <c r="A67" s="25"/>
      <c r="B67" s="12" t="str">
        <f>CONCATENATE("     ","Royalty &amp; Commissions                             ")</f>
        <v xml:space="preserve">     Royalty &amp; Commissions                             </v>
      </c>
      <c r="C67" s="12"/>
      <c r="D67" s="1">
        <f>SUM(OSRRefD22_9x_0)</f>
        <v>393.98</v>
      </c>
      <c r="E67" s="1"/>
      <c r="F67" s="5">
        <f t="shared" ref="F67:F77" si="43">IF(D$12=0,0,D67/D$12)</f>
        <v>3.0432260451578968E-2</v>
      </c>
      <c r="G67" s="1"/>
      <c r="H67" s="1">
        <f>SUM(OSRRefH22_9x_0)</f>
        <v>0</v>
      </c>
      <c r="I67" s="1"/>
      <c r="J67" s="5">
        <f t="shared" ref="J67:J77" si="44">IF(H$12=0,0,H67/H$12)</f>
        <v>0</v>
      </c>
      <c r="K67" s="1"/>
      <c r="L67" s="1">
        <f t="shared" ref="L67:L77" si="45">+D67-H67</f>
        <v>393.98</v>
      </c>
      <c r="M67" s="1"/>
      <c r="N67" s="5">
        <f t="shared" ref="N67:N77" si="46">IF(H67=0,0,L67/H67)</f>
        <v>0</v>
      </c>
      <c r="O67" s="12"/>
      <c r="P67" s="1">
        <f>SUM(OSRRefP22_9x_0)</f>
        <v>13627.87</v>
      </c>
      <c r="Q67" s="1"/>
      <c r="R67" s="5">
        <f t="shared" ref="R67:R77" si="47">IF(P$12=0,0,P67/P$12)</f>
        <v>0.10676499983038715</v>
      </c>
      <c r="S67" s="1"/>
      <c r="T67" s="1">
        <f>SUM(OSRRefT22_9x_0)</f>
        <v>82607.740000000005</v>
      </c>
      <c r="U67" s="1"/>
      <c r="V67" s="5">
        <f t="shared" ref="V67:V77" si="48">IF(T$12=0,0,T67/T$12)</f>
        <v>0.17458805834042504</v>
      </c>
      <c r="W67" s="1"/>
      <c r="X67" s="1">
        <f t="shared" ref="X67:X77" si="49">+P67-T67</f>
        <v>-68979.87000000001</v>
      </c>
      <c r="Y67" s="1"/>
      <c r="Z67" s="5">
        <f t="shared" ref="Z67:Z77" si="50">IF(T67=0,0,X67/T67)</f>
        <v>-0.83502913891603869</v>
      </c>
    </row>
    <row r="68" spans="1:26" s="23" customFormat="1" hidden="1" outlineLevel="2" x14ac:dyDescent="0.25">
      <c r="A68" s="27"/>
      <c r="B68" s="10" t="str">
        <f>CONCATENATE("          ", "6259", " - ", "ROYALTY &amp; COMMISSIONS")</f>
        <v xml:space="preserve">          6259 - ROYALTY &amp; COMMISSIONS</v>
      </c>
      <c r="C68" s="10"/>
      <c r="D68" s="6">
        <v>393.98</v>
      </c>
      <c r="E68" s="2"/>
      <c r="F68" s="7">
        <f t="shared" si="43"/>
        <v>3.0432260451578968E-2</v>
      </c>
      <c r="G68" s="2"/>
      <c r="H68" s="6"/>
      <c r="I68" s="2"/>
      <c r="J68" s="7">
        <f t="shared" si="44"/>
        <v>0</v>
      </c>
      <c r="K68" s="2"/>
      <c r="L68" s="6">
        <f t="shared" si="45"/>
        <v>393.98</v>
      </c>
      <c r="M68" s="2"/>
      <c r="N68" s="7">
        <f t="shared" si="46"/>
        <v>0</v>
      </c>
      <c r="O68" s="10"/>
      <c r="P68" s="6">
        <v>13627.87</v>
      </c>
      <c r="Q68" s="2"/>
      <c r="R68" s="7">
        <f t="shared" si="47"/>
        <v>0.10676499983038715</v>
      </c>
      <c r="S68" s="2"/>
      <c r="T68" s="6">
        <v>82607.740000000005</v>
      </c>
      <c r="U68" s="2"/>
      <c r="V68" s="7">
        <f t="shared" si="48"/>
        <v>0.17458805834042504</v>
      </c>
      <c r="W68" s="2"/>
      <c r="X68" s="6">
        <f t="shared" si="49"/>
        <v>-68979.87000000001</v>
      </c>
      <c r="Y68" s="2"/>
      <c r="Z68" s="7">
        <f t="shared" si="50"/>
        <v>-0.83502913891603869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SUM(OSRRefD22_10x_0)</f>
        <v>31.75</v>
      </c>
      <c r="E69" s="1"/>
      <c r="F69" s="5">
        <f t="shared" si="43"/>
        <v>2.4524703521438453E-3</v>
      </c>
      <c r="G69" s="1"/>
      <c r="H69" s="1">
        <f>SUM(OSRRefH22_10x_0)</f>
        <v>0</v>
      </c>
      <c r="I69" s="1"/>
      <c r="J69" s="5">
        <f t="shared" si="44"/>
        <v>0</v>
      </c>
      <c r="K69" s="1"/>
      <c r="L69" s="1">
        <f t="shared" si="45"/>
        <v>31.75</v>
      </c>
      <c r="M69" s="1"/>
      <c r="N69" s="5">
        <f t="shared" si="46"/>
        <v>0</v>
      </c>
      <c r="O69" s="12"/>
      <c r="P69" s="1">
        <f>SUM(OSRRefP22_10x_0)</f>
        <v>31.75</v>
      </c>
      <c r="Q69" s="1"/>
      <c r="R69" s="5">
        <f t="shared" si="47"/>
        <v>2.48739439443933E-4</v>
      </c>
      <c r="S69" s="1"/>
      <c r="T69" s="1">
        <f>SUM(OSRRefT22_10x_0)</f>
        <v>0</v>
      </c>
      <c r="U69" s="1"/>
      <c r="V69" s="5">
        <f t="shared" si="48"/>
        <v>0</v>
      </c>
      <c r="W69" s="1"/>
      <c r="X69" s="1">
        <f t="shared" si="49"/>
        <v>31.75</v>
      </c>
      <c r="Y69" s="1"/>
      <c r="Z69" s="5">
        <f t="shared" si="50"/>
        <v>0</v>
      </c>
    </row>
    <row r="70" spans="1:26" s="23" customFormat="1" hidden="1" outlineLevel="2" x14ac:dyDescent="0.25">
      <c r="A70" s="27"/>
      <c r="B70" s="10" t="str">
        <f>CONCATENATE("          ", "6258", " - ", "MEMBERSHIP DUES")</f>
        <v xml:space="preserve">          6258 - MEMBERSHIP DUES</v>
      </c>
      <c r="C70" s="10"/>
      <c r="D70" s="6">
        <v>31.75</v>
      </c>
      <c r="E70" s="2"/>
      <c r="F70" s="7">
        <f t="shared" si="43"/>
        <v>2.4524703521438453E-3</v>
      </c>
      <c r="G70" s="2"/>
      <c r="H70" s="6"/>
      <c r="I70" s="2"/>
      <c r="J70" s="7">
        <f t="shared" si="44"/>
        <v>0</v>
      </c>
      <c r="K70" s="2"/>
      <c r="L70" s="6">
        <f t="shared" si="45"/>
        <v>31.75</v>
      </c>
      <c r="M70" s="2"/>
      <c r="N70" s="7">
        <f t="shared" si="46"/>
        <v>0</v>
      </c>
      <c r="O70" s="10"/>
      <c r="P70" s="6">
        <v>31.75</v>
      </c>
      <c r="Q70" s="2"/>
      <c r="R70" s="7">
        <f t="shared" si="47"/>
        <v>2.48739439443933E-4</v>
      </c>
      <c r="S70" s="2"/>
      <c r="T70" s="6"/>
      <c r="U70" s="2"/>
      <c r="V70" s="7">
        <f t="shared" si="48"/>
        <v>0</v>
      </c>
      <c r="W70" s="2"/>
      <c r="X70" s="6">
        <f t="shared" si="49"/>
        <v>31.75</v>
      </c>
      <c r="Y70" s="2"/>
      <c r="Z70" s="7">
        <f t="shared" si="50"/>
        <v>0</v>
      </c>
    </row>
    <row r="71" spans="1:26" s="26" customFormat="1" outlineLevel="1" collapsed="1" x14ac:dyDescent="0.25">
      <c r="A71" s="25"/>
      <c r="B71" s="12" t="str">
        <f>CONCATENATE("     ","Supplies                                          ")</f>
        <v xml:space="preserve">     Supplies                                          </v>
      </c>
      <c r="C71" s="12"/>
      <c r="D71" s="1">
        <f>SUM(OSRRefD22_11x_0)</f>
        <v>6628.24</v>
      </c>
      <c r="E71" s="1"/>
      <c r="F71" s="5">
        <f t="shared" si="43"/>
        <v>0.51198620746122592</v>
      </c>
      <c r="G71" s="1"/>
      <c r="H71" s="1">
        <f>SUM(OSRRefH22_11x_0)</f>
        <v>117</v>
      </c>
      <c r="I71" s="1"/>
      <c r="J71" s="5">
        <f t="shared" si="44"/>
        <v>3.9578505826835579E-2</v>
      </c>
      <c r="K71" s="1"/>
      <c r="L71" s="1">
        <f t="shared" si="45"/>
        <v>6511.24</v>
      </c>
      <c r="M71" s="1"/>
      <c r="N71" s="5">
        <f t="shared" si="46"/>
        <v>55.651623931623931</v>
      </c>
      <c r="O71" s="12"/>
      <c r="P71" s="1">
        <f>SUM(OSRRefP22_11x_0)</f>
        <v>42426.44</v>
      </c>
      <c r="Q71" s="1"/>
      <c r="R71" s="5">
        <f t="shared" si="47"/>
        <v>0.33238201269926482</v>
      </c>
      <c r="S71" s="1"/>
      <c r="T71" s="1">
        <f>SUM(OSRRefT22_11x_0)</f>
        <v>40780.39</v>
      </c>
      <c r="U71" s="1"/>
      <c r="V71" s="5">
        <f t="shared" si="48"/>
        <v>8.6187675736744351E-2</v>
      </c>
      <c r="W71" s="1"/>
      <c r="X71" s="1">
        <f t="shared" si="49"/>
        <v>1646.0500000000029</v>
      </c>
      <c r="Y71" s="1"/>
      <c r="Z71" s="5">
        <f t="shared" si="50"/>
        <v>4.0363763073379216E-2</v>
      </c>
    </row>
    <row r="72" spans="1:26" s="23" customFormat="1" hidden="1" outlineLevel="2" x14ac:dyDescent="0.25">
      <c r="A72" s="27"/>
      <c r="B72" s="10" t="str">
        <f>CONCATENATE("          ", "6234", " - ", "EXPENDABLE SUPPLIES &amp; EQUIPMEN")</f>
        <v xml:space="preserve">          6234 - EXPENDABLE SUPPLIES &amp; EQUIPMEN</v>
      </c>
      <c r="C72" s="10"/>
      <c r="D72" s="6"/>
      <c r="E72" s="2"/>
      <c r="F72" s="7">
        <f t="shared" si="43"/>
        <v>0</v>
      </c>
      <c r="G72" s="2"/>
      <c r="H72" s="6"/>
      <c r="I72" s="2"/>
      <c r="J72" s="7">
        <f t="shared" si="44"/>
        <v>0</v>
      </c>
      <c r="K72" s="2"/>
      <c r="L72" s="6">
        <f t="shared" si="45"/>
        <v>0</v>
      </c>
      <c r="M72" s="2"/>
      <c r="N72" s="7">
        <f t="shared" si="46"/>
        <v>0</v>
      </c>
      <c r="O72" s="10"/>
      <c r="P72" s="6"/>
      <c r="Q72" s="2"/>
      <c r="R72" s="7">
        <f t="shared" si="47"/>
        <v>0</v>
      </c>
      <c r="S72" s="2"/>
      <c r="T72" s="6">
        <v>1017.27</v>
      </c>
      <c r="U72" s="2"/>
      <c r="V72" s="7">
        <f t="shared" si="48"/>
        <v>2.1499582739821252E-3</v>
      </c>
      <c r="W72" s="2"/>
      <c r="X72" s="6">
        <f t="shared" si="49"/>
        <v>-1017.27</v>
      </c>
      <c r="Y72" s="2"/>
      <c r="Z72" s="7">
        <f t="shared" si="50"/>
        <v>-1</v>
      </c>
    </row>
    <row r="73" spans="1:26" s="23" customFormat="1" hidden="1" outlineLevel="2" x14ac:dyDescent="0.25">
      <c r="A73" s="27"/>
      <c r="B73" s="10" t="str">
        <f>CONCATENATE("          ", "6235", " - ", "COVID-19 EXPENSES")</f>
        <v xml:space="preserve">          6235 - COVID-19 EXPENSES</v>
      </c>
      <c r="C73" s="10"/>
      <c r="D73" s="6"/>
      <c r="E73" s="2"/>
      <c r="F73" s="7">
        <f t="shared" si="43"/>
        <v>0</v>
      </c>
      <c r="G73" s="2"/>
      <c r="H73" s="6"/>
      <c r="I73" s="2"/>
      <c r="J73" s="7">
        <f t="shared" si="44"/>
        <v>0</v>
      </c>
      <c r="K73" s="2"/>
      <c r="L73" s="6">
        <f t="shared" si="45"/>
        <v>0</v>
      </c>
      <c r="M73" s="2"/>
      <c r="N73" s="7">
        <f t="shared" si="46"/>
        <v>0</v>
      </c>
      <c r="O73" s="10"/>
      <c r="P73" s="6">
        <v>310.91000000000003</v>
      </c>
      <c r="Q73" s="2"/>
      <c r="R73" s="7">
        <f t="shared" si="47"/>
        <v>2.4357662714177392E-3</v>
      </c>
      <c r="S73" s="2"/>
      <c r="T73" s="6"/>
      <c r="U73" s="2"/>
      <c r="V73" s="7">
        <f t="shared" si="48"/>
        <v>0</v>
      </c>
      <c r="W73" s="2"/>
      <c r="X73" s="6">
        <f t="shared" si="49"/>
        <v>310.91000000000003</v>
      </c>
      <c r="Y73" s="2"/>
      <c r="Z73" s="7">
        <f t="shared" si="50"/>
        <v>0</v>
      </c>
    </row>
    <row r="74" spans="1:26" s="23" customFormat="1" hidden="1" outlineLevel="2" x14ac:dyDescent="0.25">
      <c r="A74" s="27"/>
      <c r="B74" s="10" t="str">
        <f>CONCATENATE("          ", "6241", " - ", "OFFICE EXPENSE")</f>
        <v xml:space="preserve">          6241 - OFFICE EXPENSE</v>
      </c>
      <c r="C74" s="10"/>
      <c r="D74" s="6">
        <v>18.25</v>
      </c>
      <c r="E74" s="2"/>
      <c r="F74" s="7">
        <f t="shared" si="43"/>
        <v>1.4096876827283521E-3</v>
      </c>
      <c r="G74" s="2"/>
      <c r="H74" s="6"/>
      <c r="I74" s="2"/>
      <c r="J74" s="7">
        <f t="shared" si="44"/>
        <v>0</v>
      </c>
      <c r="K74" s="2"/>
      <c r="L74" s="6">
        <f t="shared" si="45"/>
        <v>18.25</v>
      </c>
      <c r="M74" s="2"/>
      <c r="N74" s="7">
        <f t="shared" si="46"/>
        <v>0</v>
      </c>
      <c r="O74" s="10"/>
      <c r="P74" s="6">
        <v>4676.01</v>
      </c>
      <c r="Q74" s="2"/>
      <c r="R74" s="7">
        <f t="shared" si="47"/>
        <v>3.6633326180605524E-2</v>
      </c>
      <c r="S74" s="2"/>
      <c r="T74" s="6">
        <v>1578.06</v>
      </c>
      <c r="U74" s="2"/>
      <c r="V74" s="7">
        <f t="shared" si="48"/>
        <v>3.3351648567639196E-3</v>
      </c>
      <c r="W74" s="2"/>
      <c r="X74" s="6">
        <f t="shared" si="49"/>
        <v>3097.9500000000003</v>
      </c>
      <c r="Y74" s="2"/>
      <c r="Z74" s="7">
        <f t="shared" si="50"/>
        <v>1.9631382837154483</v>
      </c>
    </row>
    <row r="75" spans="1:26" s="23" customFormat="1" hidden="1" outlineLevel="2" x14ac:dyDescent="0.25">
      <c r="A75" s="27"/>
      <c r="B75" s="10" t="str">
        <f>CONCATENATE("          ", "6243", " - ", "PAPER SUPPLIES")</f>
        <v xml:space="preserve">          6243 - PAPER SUPPLIES</v>
      </c>
      <c r="C75" s="10"/>
      <c r="D75" s="6"/>
      <c r="E75" s="2"/>
      <c r="F75" s="7">
        <f t="shared" si="43"/>
        <v>0</v>
      </c>
      <c r="G75" s="2"/>
      <c r="H75" s="6">
        <v>50.85</v>
      </c>
      <c r="I75" s="2"/>
      <c r="J75" s="7">
        <f t="shared" si="44"/>
        <v>1.7201427532432388E-2</v>
      </c>
      <c r="K75" s="2"/>
      <c r="L75" s="6">
        <f t="shared" si="45"/>
        <v>-50.85</v>
      </c>
      <c r="M75" s="2"/>
      <c r="N75" s="7">
        <f t="shared" si="46"/>
        <v>-1</v>
      </c>
      <c r="O75" s="10"/>
      <c r="P75" s="6">
        <v>6682.58</v>
      </c>
      <c r="Q75" s="2"/>
      <c r="R75" s="7">
        <f t="shared" si="47"/>
        <v>5.2353423724070487E-2</v>
      </c>
      <c r="S75" s="2"/>
      <c r="T75" s="6">
        <v>17939.21</v>
      </c>
      <c r="U75" s="2"/>
      <c r="V75" s="7">
        <f t="shared" si="48"/>
        <v>3.7913781953859721E-2</v>
      </c>
      <c r="W75" s="2"/>
      <c r="X75" s="6">
        <f t="shared" si="49"/>
        <v>-11256.63</v>
      </c>
      <c r="Y75" s="2"/>
      <c r="Z75" s="7">
        <f t="shared" si="50"/>
        <v>-0.6274874980559344</v>
      </c>
    </row>
    <row r="76" spans="1:26" s="23" customFormat="1" hidden="1" outlineLevel="2" x14ac:dyDescent="0.25">
      <c r="A76" s="27"/>
      <c r="B76" s="10" t="str">
        <f>CONCATENATE("          ", "6245", " - ", "PRINTING")</f>
        <v xml:space="preserve">          6245 - PRINTING</v>
      </c>
      <c r="C76" s="10"/>
      <c r="D76" s="6">
        <v>5963.79</v>
      </c>
      <c r="E76" s="2"/>
      <c r="F76" s="7">
        <f t="shared" si="43"/>
        <v>0.46066198933580926</v>
      </c>
      <c r="G76" s="2"/>
      <c r="H76" s="6">
        <v>66.150000000000006</v>
      </c>
      <c r="I76" s="2"/>
      <c r="J76" s="7">
        <f t="shared" si="44"/>
        <v>2.2377078294403194E-2</v>
      </c>
      <c r="K76" s="2"/>
      <c r="L76" s="6">
        <f t="shared" si="45"/>
        <v>5897.64</v>
      </c>
      <c r="M76" s="2"/>
      <c r="N76" s="7">
        <f t="shared" si="46"/>
        <v>89.155555555555551</v>
      </c>
      <c r="O76" s="10"/>
      <c r="P76" s="6">
        <v>9015.7199999999993</v>
      </c>
      <c r="Q76" s="2"/>
      <c r="R76" s="7">
        <f t="shared" si="47"/>
        <v>7.0631972881368688E-2</v>
      </c>
      <c r="S76" s="2"/>
      <c r="T76" s="6">
        <v>5894.17</v>
      </c>
      <c r="U76" s="2"/>
      <c r="V76" s="7">
        <f t="shared" si="48"/>
        <v>1.2457085689892776E-2</v>
      </c>
      <c r="W76" s="2"/>
      <c r="X76" s="6">
        <f t="shared" si="49"/>
        <v>3121.5499999999993</v>
      </c>
      <c r="Y76" s="2"/>
      <c r="Z76" s="7">
        <f t="shared" si="50"/>
        <v>0.52959958738889434</v>
      </c>
    </row>
    <row r="77" spans="1:26" s="23" customFormat="1" hidden="1" outlineLevel="2" x14ac:dyDescent="0.25">
      <c r="A77" s="27"/>
      <c r="B77" s="10" t="str">
        <f>CONCATENATE("          ", "6247", " - ", "STORE SUPPLIES")</f>
        <v xml:space="preserve">          6247 - STORE SUPPLIES</v>
      </c>
      <c r="C77" s="10"/>
      <c r="D77" s="6">
        <v>646.20000000000005</v>
      </c>
      <c r="E77" s="2"/>
      <c r="F77" s="7">
        <f t="shared" si="43"/>
        <v>4.9914530442688287E-2</v>
      </c>
      <c r="G77" s="2"/>
      <c r="H77" s="6"/>
      <c r="I77" s="2"/>
      <c r="J77" s="7">
        <f t="shared" si="44"/>
        <v>0</v>
      </c>
      <c r="K77" s="2"/>
      <c r="L77" s="6">
        <f t="shared" si="45"/>
        <v>646.20000000000005</v>
      </c>
      <c r="M77" s="2"/>
      <c r="N77" s="7">
        <f t="shared" si="46"/>
        <v>0</v>
      </c>
      <c r="O77" s="10"/>
      <c r="P77" s="6">
        <v>21741.22</v>
      </c>
      <c r="Q77" s="2"/>
      <c r="R77" s="7">
        <f t="shared" si="47"/>
        <v>0.1703275236418024</v>
      </c>
      <c r="S77" s="2"/>
      <c r="T77" s="6">
        <v>14351.68</v>
      </c>
      <c r="U77" s="2"/>
      <c r="V77" s="7">
        <f t="shared" si="48"/>
        <v>3.0331684962245805E-2</v>
      </c>
      <c r="W77" s="2"/>
      <c r="X77" s="6">
        <f t="shared" si="49"/>
        <v>7389.5400000000009</v>
      </c>
      <c r="Y77" s="2"/>
      <c r="Z77" s="7">
        <f t="shared" si="50"/>
        <v>0.51489024281477858</v>
      </c>
    </row>
    <row r="78" spans="1:26" s="26" customFormat="1" outlineLevel="1" collapsed="1" x14ac:dyDescent="0.25">
      <c r="A78" s="25"/>
      <c r="B78" s="12" t="str">
        <f>CONCATENATE("     ","Telephone/Data Lines                              ")</f>
        <v xml:space="preserve">     Telephone/Data Lines                              </v>
      </c>
      <c r="C78" s="12"/>
      <c r="D78" s="1">
        <f>SUM(OSRRefD22_12x_0)</f>
        <v>157.85</v>
      </c>
      <c r="E78" s="1"/>
      <c r="F78" s="5">
        <f t="shared" ref="F78:F83" si="51">IF(D$12=0,0,D78/D$12)</f>
        <v>1.2192832916091528E-2</v>
      </c>
      <c r="G78" s="1"/>
      <c r="H78" s="1">
        <f>SUM(OSRRefH22_12x_0)</f>
        <v>151.6</v>
      </c>
      <c r="I78" s="1"/>
      <c r="J78" s="5">
        <f t="shared" ref="J78:J83" si="52">IF(H$12=0,0,H78/H$12)</f>
        <v>5.1282918661096355E-2</v>
      </c>
      <c r="K78" s="1"/>
      <c r="L78" s="1">
        <f t="shared" ref="L78:L83" si="53">+D78-H78</f>
        <v>6.25</v>
      </c>
      <c r="M78" s="1"/>
      <c r="N78" s="5">
        <f t="shared" ref="N78:N83" si="54">IF(H78=0,0,L78/H78)</f>
        <v>4.1226912928759893E-2</v>
      </c>
      <c r="O78" s="12"/>
      <c r="P78" s="1">
        <f>SUM(OSRRefP22_12x_0)</f>
        <v>1743.35</v>
      </c>
      <c r="Q78" s="1"/>
      <c r="R78" s="5">
        <f t="shared" ref="R78:R83" si="55">IF(P$12=0,0,P78/P$12)</f>
        <v>1.3657949661561595E-2</v>
      </c>
      <c r="S78" s="1"/>
      <c r="T78" s="1">
        <f>SUM(OSRRefT22_12x_0)</f>
        <v>1599.7</v>
      </c>
      <c r="U78" s="1"/>
      <c r="V78" s="5">
        <f t="shared" ref="V78:V83" si="56">IF(T$12=0,0,T78/T$12)</f>
        <v>3.3809001060575916E-3</v>
      </c>
      <c r="W78" s="1"/>
      <c r="X78" s="1">
        <f t="shared" ref="X78:X83" si="57">+P78-T78</f>
        <v>143.64999999999986</v>
      </c>
      <c r="Y78" s="1"/>
      <c r="Z78" s="5">
        <f t="shared" ref="Z78:Z83" si="58">IF(T78=0,0,X78/T78)</f>
        <v>8.9798087141338911E-2</v>
      </c>
    </row>
    <row r="79" spans="1:26" s="23" customFormat="1" hidden="1" outlineLevel="2" x14ac:dyDescent="0.25">
      <c r="A79" s="27"/>
      <c r="B79" s="10" t="str">
        <f>CONCATENATE("          ", "6309", " - ", "TELEPHONE")</f>
        <v xml:space="preserve">          6309 - TELEPHONE</v>
      </c>
      <c r="C79" s="10"/>
      <c r="D79" s="6">
        <v>157.85</v>
      </c>
      <c r="E79" s="2"/>
      <c r="F79" s="7">
        <f t="shared" si="51"/>
        <v>1.2192832916091528E-2</v>
      </c>
      <c r="G79" s="2"/>
      <c r="H79" s="6">
        <v>151.6</v>
      </c>
      <c r="I79" s="2"/>
      <c r="J79" s="7">
        <f t="shared" si="52"/>
        <v>5.1282918661096355E-2</v>
      </c>
      <c r="K79" s="2"/>
      <c r="L79" s="6">
        <f t="shared" si="53"/>
        <v>6.25</v>
      </c>
      <c r="M79" s="2"/>
      <c r="N79" s="7">
        <f t="shared" si="54"/>
        <v>4.1226912928759893E-2</v>
      </c>
      <c r="O79" s="10"/>
      <c r="P79" s="6">
        <v>1743.35</v>
      </c>
      <c r="Q79" s="2"/>
      <c r="R79" s="7">
        <f t="shared" si="55"/>
        <v>1.3657949661561595E-2</v>
      </c>
      <c r="S79" s="2"/>
      <c r="T79" s="6">
        <v>1599.7</v>
      </c>
      <c r="U79" s="2"/>
      <c r="V79" s="7">
        <f t="shared" si="56"/>
        <v>3.3809001060575916E-3</v>
      </c>
      <c r="W79" s="2"/>
      <c r="X79" s="6">
        <f t="shared" si="57"/>
        <v>143.64999999999986</v>
      </c>
      <c r="Y79" s="2"/>
      <c r="Z79" s="7">
        <f t="shared" si="58"/>
        <v>8.9798087141338911E-2</v>
      </c>
    </row>
    <row r="80" spans="1:26" s="26" customFormat="1" outlineLevel="1" collapsed="1" x14ac:dyDescent="0.25">
      <c r="A80" s="25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SUM(OSRRefD22_13x_0)</f>
        <v>0</v>
      </c>
      <c r="E80" s="1"/>
      <c r="F80" s="5">
        <f t="shared" si="51"/>
        <v>0</v>
      </c>
      <c r="G80" s="1"/>
      <c r="H80" s="1">
        <f>SUM(OSRRefH22_13x_0)</f>
        <v>0</v>
      </c>
      <c r="I80" s="1"/>
      <c r="J80" s="5">
        <f t="shared" si="52"/>
        <v>0</v>
      </c>
      <c r="K80" s="1"/>
      <c r="L80" s="1">
        <f t="shared" si="53"/>
        <v>0</v>
      </c>
      <c r="M80" s="1"/>
      <c r="N80" s="5">
        <f t="shared" si="54"/>
        <v>0</v>
      </c>
      <c r="O80" s="12"/>
      <c r="P80" s="1">
        <f>SUM(OSRRefP22_13x_0)</f>
        <v>0</v>
      </c>
      <c r="Q80" s="1"/>
      <c r="R80" s="5">
        <f t="shared" si="55"/>
        <v>0</v>
      </c>
      <c r="S80" s="1"/>
      <c r="T80" s="1">
        <f>SUM(OSRRefT22_13x_0)</f>
        <v>97.71</v>
      </c>
      <c r="U80" s="1"/>
      <c r="V80" s="5">
        <f t="shared" si="56"/>
        <v>2.0650606323866178E-4</v>
      </c>
      <c r="W80" s="1"/>
      <c r="X80" s="1">
        <f t="shared" si="57"/>
        <v>-97.71</v>
      </c>
      <c r="Y80" s="1"/>
      <c r="Z80" s="5">
        <f t="shared" si="58"/>
        <v>-1</v>
      </c>
    </row>
    <row r="81" spans="1:26" s="23" customFormat="1" hidden="1" outlineLevel="2" x14ac:dyDescent="0.25">
      <c r="A81" s="27"/>
      <c r="B81" s="10" t="str">
        <f>CONCATENATE("          ", "6376", " - ", "TRAINING")</f>
        <v xml:space="preserve">          6376 - TRAINING</v>
      </c>
      <c r="C81" s="10"/>
      <c r="D81" s="6"/>
      <c r="E81" s="2"/>
      <c r="F81" s="7">
        <f t="shared" si="51"/>
        <v>0</v>
      </c>
      <c r="G81" s="2"/>
      <c r="H81" s="6"/>
      <c r="I81" s="2"/>
      <c r="J81" s="7">
        <f t="shared" si="52"/>
        <v>0</v>
      </c>
      <c r="K81" s="2"/>
      <c r="L81" s="6">
        <f t="shared" si="53"/>
        <v>0</v>
      </c>
      <c r="M81" s="2"/>
      <c r="N81" s="7">
        <f t="shared" si="54"/>
        <v>0</v>
      </c>
      <c r="O81" s="10"/>
      <c r="P81" s="6"/>
      <c r="Q81" s="2"/>
      <c r="R81" s="7">
        <f t="shared" si="55"/>
        <v>0</v>
      </c>
      <c r="S81" s="2"/>
      <c r="T81" s="6">
        <v>97.71</v>
      </c>
      <c r="U81" s="2"/>
      <c r="V81" s="7">
        <f t="shared" si="56"/>
        <v>2.0650606323866178E-4</v>
      </c>
      <c r="W81" s="2"/>
      <c r="X81" s="6">
        <f t="shared" si="57"/>
        <v>-97.71</v>
      </c>
      <c r="Y81" s="2"/>
      <c r="Z81" s="7">
        <f t="shared" si="58"/>
        <v>-1</v>
      </c>
    </row>
    <row r="82" spans="1:26" s="26" customFormat="1" outlineLevel="1" collapsed="1" x14ac:dyDescent="0.25">
      <c r="A82" s="25"/>
      <c r="B82" s="12" t="str">
        <f>CONCATENATE("     ","Utilities                                         ")</f>
        <v xml:space="preserve">     Utilities                                         </v>
      </c>
      <c r="C82" s="12"/>
      <c r="D82" s="1">
        <f>SUM(OSRRefD22_14x_0)</f>
        <v>0</v>
      </c>
      <c r="E82" s="1"/>
      <c r="F82" s="5">
        <f t="shared" si="51"/>
        <v>0</v>
      </c>
      <c r="G82" s="1"/>
      <c r="H82" s="1">
        <f>SUM(OSRRefH22_14x_0)</f>
        <v>0</v>
      </c>
      <c r="I82" s="1"/>
      <c r="J82" s="5">
        <f t="shared" si="52"/>
        <v>0</v>
      </c>
      <c r="K82" s="1"/>
      <c r="L82" s="1">
        <f t="shared" si="53"/>
        <v>0</v>
      </c>
      <c r="M82" s="1"/>
      <c r="N82" s="5">
        <f t="shared" si="54"/>
        <v>0</v>
      </c>
      <c r="O82" s="12"/>
      <c r="P82" s="1">
        <f>SUM(OSRRefP22_14x_0)</f>
        <v>15.02</v>
      </c>
      <c r="Q82" s="1"/>
      <c r="R82" s="5">
        <f t="shared" si="55"/>
        <v>1.1767138206135036E-4</v>
      </c>
      <c r="S82" s="1"/>
      <c r="T82" s="1">
        <f>SUM(OSRRefT22_14x_0)</f>
        <v>0</v>
      </c>
      <c r="U82" s="1"/>
      <c r="V82" s="5">
        <f t="shared" si="56"/>
        <v>0</v>
      </c>
      <c r="W82" s="1"/>
      <c r="X82" s="1">
        <f t="shared" si="57"/>
        <v>15.02</v>
      </c>
      <c r="Y82" s="1"/>
      <c r="Z82" s="5">
        <f t="shared" si="58"/>
        <v>0</v>
      </c>
    </row>
    <row r="83" spans="1:26" s="23" customFormat="1" hidden="1" outlineLevel="2" x14ac:dyDescent="0.25">
      <c r="A83" s="27"/>
      <c r="B83" s="10" t="str">
        <f>CONCATENATE("          ", "6274", " - ", "UTILITIES")</f>
        <v xml:space="preserve">          6274 - UTILITIES</v>
      </c>
      <c r="C83" s="10"/>
      <c r="D83" s="6"/>
      <c r="E83" s="2"/>
      <c r="F83" s="7">
        <f t="shared" si="51"/>
        <v>0</v>
      </c>
      <c r="G83" s="2"/>
      <c r="H83" s="6"/>
      <c r="I83" s="2"/>
      <c r="J83" s="7">
        <f t="shared" si="52"/>
        <v>0</v>
      </c>
      <c r="K83" s="2"/>
      <c r="L83" s="6">
        <f t="shared" si="53"/>
        <v>0</v>
      </c>
      <c r="M83" s="2"/>
      <c r="N83" s="7">
        <f t="shared" si="54"/>
        <v>0</v>
      </c>
      <c r="O83" s="10"/>
      <c r="P83" s="6">
        <v>15.02</v>
      </c>
      <c r="Q83" s="2"/>
      <c r="R83" s="7">
        <f t="shared" si="55"/>
        <v>1.1767138206135036E-4</v>
      </c>
      <c r="S83" s="2"/>
      <c r="T83" s="6"/>
      <c r="U83" s="2"/>
      <c r="V83" s="7">
        <f t="shared" si="56"/>
        <v>0</v>
      </c>
      <c r="W83" s="2"/>
      <c r="X83" s="6">
        <f t="shared" si="57"/>
        <v>15.02</v>
      </c>
      <c r="Y83" s="2"/>
      <c r="Z83" s="7">
        <f t="shared" si="58"/>
        <v>0</v>
      </c>
    </row>
    <row r="84" spans="1:26" s="57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4" customFormat="1" collapsed="1" x14ac:dyDescent="0.25">
      <c r="A85" s="11"/>
      <c r="B85" s="29" t="s">
        <v>292</v>
      </c>
      <c r="C85" s="11"/>
      <c r="D85" s="4">
        <f>SUM(OSRRefD25x_0)</f>
        <v>6782</v>
      </c>
      <c r="E85" s="4"/>
      <c r="F85" s="13">
        <f t="shared" ref="F85:F86" si="59">IF(D$12=0,0,D85/D$12)</f>
        <v>0.52386311585006484</v>
      </c>
      <c r="G85" s="4"/>
      <c r="H85" s="4">
        <f>SUM(OSRRefH25x_0)</f>
        <v>13269</v>
      </c>
      <c r="I85" s="4"/>
      <c r="J85" s="13">
        <f t="shared" ref="J85:J86" si="60">IF(H$12=0,0,H85/H$12)</f>
        <v>4.4886084941562503</v>
      </c>
      <c r="K85" s="4"/>
      <c r="L85" s="4">
        <f t="shared" ref="L85:L86" si="61">+D85-H85</f>
        <v>-6487</v>
      </c>
      <c r="M85" s="4"/>
      <c r="N85" s="13">
        <f t="shared" ref="N85:N86" si="62">IF(H85=0,0,L85/H85)</f>
        <v>-0.48888386464692141</v>
      </c>
      <c r="O85" s="11"/>
      <c r="P85" s="4">
        <f>SUM(OSRRefP25x_0)</f>
        <v>74602</v>
      </c>
      <c r="Q85" s="4"/>
      <c r="R85" s="13">
        <f t="shared" ref="R85:R86" si="63">IF(P$12=0,0,P85/P$12)</f>
        <v>0.58445542240618242</v>
      </c>
      <c r="S85" s="4"/>
      <c r="T85" s="4">
        <f>SUM(OSRRefT25x_0)</f>
        <v>144632.1</v>
      </c>
      <c r="U85" s="4"/>
      <c r="V85" s="13">
        <f t="shared" ref="V85:V86" si="64">IF(T$12=0,0,T85/T$12)</f>
        <v>0.3056739902665076</v>
      </c>
      <c r="W85" s="4"/>
      <c r="X85" s="4">
        <f t="shared" ref="X85:X86" si="65">+P85-T85</f>
        <v>-70030.100000000006</v>
      </c>
      <c r="Y85" s="4"/>
      <c r="Z85" s="13">
        <f t="shared" ref="Z85:Z86" si="66">IF(T85=0,0,X85/T85)</f>
        <v>-0.48419472579047118</v>
      </c>
    </row>
    <row r="86" spans="1:26" s="23" customFormat="1" hidden="1" outlineLevel="1" x14ac:dyDescent="0.25">
      <c r="A86" s="44"/>
      <c r="B86" s="10" t="str">
        <f>CONCATENATE("          ", "9150", " - ", "MISC. INCOME")</f>
        <v xml:space="preserve">          9150 - MISC. INCOME</v>
      </c>
      <c r="C86" s="10"/>
      <c r="D86" s="2">
        <f>--6782</f>
        <v>6782</v>
      </c>
      <c r="E86" s="2"/>
      <c r="F86" s="19">
        <f t="shared" si="59"/>
        <v>0.52386311585006484</v>
      </c>
      <c r="G86" s="2"/>
      <c r="H86" s="2">
        <f>--13269</f>
        <v>13269</v>
      </c>
      <c r="I86" s="2"/>
      <c r="J86" s="19">
        <f t="shared" si="60"/>
        <v>4.4886084941562503</v>
      </c>
      <c r="K86" s="2"/>
      <c r="L86" s="2">
        <f t="shared" si="61"/>
        <v>-6487</v>
      </c>
      <c r="M86" s="2"/>
      <c r="N86" s="19">
        <f t="shared" si="62"/>
        <v>-0.48888386464692141</v>
      </c>
      <c r="O86" s="10"/>
      <c r="P86" s="2">
        <f>--74602</f>
        <v>74602</v>
      </c>
      <c r="Q86" s="2"/>
      <c r="R86" s="19">
        <f t="shared" si="63"/>
        <v>0.58445542240618242</v>
      </c>
      <c r="S86" s="2"/>
      <c r="T86" s="2">
        <f>--144632.1</f>
        <v>144632.1</v>
      </c>
      <c r="U86" s="2"/>
      <c r="V86" s="19">
        <f t="shared" si="64"/>
        <v>0.3056739902665076</v>
      </c>
      <c r="W86" s="2"/>
      <c r="X86" s="2">
        <f t="shared" si="65"/>
        <v>-70030.100000000006</v>
      </c>
      <c r="Y86" s="2"/>
      <c r="Z86" s="19">
        <f t="shared" si="66"/>
        <v>-0.48419472579047118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8" t="s">
        <v>276</v>
      </c>
      <c r="C88" s="28"/>
      <c r="D88" s="20">
        <f>+D33-D35+D85</f>
        <v>6727.9700000000084</v>
      </c>
      <c r="E88" s="14"/>
      <c r="F88" s="21">
        <f>IF(D$12=0,0,D88/D$12)</f>
        <v>0.51968966787758264</v>
      </c>
      <c r="G88" s="14"/>
      <c r="H88" s="20">
        <f>+H33-H35+H85</f>
        <v>-1398.7899999999991</v>
      </c>
      <c r="I88" s="14"/>
      <c r="J88" s="21">
        <f>IF(H$12=0,0,H88/H$12)</f>
        <v>-0.47317964244033589</v>
      </c>
      <c r="K88" s="15"/>
      <c r="L88" s="20">
        <f>+D88-H88</f>
        <v>8126.7600000000075</v>
      </c>
      <c r="M88" s="15"/>
      <c r="N88" s="21">
        <f>IF(H88=0,0,L88/H88)</f>
        <v>-5.809849941735366</v>
      </c>
      <c r="O88" s="29"/>
      <c r="P88" s="20">
        <f>+P33-P35+P85</f>
        <v>-83314.320000000007</v>
      </c>
      <c r="Q88" s="14"/>
      <c r="R88" s="21">
        <f>IF(P$12=0,0,P88/P$12)</f>
        <v>-0.6527104647071641</v>
      </c>
      <c r="S88" s="14"/>
      <c r="T88" s="20">
        <f>+T33-T35+T85</f>
        <v>146025.97999999995</v>
      </c>
      <c r="U88" s="14"/>
      <c r="V88" s="21">
        <f>IF(T$12=0,0,T88/T$12)</f>
        <v>0.30861989827415365</v>
      </c>
      <c r="W88" s="15"/>
      <c r="X88" s="20">
        <f>+P88-T88</f>
        <v>-229340.29999999996</v>
      </c>
      <c r="Y88" s="15"/>
      <c r="Z88" s="21">
        <f>IF(T88=0,0,X88/T88)</f>
        <v>-1.5705445017386634</v>
      </c>
    </row>
    <row r="89" spans="1:26" x14ac:dyDescent="0.25">
      <c r="A89" s="9"/>
      <c r="B89" s="11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51"/>
      <c r="B90" s="11" t="s">
        <v>127</v>
      </c>
      <c r="C90" s="11"/>
      <c r="D90" s="4">
        <v>3281.05</v>
      </c>
      <c r="E90" s="4"/>
      <c r="F90" s="13">
        <f>IF(D$12=0,0,D90/D$12)</f>
        <v>0.25343867240634849</v>
      </c>
      <c r="G90" s="4"/>
      <c r="H90" s="4">
        <v>2643.58</v>
      </c>
      <c r="I90" s="4"/>
      <c r="J90" s="13">
        <f>IF(H$12=0,0,H90/H$12)</f>
        <v>0.8942644994333846</v>
      </c>
      <c r="K90" s="4"/>
      <c r="L90" s="4">
        <f>+D90-H90</f>
        <v>637.47000000000025</v>
      </c>
      <c r="M90" s="4"/>
      <c r="N90" s="13">
        <f>IF(H90=0,0,L90/H90)</f>
        <v>0.24113891011431479</v>
      </c>
      <c r="O90" s="11"/>
      <c r="P90" s="4">
        <v>27276.23</v>
      </c>
      <c r="Q90" s="4"/>
      <c r="R90" s="13">
        <f>IF(P$12=0,0,P90/P$12)</f>
        <v>0.21369052473523745</v>
      </c>
      <c r="S90" s="4"/>
      <c r="T90" s="4">
        <v>56031.64</v>
      </c>
      <c r="U90" s="4"/>
      <c r="V90" s="13">
        <f>IF(T$12=0,0,T90/T$12)</f>
        <v>0.11842056486752564</v>
      </c>
      <c r="W90" s="4"/>
      <c r="X90" s="4">
        <f>+P90-T90</f>
        <v>-28755.41</v>
      </c>
      <c r="Y90" s="4"/>
      <c r="Z90" s="13">
        <f>IF(T90=0,0,X90/T90)</f>
        <v>-0.5131995065645053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8" t="s">
        <v>125</v>
      </c>
      <c r="C92" s="28"/>
      <c r="D92" s="35">
        <f>+D88-D90</f>
        <v>3446.9200000000083</v>
      </c>
      <c r="E92" s="14"/>
      <c r="F92" s="36">
        <f>IF(D$12=0,0,D92/D$12)</f>
        <v>0.26625099547123415</v>
      </c>
      <c r="G92" s="14"/>
      <c r="H92" s="35">
        <f>+H88-H90</f>
        <v>-4042.369999999999</v>
      </c>
      <c r="I92" s="14"/>
      <c r="J92" s="36">
        <f>IF(H$12=0,0,H92/H$12)</f>
        <v>-1.3674441418737204</v>
      </c>
      <c r="K92" s="15"/>
      <c r="L92" s="35">
        <f>D92-H92</f>
        <v>7489.2900000000072</v>
      </c>
      <c r="M92" s="15"/>
      <c r="N92" s="36">
        <f>IF(H92=0,0,L92/H92)</f>
        <v>-1.8526977985686637</v>
      </c>
      <c r="O92" s="29"/>
      <c r="P92" s="35">
        <f>+P88-P90</f>
        <v>-110590.55</v>
      </c>
      <c r="Q92" s="14"/>
      <c r="R92" s="36">
        <f>IF(P$12=0,0,P92/P$12)</f>
        <v>-0.86640098944240151</v>
      </c>
      <c r="S92" s="14"/>
      <c r="T92" s="35">
        <f>+T88-T90</f>
        <v>89994.339999999953</v>
      </c>
      <c r="U92" s="14"/>
      <c r="V92" s="36">
        <f>IF(T$12=0,0,T92/T$12)</f>
        <v>0.19019933340662798</v>
      </c>
      <c r="W92" s="15"/>
      <c r="X92" s="35">
        <f>P92-T92</f>
        <v>-200584.88999999996</v>
      </c>
      <c r="Y92" s="15"/>
      <c r="Z92" s="36">
        <f>IF(T92=0,0,X92/T92)</f>
        <v>-2.2288611706025074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8" t="s">
        <v>293</v>
      </c>
      <c r="C95" s="28"/>
      <c r="D95" s="30">
        <f>SUM(D92:D94)</f>
        <v>3446.9200000000083</v>
      </c>
      <c r="E95" s="14"/>
      <c r="F95" s="31">
        <f>IF(D$12=0,0,D95/D$12)</f>
        <v>0.26625099547123415</v>
      </c>
      <c r="G95" s="14"/>
      <c r="H95" s="30">
        <f>SUM(H92:H94)</f>
        <v>-4042.369999999999</v>
      </c>
      <c r="I95" s="14"/>
      <c r="J95" s="31">
        <f>IF(H$12=0,0,H95/H$12)</f>
        <v>-1.3674441418737204</v>
      </c>
      <c r="K95" s="15"/>
      <c r="L95" s="30">
        <f>+D95-H95</f>
        <v>7489.2900000000072</v>
      </c>
      <c r="M95" s="15"/>
      <c r="N95" s="31">
        <f>IF(H95=0,0,L95/H95)</f>
        <v>-1.8526977985686637</v>
      </c>
      <c r="O95" s="29"/>
      <c r="P95" s="30">
        <f>SUM(P92:P94)</f>
        <v>-110590.55</v>
      </c>
      <c r="Q95" s="14"/>
      <c r="R95" s="31">
        <f>IF(P$12=0,0,P95/P$12)</f>
        <v>-0.86640098944240151</v>
      </c>
      <c r="S95" s="14"/>
      <c r="T95" s="30">
        <f>SUM(T92:T94)</f>
        <v>89994.339999999953</v>
      </c>
      <c r="U95" s="14"/>
      <c r="V95" s="31">
        <f>IF(T$12=0,0,T95/T$12)</f>
        <v>0.19019933340662798</v>
      </c>
      <c r="W95" s="15"/>
      <c r="X95" s="30">
        <f>+P95-T95</f>
        <v>-200584.88999999996</v>
      </c>
      <c r="Y95" s="15"/>
      <c r="Z95" s="31">
        <f>IF(T95=0,0,X95/T95)</f>
        <v>-2.2288611706025074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9">
        <v>44356.893348032405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2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4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13581.800000000001</v>
      </c>
      <c r="I12" s="4"/>
      <c r="J12" s="13"/>
      <c r="K12" s="4"/>
      <c r="L12" s="4">
        <f t="shared" ref="L12:L16" si="0">+D12-H12</f>
        <v>-13581.800000000001</v>
      </c>
      <c r="M12" s="4"/>
      <c r="N12" s="13">
        <f t="shared" ref="N12:N16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35213.780000000006</v>
      </c>
      <c r="U12" s="4"/>
      <c r="V12" s="13"/>
      <c r="W12" s="4"/>
      <c r="X12" s="4">
        <f t="shared" ref="X12:X16" si="2">+P12-T12</f>
        <v>-35213.780000000006</v>
      </c>
      <c r="Y12" s="4"/>
      <c r="Z12" s="13">
        <f t="shared" ref="Z12:Z16" si="3">IF(T12=0,0,X12/T12)</f>
        <v>-1</v>
      </c>
    </row>
    <row r="13" spans="1:26" s="23" customFormat="1" hidden="1" outlineLevel="1" x14ac:dyDescent="0.25">
      <c r="A13" s="44"/>
      <c r="B13" s="10" t="str">
        <f>CONCATENATE("          ", "4092", " - ", "TAXABLE SALES-GRAD MERCH")</f>
        <v xml:space="preserve">          4092 - TAXABLE SALES-GRAD MERCH</v>
      </c>
      <c r="C13" s="10"/>
      <c r="D13" s="2">
        <f t="shared" ref="D13:D16" si="4">0</f>
        <v>0</v>
      </c>
      <c r="E13" s="2"/>
      <c r="F13" s="19"/>
      <c r="G13" s="2"/>
      <c r="H13" s="2">
        <f>--13527.29</f>
        <v>13527.29</v>
      </c>
      <c r="I13" s="2"/>
      <c r="J13" s="19"/>
      <c r="K13" s="2"/>
      <c r="L13" s="2">
        <f t="shared" si="0"/>
        <v>-13527.29</v>
      </c>
      <c r="M13" s="2"/>
      <c r="N13" s="19">
        <f t="shared" si="1"/>
        <v>-1</v>
      </c>
      <c r="O13" s="10"/>
      <c r="P13" s="2">
        <f t="shared" ref="P13:P16" si="5">0</f>
        <v>0</v>
      </c>
      <c r="Q13" s="2"/>
      <c r="R13" s="19"/>
      <c r="S13" s="2"/>
      <c r="T13" s="2">
        <f>--35393.66</f>
        <v>35393.660000000003</v>
      </c>
      <c r="U13" s="2"/>
      <c r="V13" s="19"/>
      <c r="W13" s="2"/>
      <c r="X13" s="2">
        <f t="shared" si="2"/>
        <v>-35393.660000000003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"4095", " - ", "TAXABLE SALES-CUSTOMER SERVICE")</f>
        <v xml:space="preserve">          4095 - TAXABLE SALES-CUSTOMER SERVICE</v>
      </c>
      <c r="C14" s="10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5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"4192", " - ", "NON-TAXABLE SALES-GRAD MERCH")</f>
        <v xml:space="preserve">          4192 - NON-TAXABLE SALES-GRAD MERCH</v>
      </c>
      <c r="C15" s="10"/>
      <c r="D15" s="2">
        <f t="shared" si="4"/>
        <v>0</v>
      </c>
      <c r="E15" s="2"/>
      <c r="F15" s="19"/>
      <c r="G15" s="2"/>
      <c r="H15" s="2">
        <f>--119.4</f>
        <v>119.4</v>
      </c>
      <c r="I15" s="2"/>
      <c r="J15" s="19"/>
      <c r="K15" s="2"/>
      <c r="L15" s="2">
        <f t="shared" si="0"/>
        <v>-119.4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--119.4</f>
        <v>119.4</v>
      </c>
      <c r="U15" s="2"/>
      <c r="V15" s="19"/>
      <c r="W15" s="2"/>
      <c r="X15" s="2">
        <f t="shared" si="2"/>
        <v>-119.4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"4292", " - ", "SALES RETURN TAXABLE-GRAD MERC")</f>
        <v xml:space="preserve">          4292 - SALES RETURN TAXABLE-GRAD MERC</v>
      </c>
      <c r="C16" s="10"/>
      <c r="D16" s="2">
        <f t="shared" si="4"/>
        <v>0</v>
      </c>
      <c r="E16" s="2"/>
      <c r="F16" s="19"/>
      <c r="G16" s="2"/>
      <c r="H16" s="2">
        <f>-64.89</f>
        <v>-64.89</v>
      </c>
      <c r="I16" s="2"/>
      <c r="J16" s="19"/>
      <c r="K16" s="2"/>
      <c r="L16" s="2">
        <f t="shared" si="0"/>
        <v>64.89</v>
      </c>
      <c r="M16" s="2"/>
      <c r="N16" s="19">
        <f t="shared" si="1"/>
        <v>-1</v>
      </c>
      <c r="O16" s="10"/>
      <c r="P16" s="2">
        <f t="shared" si="5"/>
        <v>0</v>
      </c>
      <c r="Q16" s="2"/>
      <c r="R16" s="19"/>
      <c r="S16" s="2"/>
      <c r="T16" s="2">
        <f>-578.84</f>
        <v>-578.84</v>
      </c>
      <c r="U16" s="2"/>
      <c r="V16" s="19"/>
      <c r="W16" s="2"/>
      <c r="X16" s="2">
        <f t="shared" si="2"/>
        <v>578.84</v>
      </c>
      <c r="Y16" s="2"/>
      <c r="Z16" s="19">
        <f t="shared" si="3"/>
        <v>-1</v>
      </c>
    </row>
    <row r="17" spans="1:26" x14ac:dyDescent="0.25">
      <c r="A17" s="9"/>
      <c r="B17" s="11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collapsed="1" x14ac:dyDescent="0.25">
      <c r="A18" s="11"/>
      <c r="B18" s="29" t="s">
        <v>256</v>
      </c>
      <c r="C18" s="11"/>
      <c r="D18" s="4">
        <f>SUM(OSRRefD16x_0)</f>
        <v>0</v>
      </c>
      <c r="E18" s="4"/>
      <c r="F18" s="13">
        <f t="shared" ref="F18:F23" si="6">IF(D$12=0,0,D18/D$12)</f>
        <v>0</v>
      </c>
      <c r="G18" s="4"/>
      <c r="H18" s="4">
        <f>SUM(OSRRefH16x_0)</f>
        <v>5155.7199999999993</v>
      </c>
      <c r="I18" s="4"/>
      <c r="J18" s="13">
        <f t="shared" ref="J18:J23" si="7">IF(H$12=0,0,H18/H$12)</f>
        <v>0.37960505971226194</v>
      </c>
      <c r="K18" s="4"/>
      <c r="L18" s="4">
        <f t="shared" ref="L18:L23" si="8">+D18-H18</f>
        <v>-5155.7199999999993</v>
      </c>
      <c r="M18" s="4"/>
      <c r="N18" s="13">
        <f t="shared" ref="N18:N23" si="9">IF(H18=0,0,L18/H18)</f>
        <v>-1</v>
      </c>
      <c r="O18" s="11"/>
      <c r="P18" s="4">
        <f>SUM(OSRRefP16x_0)</f>
        <v>0</v>
      </c>
      <c r="Q18" s="4"/>
      <c r="R18" s="13">
        <f t="shared" ref="R18:R23" si="10">IF(P$12=0,0,P18/P$12)</f>
        <v>0</v>
      </c>
      <c r="S18" s="4"/>
      <c r="T18" s="4">
        <f>SUM(OSRRefT16x_0)</f>
        <v>14627.13</v>
      </c>
      <c r="U18" s="4"/>
      <c r="V18" s="13">
        <f t="shared" ref="V18:V23" si="11">IF(T$12=0,0,T18/T$12)</f>
        <v>0.41538085374532346</v>
      </c>
      <c r="W18" s="4"/>
      <c r="X18" s="4">
        <f t="shared" ref="X18:X23" si="12">+P18-T18</f>
        <v>-14627.13</v>
      </c>
      <c r="Y18" s="4"/>
      <c r="Z18" s="13">
        <f t="shared" ref="Z18:Z23" si="13">IF(T18=0,0,X18/T18)</f>
        <v>-1</v>
      </c>
    </row>
    <row r="19" spans="1:26" s="23" customFormat="1" hidden="1" outlineLevel="1" x14ac:dyDescent="0.25">
      <c r="A19" s="44"/>
      <c r="B19" s="10" t="str">
        <f>CONCATENATE("          ", "5092", " - ", "PURCHASES @ COST-GRAD MERCH")</f>
        <v xml:space="preserve">          5092 - PURCHASES @ COST-GRAD MERCH</v>
      </c>
      <c r="C19" s="10"/>
      <c r="D19" s="2"/>
      <c r="E19" s="2"/>
      <c r="F19" s="19">
        <f t="shared" si="6"/>
        <v>0</v>
      </c>
      <c r="G19" s="2"/>
      <c r="H19" s="2">
        <v>-3999.6</v>
      </c>
      <c r="I19" s="2"/>
      <c r="J19" s="19">
        <f t="shared" si="7"/>
        <v>-0.29448232193081914</v>
      </c>
      <c r="K19" s="2"/>
      <c r="L19" s="2">
        <f t="shared" si="8"/>
        <v>3999.6</v>
      </c>
      <c r="M19" s="2"/>
      <c r="N19" s="19">
        <f t="shared" si="9"/>
        <v>-1</v>
      </c>
      <c r="O19" s="10"/>
      <c r="P19" s="2">
        <v>0</v>
      </c>
      <c r="Q19" s="2"/>
      <c r="R19" s="19">
        <f t="shared" si="10"/>
        <v>0</v>
      </c>
      <c r="S19" s="2"/>
      <c r="T19" s="2">
        <v>4546.2299999999996</v>
      </c>
      <c r="U19" s="2"/>
      <c r="V19" s="19">
        <f t="shared" si="11"/>
        <v>0.12910372019135688</v>
      </c>
      <c r="W19" s="2"/>
      <c r="X19" s="2">
        <f t="shared" si="12"/>
        <v>-4546.2299999999996</v>
      </c>
      <c r="Y19" s="2"/>
      <c r="Z19" s="19">
        <f t="shared" si="13"/>
        <v>-1</v>
      </c>
    </row>
    <row r="20" spans="1:26" s="23" customFormat="1" hidden="1" outlineLevel="1" x14ac:dyDescent="0.25">
      <c r="A20" s="44"/>
      <c r="B20" s="10" t="str">
        <f>CONCATENATE("          ", "5095", " - ", "PURCHASES @ COST-CUSTOMER SERV")</f>
        <v xml:space="preserve">          5095 - PURCHASES @ COST-CUSTOMER SERV</v>
      </c>
      <c r="C20" s="10"/>
      <c r="D20" s="2"/>
      <c r="E20" s="2"/>
      <c r="F20" s="19">
        <f t="shared" si="6"/>
        <v>0</v>
      </c>
      <c r="G20" s="2"/>
      <c r="H20" s="2"/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0"/>
      <c r="P20" s="2"/>
      <c r="Q20" s="2"/>
      <c r="R20" s="19">
        <f t="shared" si="10"/>
        <v>0</v>
      </c>
      <c r="S20" s="2"/>
      <c r="T20" s="2">
        <v>11.85</v>
      </c>
      <c r="U20" s="2"/>
      <c r="V20" s="19">
        <f t="shared" si="11"/>
        <v>3.3651598891115914E-4</v>
      </c>
      <c r="W20" s="2"/>
      <c r="X20" s="2">
        <f t="shared" si="12"/>
        <v>-11.85</v>
      </c>
      <c r="Y20" s="2"/>
      <c r="Z20" s="19">
        <f t="shared" si="13"/>
        <v>-1</v>
      </c>
    </row>
    <row r="21" spans="1:26" s="23" customFormat="1" hidden="1" outlineLevel="1" x14ac:dyDescent="0.25">
      <c r="A21" s="44"/>
      <c r="B21" s="10" t="str">
        <f>CONCATENATE("          ", "5200", " - ", "PURCHASES OFFSET")</f>
        <v xml:space="preserve">          5200 - PURCHASES OFFSET</v>
      </c>
      <c r="C21" s="10"/>
      <c r="D21" s="2"/>
      <c r="E21" s="2"/>
      <c r="F21" s="19">
        <f t="shared" si="6"/>
        <v>0</v>
      </c>
      <c r="G21" s="2"/>
      <c r="H21" s="2">
        <v>3958</v>
      </c>
      <c r="I21" s="2"/>
      <c r="J21" s="19">
        <f t="shared" si="7"/>
        <v>0.29141939949049461</v>
      </c>
      <c r="K21" s="2"/>
      <c r="L21" s="2">
        <f t="shared" si="8"/>
        <v>-3958</v>
      </c>
      <c r="M21" s="2"/>
      <c r="N21" s="19">
        <f t="shared" si="9"/>
        <v>-1</v>
      </c>
      <c r="O21" s="10"/>
      <c r="P21" s="2"/>
      <c r="Q21" s="2"/>
      <c r="R21" s="19">
        <f t="shared" si="10"/>
        <v>0</v>
      </c>
      <c r="S21" s="2"/>
      <c r="T21" s="2">
        <v>-4719</v>
      </c>
      <c r="U21" s="2"/>
      <c r="V21" s="19">
        <f t="shared" si="11"/>
        <v>-0.13401003811576034</v>
      </c>
      <c r="W21" s="2"/>
      <c r="X21" s="2">
        <f t="shared" si="12"/>
        <v>4719</v>
      </c>
      <c r="Y21" s="2"/>
      <c r="Z21" s="19">
        <f t="shared" si="13"/>
        <v>-1</v>
      </c>
    </row>
    <row r="22" spans="1:26" s="23" customFormat="1" hidden="1" outlineLevel="1" x14ac:dyDescent="0.25">
      <c r="A22" s="44"/>
      <c r="B22" s="10" t="str">
        <f>CONCATENATE("          ", "5300", " - ", "COG$ OFFSET")</f>
        <v xml:space="preserve">          5300 - COG$ OFFSET</v>
      </c>
      <c r="C22" s="10"/>
      <c r="D22" s="2"/>
      <c r="E22" s="2"/>
      <c r="F22" s="19">
        <f t="shared" si="6"/>
        <v>0</v>
      </c>
      <c r="G22" s="2"/>
      <c r="H22" s="2">
        <v>5156</v>
      </c>
      <c r="I22" s="2"/>
      <c r="J22" s="19">
        <f t="shared" si="7"/>
        <v>0.37962567553637955</v>
      </c>
      <c r="K22" s="2"/>
      <c r="L22" s="2">
        <f t="shared" si="8"/>
        <v>-5156</v>
      </c>
      <c r="M22" s="2"/>
      <c r="N22" s="19">
        <f t="shared" si="9"/>
        <v>-1</v>
      </c>
      <c r="O22" s="10"/>
      <c r="P22" s="2"/>
      <c r="Q22" s="2"/>
      <c r="R22" s="19">
        <f t="shared" si="10"/>
        <v>0</v>
      </c>
      <c r="S22" s="2"/>
      <c r="T22" s="2">
        <v>14628</v>
      </c>
      <c r="U22" s="2"/>
      <c r="V22" s="19">
        <f t="shared" si="11"/>
        <v>0.41540555998248407</v>
      </c>
      <c r="W22" s="2"/>
      <c r="X22" s="2">
        <f t="shared" si="12"/>
        <v>-14628</v>
      </c>
      <c r="Y22" s="2"/>
      <c r="Z22" s="19">
        <f t="shared" si="13"/>
        <v>-1</v>
      </c>
    </row>
    <row r="23" spans="1:26" s="23" customFormat="1" hidden="1" outlineLevel="1" x14ac:dyDescent="0.25">
      <c r="A23" s="44"/>
      <c r="B23" s="10" t="str">
        <f>CONCATENATE("          ", "5592", " - ", "FREIGHT-IN-GRAD MERCH")</f>
        <v xml:space="preserve">          5592 - FREIGHT-IN-GRAD MERCH</v>
      </c>
      <c r="C23" s="10"/>
      <c r="D23" s="2"/>
      <c r="E23" s="2"/>
      <c r="F23" s="19">
        <f t="shared" si="6"/>
        <v>0</v>
      </c>
      <c r="G23" s="2"/>
      <c r="H23" s="2">
        <v>41.32</v>
      </c>
      <c r="I23" s="2"/>
      <c r="J23" s="19">
        <f t="shared" si="7"/>
        <v>3.0423066162069828E-3</v>
      </c>
      <c r="K23" s="2"/>
      <c r="L23" s="2">
        <f t="shared" si="8"/>
        <v>-41.32</v>
      </c>
      <c r="M23" s="2"/>
      <c r="N23" s="19">
        <f t="shared" si="9"/>
        <v>-1</v>
      </c>
      <c r="O23" s="10"/>
      <c r="P23" s="2">
        <v>0</v>
      </c>
      <c r="Q23" s="2"/>
      <c r="R23" s="19">
        <f t="shared" si="10"/>
        <v>0</v>
      </c>
      <c r="S23" s="2"/>
      <c r="T23" s="2">
        <v>160.05000000000001</v>
      </c>
      <c r="U23" s="2"/>
      <c r="V23" s="19">
        <f t="shared" si="11"/>
        <v>4.5450956983317326E-3</v>
      </c>
      <c r="W23" s="2"/>
      <c r="X23" s="2">
        <f t="shared" si="12"/>
        <v>-160.05000000000001</v>
      </c>
      <c r="Y23" s="2"/>
      <c r="Z23" s="19">
        <f t="shared" si="13"/>
        <v>-1</v>
      </c>
    </row>
    <row r="24" spans="1:26" x14ac:dyDescent="0.25">
      <c r="A24" s="9"/>
      <c r="B24" s="11"/>
      <c r="C24" s="11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1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x14ac:dyDescent="0.25">
      <c r="A25" s="11"/>
      <c r="B25" s="28" t="s">
        <v>107</v>
      </c>
      <c r="C25" s="28"/>
      <c r="D25" s="20">
        <f>D12-D18</f>
        <v>0</v>
      </c>
      <c r="E25" s="14"/>
      <c r="F25" s="21">
        <f>IF(D$12=0,0,D25/D$12)</f>
        <v>0</v>
      </c>
      <c r="G25" s="14"/>
      <c r="H25" s="20">
        <f>H12-H18</f>
        <v>8426.0800000000017</v>
      </c>
      <c r="I25" s="14"/>
      <c r="J25" s="21">
        <f>IF(H$12=0,0,H25/H$12)</f>
        <v>0.62039494028773812</v>
      </c>
      <c r="K25" s="15"/>
      <c r="L25" s="20">
        <f>+D25-H25</f>
        <v>-8426.0800000000017</v>
      </c>
      <c r="M25" s="15"/>
      <c r="N25" s="21">
        <f>IF(H25=0,0,L25/H25)</f>
        <v>-1</v>
      </c>
      <c r="O25" s="29"/>
      <c r="P25" s="20">
        <f>P12-P18</f>
        <v>0</v>
      </c>
      <c r="Q25" s="14"/>
      <c r="R25" s="21">
        <f>IF(P$12=0,0,P25/P$12)</f>
        <v>0</v>
      </c>
      <c r="S25" s="14"/>
      <c r="T25" s="20">
        <f>T12-T18</f>
        <v>20586.650000000009</v>
      </c>
      <c r="U25" s="14"/>
      <c r="V25" s="21">
        <f>IF(T$12=0,0,T25/T$12)</f>
        <v>0.58461914625467659</v>
      </c>
      <c r="W25" s="15"/>
      <c r="X25" s="20">
        <f>+P25-T25</f>
        <v>-20586.650000000009</v>
      </c>
      <c r="Y25" s="15"/>
      <c r="Z25" s="21">
        <f>IF(T25=0,0,X25/T25)</f>
        <v>-1</v>
      </c>
    </row>
    <row r="26" spans="1:26" x14ac:dyDescent="0.25">
      <c r="A26" s="9"/>
      <c r="B26" s="11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4" customFormat="1" x14ac:dyDescent="0.25">
      <c r="A27" s="11"/>
      <c r="B27" s="29" t="s">
        <v>294</v>
      </c>
      <c r="C27" s="11"/>
      <c r="D27" s="22">
        <f>SUM(OSRRefD22x_0)</f>
        <v>0</v>
      </c>
      <c r="E27" s="22"/>
      <c r="F27" s="32">
        <f t="shared" ref="F27:F35" si="14">IF(D$12=0,0,D27/D$12)</f>
        <v>0</v>
      </c>
      <c r="G27" s="22"/>
      <c r="H27" s="22">
        <f>SUM(OSRRefH22x_0)</f>
        <v>5403.85</v>
      </c>
      <c r="I27" s="22"/>
      <c r="J27" s="32">
        <f t="shared" ref="J27:J35" si="15">IF(H$12=0,0,H27/H$12)</f>
        <v>0.39787436127759207</v>
      </c>
      <c r="K27" s="4"/>
      <c r="L27" s="22">
        <f t="shared" ref="L27:L35" si="16">+D27-H27</f>
        <v>-5403.85</v>
      </c>
      <c r="M27" s="4"/>
      <c r="N27" s="32">
        <f t="shared" ref="N27:N35" si="17">IF(H27=0,0,L27/H27)</f>
        <v>-1</v>
      </c>
      <c r="O27" s="11"/>
      <c r="P27" s="22">
        <f>SUM(OSRRefP22x_0)</f>
        <v>0</v>
      </c>
      <c r="Q27" s="22"/>
      <c r="R27" s="32">
        <f t="shared" ref="R27:R35" si="18">IF(P$12=0,0,P27/P$12)</f>
        <v>0</v>
      </c>
      <c r="S27" s="22"/>
      <c r="T27" s="22">
        <f>SUM(OSRRefT22x_0)</f>
        <v>6328.4900000000071</v>
      </c>
      <c r="U27" s="22"/>
      <c r="V27" s="32">
        <f t="shared" ref="V27:V35" si="19">IF(T$12=0,0,T27/T$12)</f>
        <v>0.17971629288307037</v>
      </c>
      <c r="W27" s="4"/>
      <c r="X27" s="22">
        <f t="shared" ref="X27:X35" si="20">+P27-T27</f>
        <v>-6328.4900000000071</v>
      </c>
      <c r="Y27" s="4"/>
      <c r="Z27" s="32">
        <f t="shared" ref="Z27:Z35" si="21">IF(T27=0,0,X27/T27)</f>
        <v>-1</v>
      </c>
    </row>
    <row r="28" spans="1:26" s="26" customFormat="1" outlineLevel="1" collapsed="1" x14ac:dyDescent="0.25">
      <c r="A28" s="25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0</v>
      </c>
      <c r="E28" s="1"/>
      <c r="F28" s="5">
        <f t="shared" si="14"/>
        <v>0</v>
      </c>
      <c r="G28" s="1"/>
      <c r="H28" s="1">
        <f>SUM(OSRRefH22_0x_0)</f>
        <v>0</v>
      </c>
      <c r="I28" s="1"/>
      <c r="J28" s="5">
        <f t="shared" si="15"/>
        <v>0</v>
      </c>
      <c r="K28" s="1"/>
      <c r="L28" s="1">
        <f t="shared" si="16"/>
        <v>0</v>
      </c>
      <c r="M28" s="1"/>
      <c r="N28" s="5">
        <f t="shared" si="17"/>
        <v>0</v>
      </c>
      <c r="O28" s="12"/>
      <c r="P28" s="1">
        <f>SUM(OSRRefP22_0x_0)</f>
        <v>0</v>
      </c>
      <c r="Q28" s="1"/>
      <c r="R28" s="5">
        <f t="shared" si="18"/>
        <v>0</v>
      </c>
      <c r="S28" s="1"/>
      <c r="T28" s="1">
        <f>SUM(OSRRefT22_0x_0)</f>
        <v>874.44</v>
      </c>
      <c r="U28" s="1"/>
      <c r="V28" s="5">
        <f t="shared" si="19"/>
        <v>2.4832324164006245E-2</v>
      </c>
      <c r="W28" s="1"/>
      <c r="X28" s="1">
        <f t="shared" si="20"/>
        <v>-874.44</v>
      </c>
      <c r="Y28" s="1"/>
      <c r="Z28" s="5">
        <f t="shared" si="21"/>
        <v>-1</v>
      </c>
    </row>
    <row r="29" spans="1:26" s="23" customFormat="1" hidden="1" outlineLevel="2" x14ac:dyDescent="0.25">
      <c r="A29" s="27"/>
      <c r="B29" s="10" t="str">
        <f>CONCATENATE("          ", "6111", " - ", "F.I.C.A.")</f>
        <v xml:space="preserve">          6111 - F.I.C.A.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/>
      <c r="Q29" s="2"/>
      <c r="R29" s="7">
        <f t="shared" si="18"/>
        <v>0</v>
      </c>
      <c r="S29" s="2"/>
      <c r="T29" s="6">
        <v>208.81</v>
      </c>
      <c r="U29" s="2"/>
      <c r="V29" s="7">
        <f t="shared" si="19"/>
        <v>5.9297808982733454E-3</v>
      </c>
      <c r="W29" s="2"/>
      <c r="X29" s="6">
        <f t="shared" si="20"/>
        <v>-208.81</v>
      </c>
      <c r="Y29" s="2"/>
      <c r="Z29" s="7">
        <f t="shared" si="21"/>
        <v>-1</v>
      </c>
    </row>
    <row r="30" spans="1:26" s="23" customFormat="1" hidden="1" outlineLevel="2" x14ac:dyDescent="0.25">
      <c r="A30" s="27"/>
      <c r="B30" s="10" t="str">
        <f>CONCATENATE("          ", "6112", " - ", "COMPENSATION INSURANCE")</f>
        <v xml:space="preserve">          6112 - COMPENSATION INSURANCE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/>
      <c r="Q30" s="2"/>
      <c r="R30" s="7">
        <f t="shared" si="18"/>
        <v>0</v>
      </c>
      <c r="S30" s="2"/>
      <c r="T30" s="6">
        <v>22.05</v>
      </c>
      <c r="U30" s="2"/>
      <c r="V30" s="7">
        <f t="shared" si="19"/>
        <v>6.26175321138486E-4</v>
      </c>
      <c r="W30" s="2"/>
      <c r="X30" s="6">
        <f t="shared" si="20"/>
        <v>-22.05</v>
      </c>
      <c r="Y30" s="2"/>
      <c r="Z30" s="7">
        <f t="shared" si="21"/>
        <v>-1</v>
      </c>
    </row>
    <row r="31" spans="1:26" s="23" customFormat="1" hidden="1" outlineLevel="2" x14ac:dyDescent="0.25">
      <c r="A31" s="27"/>
      <c r="B31" s="10" t="str">
        <f>CONCATENATE("          ", "6113", " - ", "GROUP INSURANCE")</f>
        <v xml:space="preserve">          6113 - GROUP INSURANCE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/>
      <c r="Q31" s="2"/>
      <c r="R31" s="7">
        <f t="shared" si="18"/>
        <v>0</v>
      </c>
      <c r="S31" s="2"/>
      <c r="T31" s="6">
        <v>305.26</v>
      </c>
      <c r="U31" s="2"/>
      <c r="V31" s="7">
        <f t="shared" si="19"/>
        <v>8.6687654662464513E-3</v>
      </c>
      <c r="W31" s="2"/>
      <c r="X31" s="6">
        <f t="shared" si="20"/>
        <v>-305.26</v>
      </c>
      <c r="Y31" s="2"/>
      <c r="Z31" s="7">
        <f t="shared" si="21"/>
        <v>-1</v>
      </c>
    </row>
    <row r="32" spans="1:26" s="23" customFormat="1" hidden="1" outlineLevel="2" x14ac:dyDescent="0.25">
      <c r="A32" s="27"/>
      <c r="B32" s="10" t="str">
        <f>CONCATENATE("          ", "6114", " - ", "STATE UNEMPLOYMENT INSURANCE")</f>
        <v xml:space="preserve">          6114 - STATE UNEMPLOYMENT INSURANCE</v>
      </c>
      <c r="C32" s="10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0"/>
      <c r="P32" s="6"/>
      <c r="Q32" s="2"/>
      <c r="R32" s="7">
        <f t="shared" si="18"/>
        <v>0</v>
      </c>
      <c r="S32" s="2"/>
      <c r="T32" s="6">
        <v>5</v>
      </c>
      <c r="U32" s="2"/>
      <c r="V32" s="7">
        <f t="shared" si="19"/>
        <v>1.4198986873888573E-4</v>
      </c>
      <c r="W32" s="2"/>
      <c r="X32" s="6">
        <f t="shared" si="20"/>
        <v>-5</v>
      </c>
      <c r="Y32" s="2"/>
      <c r="Z32" s="7">
        <f t="shared" si="21"/>
        <v>-1</v>
      </c>
    </row>
    <row r="33" spans="1:26" s="23" customFormat="1" hidden="1" outlineLevel="2" x14ac:dyDescent="0.25">
      <c r="A33" s="27"/>
      <c r="B33" s="10" t="str">
        <f>CONCATENATE("          ", "6115", " - ", "P.E.R.S.")</f>
        <v xml:space="preserve">          6115 - P.E.R.S.</v>
      </c>
      <c r="C33" s="10"/>
      <c r="D33" s="6"/>
      <c r="E33" s="2"/>
      <c r="F33" s="7">
        <f t="shared" si="14"/>
        <v>0</v>
      </c>
      <c r="G33" s="2"/>
      <c r="H33" s="6"/>
      <c r="I33" s="2"/>
      <c r="J33" s="7">
        <f t="shared" si="15"/>
        <v>0</v>
      </c>
      <c r="K33" s="2"/>
      <c r="L33" s="6">
        <f t="shared" si="16"/>
        <v>0</v>
      </c>
      <c r="M33" s="2"/>
      <c r="N33" s="7">
        <f t="shared" si="17"/>
        <v>0</v>
      </c>
      <c r="O33" s="10"/>
      <c r="P33" s="6"/>
      <c r="Q33" s="2"/>
      <c r="R33" s="7">
        <f t="shared" si="18"/>
        <v>0</v>
      </c>
      <c r="S33" s="2"/>
      <c r="T33" s="6">
        <v>134.12</v>
      </c>
      <c r="U33" s="2"/>
      <c r="V33" s="7">
        <f t="shared" si="19"/>
        <v>3.8087362390518708E-3</v>
      </c>
      <c r="W33" s="2"/>
      <c r="X33" s="6">
        <f t="shared" si="20"/>
        <v>-134.12</v>
      </c>
      <c r="Y33" s="2"/>
      <c r="Z33" s="7">
        <f t="shared" si="21"/>
        <v>-1</v>
      </c>
    </row>
    <row r="34" spans="1:26" s="23" customFormat="1" hidden="1" outlineLevel="2" x14ac:dyDescent="0.25">
      <c r="A34" s="27"/>
      <c r="B34" s="10" t="str">
        <f>CONCATENATE("          ", "6118", " - ", "VACATION")</f>
        <v xml:space="preserve">          6118 - VACATION</v>
      </c>
      <c r="C34" s="10"/>
      <c r="D34" s="6"/>
      <c r="E34" s="2"/>
      <c r="F34" s="7">
        <f t="shared" si="14"/>
        <v>0</v>
      </c>
      <c r="G34" s="2"/>
      <c r="H34" s="6"/>
      <c r="I34" s="2"/>
      <c r="J34" s="7">
        <f t="shared" si="15"/>
        <v>0</v>
      </c>
      <c r="K34" s="2"/>
      <c r="L34" s="6">
        <f t="shared" si="16"/>
        <v>0</v>
      </c>
      <c r="M34" s="2"/>
      <c r="N34" s="7">
        <f t="shared" si="17"/>
        <v>0</v>
      </c>
      <c r="O34" s="10"/>
      <c r="P34" s="6"/>
      <c r="Q34" s="2"/>
      <c r="R34" s="7">
        <f t="shared" si="18"/>
        <v>0</v>
      </c>
      <c r="S34" s="2"/>
      <c r="T34" s="6">
        <v>110.64</v>
      </c>
      <c r="U34" s="2"/>
      <c r="V34" s="7">
        <f t="shared" si="19"/>
        <v>3.1419518154540632E-3</v>
      </c>
      <c r="W34" s="2"/>
      <c r="X34" s="6">
        <f t="shared" si="20"/>
        <v>-110.64</v>
      </c>
      <c r="Y34" s="2"/>
      <c r="Z34" s="7">
        <f t="shared" si="21"/>
        <v>-1</v>
      </c>
    </row>
    <row r="35" spans="1:26" s="23" customFormat="1" hidden="1" outlineLevel="2" x14ac:dyDescent="0.25">
      <c r="A35" s="27"/>
      <c r="B35" s="10" t="str">
        <f>CONCATENATE("          ", "6119", " - ", "SICK LEAVE")</f>
        <v xml:space="preserve">          6119 - SICK LEAVE</v>
      </c>
      <c r="C35" s="10"/>
      <c r="D35" s="6"/>
      <c r="E35" s="2"/>
      <c r="F35" s="7">
        <f t="shared" si="14"/>
        <v>0</v>
      </c>
      <c r="G35" s="2"/>
      <c r="H35" s="6"/>
      <c r="I35" s="2"/>
      <c r="J35" s="7">
        <f t="shared" si="15"/>
        <v>0</v>
      </c>
      <c r="K35" s="2"/>
      <c r="L35" s="6">
        <f t="shared" si="16"/>
        <v>0</v>
      </c>
      <c r="M35" s="2"/>
      <c r="N35" s="7">
        <f t="shared" si="17"/>
        <v>0</v>
      </c>
      <c r="O35" s="10"/>
      <c r="P35" s="6"/>
      <c r="Q35" s="2"/>
      <c r="R35" s="7">
        <f t="shared" si="18"/>
        <v>0</v>
      </c>
      <c r="S35" s="2"/>
      <c r="T35" s="6">
        <v>88.56</v>
      </c>
      <c r="U35" s="2"/>
      <c r="V35" s="7">
        <f t="shared" si="19"/>
        <v>2.514924555103144E-3</v>
      </c>
      <c r="W35" s="2"/>
      <c r="X35" s="6">
        <f t="shared" si="20"/>
        <v>-88.56</v>
      </c>
      <c r="Y35" s="2"/>
      <c r="Z35" s="7">
        <f t="shared" si="21"/>
        <v>-1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1" si="22">IF(D$12=0,0,D36/D$12)</f>
        <v>0</v>
      </c>
      <c r="G36" s="1"/>
      <c r="H36" s="1">
        <f>SUM(OSRRefH22_1x_0)</f>
        <v>0</v>
      </c>
      <c r="I36" s="1"/>
      <c r="J36" s="5">
        <f t="shared" ref="J36:J41" si="23">IF(H$12=0,0,H36/H$12)</f>
        <v>0</v>
      </c>
      <c r="K36" s="1"/>
      <c r="L36" s="1">
        <f t="shared" ref="L36:L41" si="24">+D36-H36</f>
        <v>0</v>
      </c>
      <c r="M36" s="1"/>
      <c r="N36" s="5">
        <f t="shared" ref="N36:N41" si="25">IF(H36=0,0,L36/H36)</f>
        <v>0</v>
      </c>
      <c r="O36" s="12"/>
      <c r="P36" s="1">
        <f>SUM(OSRRefP22_1x_0)</f>
        <v>0</v>
      </c>
      <c r="Q36" s="1"/>
      <c r="R36" s="5">
        <f t="shared" ref="R36:R41" si="26">IF(P$12=0,0,P36/P$12)</f>
        <v>0</v>
      </c>
      <c r="S36" s="1"/>
      <c r="T36" s="1">
        <f>SUM(OSRRefT22_1x_0)</f>
        <v>6103</v>
      </c>
      <c r="U36" s="1"/>
      <c r="V36" s="5">
        <f t="shared" ref="V36:V41" si="27">IF(T$12=0,0,T36/T$12)</f>
        <v>0.17331283378268392</v>
      </c>
      <c r="W36" s="1"/>
      <c r="X36" s="1">
        <f t="shared" ref="X36:X41" si="28">+P36-T36</f>
        <v>-6103</v>
      </c>
      <c r="Y36" s="1"/>
      <c r="Z36" s="5">
        <f t="shared" ref="Z36:Z41" si="29">IF(T36=0,0,X36/T36)</f>
        <v>-1</v>
      </c>
    </row>
    <row r="37" spans="1:26" s="23" customFormat="1" hidden="1" outlineLevel="2" x14ac:dyDescent="0.25">
      <c r="A37" s="27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1872</v>
      </c>
      <c r="U37" s="2"/>
      <c r="V37" s="7">
        <f t="shared" si="27"/>
        <v>5.3161006855838813E-2</v>
      </c>
      <c r="W37" s="2"/>
      <c r="X37" s="6">
        <f t="shared" si="28"/>
        <v>-1872</v>
      </c>
      <c r="Y37" s="2"/>
      <c r="Z37" s="7">
        <f t="shared" si="29"/>
        <v>-1</v>
      </c>
    </row>
    <row r="38" spans="1:26" s="23" customFormat="1" hidden="1" outlineLevel="2" x14ac:dyDescent="0.25">
      <c r="A38" s="27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491.67</v>
      </c>
      <c r="U38" s="2"/>
      <c r="V38" s="7">
        <f t="shared" si="27"/>
        <v>1.3962431752569589E-2</v>
      </c>
      <c r="W38" s="2"/>
      <c r="X38" s="6">
        <f t="shared" si="28"/>
        <v>-491.67</v>
      </c>
      <c r="Y38" s="2"/>
      <c r="Z38" s="7">
        <f t="shared" si="29"/>
        <v>-1</v>
      </c>
    </row>
    <row r="39" spans="1:26" s="23" customFormat="1" hidden="1" outlineLevel="2" x14ac:dyDescent="0.25">
      <c r="A39" s="27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0"/>
      <c r="P39" s="6"/>
      <c r="Q39" s="2"/>
      <c r="R39" s="7">
        <f t="shared" si="26"/>
        <v>0</v>
      </c>
      <c r="S39" s="2"/>
      <c r="T39" s="6">
        <v>140.61000000000001</v>
      </c>
      <c r="U39" s="2"/>
      <c r="V39" s="7">
        <f t="shared" si="27"/>
        <v>3.9930390886749444E-3</v>
      </c>
      <c r="W39" s="2"/>
      <c r="X39" s="6">
        <f t="shared" si="28"/>
        <v>-140.61000000000001</v>
      </c>
      <c r="Y39" s="2"/>
      <c r="Z39" s="7">
        <f t="shared" si="29"/>
        <v>-1</v>
      </c>
    </row>
    <row r="40" spans="1:26" s="23" customFormat="1" hidden="1" outlineLevel="2" x14ac:dyDescent="0.25">
      <c r="A40" s="27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2"/>
        <v>0</v>
      </c>
      <c r="G40" s="2"/>
      <c r="H40" s="6"/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0"/>
      <c r="P40" s="6"/>
      <c r="Q40" s="2"/>
      <c r="R40" s="7">
        <f t="shared" si="26"/>
        <v>0</v>
      </c>
      <c r="S40" s="2"/>
      <c r="T40" s="6">
        <v>120.35</v>
      </c>
      <c r="U40" s="2"/>
      <c r="V40" s="7">
        <f t="shared" si="27"/>
        <v>3.4176961405449789E-3</v>
      </c>
      <c r="W40" s="2"/>
      <c r="X40" s="6">
        <f t="shared" si="28"/>
        <v>-120.35</v>
      </c>
      <c r="Y40" s="2"/>
      <c r="Z40" s="7">
        <f t="shared" si="29"/>
        <v>-1</v>
      </c>
    </row>
    <row r="41" spans="1:26" s="23" customFormat="1" hidden="1" outlineLevel="2" x14ac:dyDescent="0.25">
      <c r="A41" s="27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2"/>
        <v>0</v>
      </c>
      <c r="G41" s="2"/>
      <c r="H41" s="6"/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0"/>
      <c r="P41" s="6"/>
      <c r="Q41" s="2"/>
      <c r="R41" s="7">
        <f t="shared" si="26"/>
        <v>0</v>
      </c>
      <c r="S41" s="2"/>
      <c r="T41" s="6">
        <v>3478.37</v>
      </c>
      <c r="U41" s="2"/>
      <c r="V41" s="7">
        <f t="shared" si="27"/>
        <v>9.877865994505558E-2</v>
      </c>
      <c r="W41" s="2"/>
      <c r="X41" s="6">
        <f t="shared" si="28"/>
        <v>-3478.37</v>
      </c>
      <c r="Y41" s="2"/>
      <c r="Z41" s="7">
        <f t="shared" si="29"/>
        <v>-1</v>
      </c>
    </row>
    <row r="42" spans="1:26" s="26" customFormat="1" outlineLevel="1" collapsed="1" x14ac:dyDescent="0.25">
      <c r="A42" s="25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2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1164.77</v>
      </c>
      <c r="U42" s="1"/>
      <c r="V42" s="5">
        <f t="shared" ref="V42:V48" si="35">IF(T$12=0,0,T42/T$12)</f>
        <v>3.3077107882198385E-2</v>
      </c>
      <c r="W42" s="1"/>
      <c r="X42" s="1">
        <f t="shared" ref="X42:X48" si="36">+P42-T42</f>
        <v>-1164.77</v>
      </c>
      <c r="Y42" s="1"/>
      <c r="Z42" s="5">
        <f t="shared" ref="Z42:Z48" si="37">IF(T42=0,0,X42/T42)</f>
        <v>-1</v>
      </c>
    </row>
    <row r="43" spans="1:26" s="23" customFormat="1" hidden="1" outlineLevel="2" x14ac:dyDescent="0.25">
      <c r="A43" s="27"/>
      <c r="B43" s="10" t="str">
        <f>CONCATENATE("          ", "6362", " - ", "ADVERTISING EXPENSE")</f>
        <v xml:space="preserve">          6362 - ADVERTISING EXPENSE</v>
      </c>
      <c r="C43" s="10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0"/>
      <c r="P43" s="6"/>
      <c r="Q43" s="2"/>
      <c r="R43" s="7">
        <f t="shared" si="34"/>
        <v>0</v>
      </c>
      <c r="S43" s="2"/>
      <c r="T43" s="6">
        <v>1164.77</v>
      </c>
      <c r="U43" s="2"/>
      <c r="V43" s="7">
        <f t="shared" si="35"/>
        <v>3.3077107882198385E-2</v>
      </c>
      <c r="W43" s="2"/>
      <c r="X43" s="6">
        <f t="shared" si="36"/>
        <v>-1164.77</v>
      </c>
      <c r="Y43" s="2"/>
      <c r="Z43" s="7">
        <f t="shared" si="37"/>
        <v>-1</v>
      </c>
    </row>
    <row r="44" spans="1:26" s="26" customFormat="1" outlineLevel="1" collapsed="1" x14ac:dyDescent="0.25">
      <c r="A44" s="25"/>
      <c r="B44" s="12" t="str">
        <f>CONCATENATE("     ","Discounts and Markdowns                           ")</f>
        <v xml:space="preserve">     Discounts and Markdowns                           </v>
      </c>
      <c r="C44" s="12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2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555.12</v>
      </c>
      <c r="U44" s="1"/>
      <c r="V44" s="5">
        <f t="shared" si="35"/>
        <v>1.5764283186866047E-2</v>
      </c>
      <c r="W44" s="1"/>
      <c r="X44" s="1">
        <f t="shared" si="36"/>
        <v>-555.12</v>
      </c>
      <c r="Y44" s="1"/>
      <c r="Z44" s="5">
        <f t="shared" si="37"/>
        <v>-1</v>
      </c>
    </row>
    <row r="45" spans="1:26" s="23" customFormat="1" hidden="1" outlineLevel="2" x14ac:dyDescent="0.25">
      <c r="A45" s="27"/>
      <c r="B45" s="10" t="str">
        <f>CONCATENATE("          ", "6382", " - ", "DISCOUNTS/MARK DOWNS")</f>
        <v xml:space="preserve">          6382 - DISCOUNTS/MARK DOWNS</v>
      </c>
      <c r="C45" s="10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/>
      <c r="Q45" s="2"/>
      <c r="R45" s="7">
        <f t="shared" si="34"/>
        <v>0</v>
      </c>
      <c r="S45" s="2"/>
      <c r="T45" s="6">
        <v>555.12</v>
      </c>
      <c r="U45" s="2"/>
      <c r="V45" s="7">
        <f t="shared" si="35"/>
        <v>1.5764283186866047E-2</v>
      </c>
      <c r="W45" s="2"/>
      <c r="X45" s="6">
        <f t="shared" si="36"/>
        <v>-555.12</v>
      </c>
      <c r="Y45" s="2"/>
      <c r="Z45" s="7">
        <f t="shared" si="37"/>
        <v>-1</v>
      </c>
    </row>
    <row r="46" spans="1:26" s="26" customFormat="1" outlineLevel="1" collapsed="1" x14ac:dyDescent="0.25">
      <c r="A46" s="25"/>
      <c r="B46" s="12" t="str">
        <f>CONCATENATE("     ","Freight out/Postage                               ")</f>
        <v xml:space="preserve">     Freight out/Postage                               </v>
      </c>
      <c r="C46" s="12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4988.5300000000007</v>
      </c>
      <c r="I46" s="1"/>
      <c r="J46" s="5">
        <f t="shared" si="31"/>
        <v>0.36729520387577497</v>
      </c>
      <c r="K46" s="1"/>
      <c r="L46" s="1">
        <f t="shared" si="32"/>
        <v>-4988.5300000000007</v>
      </c>
      <c r="M46" s="1"/>
      <c r="N46" s="5">
        <f t="shared" si="33"/>
        <v>-1</v>
      </c>
      <c r="O46" s="12"/>
      <c r="P46" s="1">
        <f>SUM(OSRRefP22_4x_0)</f>
        <v>0</v>
      </c>
      <c r="Q46" s="1"/>
      <c r="R46" s="5">
        <f t="shared" si="34"/>
        <v>0</v>
      </c>
      <c r="S46" s="1"/>
      <c r="T46" s="1">
        <f>SUM(OSRRefT22_4x_0)</f>
        <v>-12276.009999999995</v>
      </c>
      <c r="U46" s="1"/>
      <c r="V46" s="5">
        <f t="shared" si="35"/>
        <v>-0.34861380970744954</v>
      </c>
      <c r="W46" s="1"/>
      <c r="X46" s="1">
        <f t="shared" si="36"/>
        <v>12276.009999999995</v>
      </c>
      <c r="Y46" s="1"/>
      <c r="Z46" s="5">
        <f t="shared" si="37"/>
        <v>-1</v>
      </c>
    </row>
    <row r="47" spans="1:26" s="23" customFormat="1" hidden="1" outlineLevel="2" x14ac:dyDescent="0.25">
      <c r="A47" s="27"/>
      <c r="B47" s="10" t="str">
        <f>CONCATENATE("          ", "6305", " - ", "FREIGHT OUT")</f>
        <v xml:space="preserve">          6305 - FREIGHT OUT</v>
      </c>
      <c r="C47" s="10"/>
      <c r="D47" s="6"/>
      <c r="E47" s="2"/>
      <c r="F47" s="7">
        <f t="shared" si="30"/>
        <v>0</v>
      </c>
      <c r="G47" s="2"/>
      <c r="H47" s="6">
        <v>6492.31</v>
      </c>
      <c r="I47" s="2"/>
      <c r="J47" s="7">
        <f t="shared" si="31"/>
        <v>0.47801543241691086</v>
      </c>
      <c r="K47" s="2"/>
      <c r="L47" s="6">
        <f t="shared" si="32"/>
        <v>-6492.31</v>
      </c>
      <c r="M47" s="2"/>
      <c r="N47" s="7">
        <f t="shared" si="33"/>
        <v>-1</v>
      </c>
      <c r="O47" s="10"/>
      <c r="P47" s="6">
        <v>0</v>
      </c>
      <c r="Q47" s="2"/>
      <c r="R47" s="7">
        <f t="shared" si="34"/>
        <v>0</v>
      </c>
      <c r="S47" s="2"/>
      <c r="T47" s="6">
        <v>45904.01</v>
      </c>
      <c r="U47" s="2"/>
      <c r="V47" s="7">
        <f t="shared" si="35"/>
        <v>1.3035808708976995</v>
      </c>
      <c r="W47" s="2"/>
      <c r="X47" s="6">
        <f t="shared" si="36"/>
        <v>-45904.01</v>
      </c>
      <c r="Y47" s="2"/>
      <c r="Z47" s="7">
        <f t="shared" si="37"/>
        <v>-1</v>
      </c>
    </row>
    <row r="48" spans="1:26" s="23" customFormat="1" hidden="1" outlineLevel="2" x14ac:dyDescent="0.25">
      <c r="A48" s="27"/>
      <c r="B48" s="10" t="str">
        <f>CONCATENATE("          ", "6307", " - ", "POSTAGE")</f>
        <v xml:space="preserve">          6307 - POSTAGE</v>
      </c>
      <c r="C48" s="10"/>
      <c r="D48" s="6"/>
      <c r="E48" s="2"/>
      <c r="F48" s="7">
        <f t="shared" si="30"/>
        <v>0</v>
      </c>
      <c r="G48" s="2"/>
      <c r="H48" s="6">
        <v>-1503.78</v>
      </c>
      <c r="I48" s="2"/>
      <c r="J48" s="7">
        <f t="shared" si="31"/>
        <v>-0.11072022854113592</v>
      </c>
      <c r="K48" s="2"/>
      <c r="L48" s="6">
        <f t="shared" si="32"/>
        <v>1503.78</v>
      </c>
      <c r="M48" s="2"/>
      <c r="N48" s="7">
        <f t="shared" si="33"/>
        <v>-1</v>
      </c>
      <c r="O48" s="10"/>
      <c r="P48" s="6">
        <v>0</v>
      </c>
      <c r="Q48" s="2"/>
      <c r="R48" s="7">
        <f t="shared" si="34"/>
        <v>0</v>
      </c>
      <c r="S48" s="2"/>
      <c r="T48" s="6">
        <v>-58180.02</v>
      </c>
      <c r="U48" s="2"/>
      <c r="V48" s="7">
        <f t="shared" si="35"/>
        <v>-1.6521946806051491</v>
      </c>
      <c r="W48" s="2"/>
      <c r="X48" s="6">
        <f t="shared" si="36"/>
        <v>58180.02</v>
      </c>
      <c r="Y48" s="2"/>
      <c r="Z48" s="7">
        <f t="shared" si="37"/>
        <v>-1</v>
      </c>
    </row>
    <row r="49" spans="1:26" s="26" customFormat="1" outlineLevel="1" collapsed="1" x14ac:dyDescent="0.25">
      <c r="A49" s="25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SUM(OSRRefD22_5x_0)</f>
        <v>0</v>
      </c>
      <c r="E49" s="1"/>
      <c r="F49" s="5">
        <f t="shared" ref="F49:F55" si="38">IF(D$12=0,0,D49/D$12)</f>
        <v>0</v>
      </c>
      <c r="G49" s="1"/>
      <c r="H49" s="1">
        <f>SUM(OSRRefH22_5x_0)</f>
        <v>0</v>
      </c>
      <c r="I49" s="1"/>
      <c r="J49" s="5">
        <f t="shared" ref="J49:J55" si="39">IF(H$12=0,0,H49/H$12)</f>
        <v>0</v>
      </c>
      <c r="K49" s="1"/>
      <c r="L49" s="1">
        <f t="shared" ref="L49:L55" si="40">+D49-H49</f>
        <v>0</v>
      </c>
      <c r="M49" s="1"/>
      <c r="N49" s="5">
        <f t="shared" ref="N49:N55" si="41">IF(H49=0,0,L49/H49)</f>
        <v>0</v>
      </c>
      <c r="O49" s="12"/>
      <c r="P49" s="1">
        <f>SUM(OSRRefP22_5x_0)</f>
        <v>0</v>
      </c>
      <c r="Q49" s="1"/>
      <c r="R49" s="5">
        <f t="shared" ref="R49:R55" si="42">IF(P$12=0,0,P49/P$12)</f>
        <v>0</v>
      </c>
      <c r="S49" s="1"/>
      <c r="T49" s="1">
        <f>SUM(OSRRefT22_5x_0)</f>
        <v>80.17</v>
      </c>
      <c r="U49" s="1"/>
      <c r="V49" s="5">
        <f t="shared" ref="V49:V55" si="43">IF(T$12=0,0,T49/T$12)</f>
        <v>2.2766655553592935E-3</v>
      </c>
      <c r="W49" s="1"/>
      <c r="X49" s="1">
        <f t="shared" ref="X49:X55" si="44">+P49-T49</f>
        <v>-80.17</v>
      </c>
      <c r="Y49" s="1"/>
      <c r="Z49" s="5">
        <f t="shared" ref="Z49:Z55" si="45">IF(T49=0,0,X49/T49)</f>
        <v>-1</v>
      </c>
    </row>
    <row r="50" spans="1:26" s="23" customFormat="1" hidden="1" outlineLevel="2" x14ac:dyDescent="0.25">
      <c r="A50" s="27"/>
      <c r="B50" s="10" t="str">
        <f>CONCATENATE("          ", "6279", " - ", "GENERAL EXPENSE")</f>
        <v xml:space="preserve">          6279 - GENERAL EXPENSE</v>
      </c>
      <c r="C50" s="10"/>
      <c r="D50" s="6"/>
      <c r="E50" s="2"/>
      <c r="F50" s="7">
        <f t="shared" si="38"/>
        <v>0</v>
      </c>
      <c r="G50" s="2"/>
      <c r="H50" s="6"/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0"/>
      <c r="P50" s="6"/>
      <c r="Q50" s="2"/>
      <c r="R50" s="7">
        <f t="shared" si="42"/>
        <v>0</v>
      </c>
      <c r="S50" s="2"/>
      <c r="T50" s="6">
        <v>80.17</v>
      </c>
      <c r="U50" s="2"/>
      <c r="V50" s="7">
        <f t="shared" si="43"/>
        <v>2.2766655553592935E-3</v>
      </c>
      <c r="W50" s="2"/>
      <c r="X50" s="6">
        <f t="shared" si="44"/>
        <v>-80.17</v>
      </c>
      <c r="Y50" s="2"/>
      <c r="Z50" s="7">
        <f t="shared" si="45"/>
        <v>-1</v>
      </c>
    </row>
    <row r="51" spans="1:26" s="26" customFormat="1" outlineLevel="1" collapsed="1" x14ac:dyDescent="0.25">
      <c r="A51" s="25"/>
      <c r="B51" s="12" t="str">
        <f>CONCATENATE("     ","Inventory Adjustment                              ")</f>
        <v xml:space="preserve">     Inventory Adjustment                              </v>
      </c>
      <c r="C51" s="12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100</v>
      </c>
      <c r="I51" s="1"/>
      <c r="J51" s="5">
        <f t="shared" si="39"/>
        <v>7.3627943277032497E-3</v>
      </c>
      <c r="K51" s="1"/>
      <c r="L51" s="1">
        <f t="shared" si="40"/>
        <v>-100</v>
      </c>
      <c r="M51" s="1"/>
      <c r="N51" s="5">
        <f t="shared" si="41"/>
        <v>-1</v>
      </c>
      <c r="O51" s="12"/>
      <c r="P51" s="1">
        <f>SUM(OSRRefP22_6x_0)</f>
        <v>0</v>
      </c>
      <c r="Q51" s="1"/>
      <c r="R51" s="5">
        <f t="shared" si="42"/>
        <v>0</v>
      </c>
      <c r="S51" s="1"/>
      <c r="T51" s="1">
        <f>SUM(OSRRefT22_6x_0)</f>
        <v>1000</v>
      </c>
      <c r="U51" s="1"/>
      <c r="V51" s="5">
        <f t="shared" si="43"/>
        <v>2.8397973747777142E-2</v>
      </c>
      <c r="W51" s="1"/>
      <c r="X51" s="1">
        <f t="shared" si="44"/>
        <v>-1000</v>
      </c>
      <c r="Y51" s="1"/>
      <c r="Z51" s="5">
        <f t="shared" si="45"/>
        <v>-1</v>
      </c>
    </row>
    <row r="52" spans="1:26" s="23" customFormat="1" hidden="1" outlineLevel="2" x14ac:dyDescent="0.25">
      <c r="A52" s="27"/>
      <c r="B52" s="10" t="str">
        <f>CONCATENATE("          ", "6408", " - ", "INVENTORY ADJUSTMENT")</f>
        <v xml:space="preserve">          6408 - INVENTORY ADJUSTMENT</v>
      </c>
      <c r="C52" s="10"/>
      <c r="D52" s="6"/>
      <c r="E52" s="2"/>
      <c r="F52" s="7">
        <f t="shared" si="38"/>
        <v>0</v>
      </c>
      <c r="G52" s="2"/>
      <c r="H52" s="6">
        <v>100</v>
      </c>
      <c r="I52" s="2"/>
      <c r="J52" s="7">
        <f t="shared" si="39"/>
        <v>7.3627943277032497E-3</v>
      </c>
      <c r="K52" s="2"/>
      <c r="L52" s="6">
        <f t="shared" si="40"/>
        <v>-100</v>
      </c>
      <c r="M52" s="2"/>
      <c r="N52" s="7">
        <f t="shared" si="41"/>
        <v>-1</v>
      </c>
      <c r="O52" s="10"/>
      <c r="P52" s="6"/>
      <c r="Q52" s="2"/>
      <c r="R52" s="7">
        <f t="shared" si="42"/>
        <v>0</v>
      </c>
      <c r="S52" s="2"/>
      <c r="T52" s="6">
        <v>1000</v>
      </c>
      <c r="U52" s="2"/>
      <c r="V52" s="7">
        <f t="shared" si="43"/>
        <v>2.8397973747777142E-2</v>
      </c>
      <c r="W52" s="2"/>
      <c r="X52" s="6">
        <f t="shared" si="44"/>
        <v>-1000</v>
      </c>
      <c r="Y52" s="2"/>
      <c r="Z52" s="7">
        <f t="shared" si="45"/>
        <v>-1</v>
      </c>
    </row>
    <row r="53" spans="1:26" s="26" customFormat="1" outlineLevel="1" collapsed="1" x14ac:dyDescent="0.25">
      <c r="A53" s="25"/>
      <c r="B53" s="12" t="str">
        <f>CONCATENATE("     ","Supplies                                          ")</f>
        <v xml:space="preserve">     Supplies                                          </v>
      </c>
      <c r="C53" s="12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279.32</v>
      </c>
      <c r="I53" s="1"/>
      <c r="J53" s="5">
        <f t="shared" si="39"/>
        <v>2.0565757116140716E-2</v>
      </c>
      <c r="K53" s="1"/>
      <c r="L53" s="1">
        <f t="shared" si="40"/>
        <v>-279.32</v>
      </c>
      <c r="M53" s="1"/>
      <c r="N53" s="5">
        <f t="shared" si="41"/>
        <v>-1</v>
      </c>
      <c r="O53" s="12"/>
      <c r="P53" s="1">
        <f>SUM(OSRRefP22_7x_0)</f>
        <v>0</v>
      </c>
      <c r="Q53" s="1"/>
      <c r="R53" s="5">
        <f t="shared" si="42"/>
        <v>0</v>
      </c>
      <c r="S53" s="1"/>
      <c r="T53" s="1">
        <f>SUM(OSRRefT22_7x_0)</f>
        <v>8213.1</v>
      </c>
      <c r="U53" s="1"/>
      <c r="V53" s="5">
        <f t="shared" si="43"/>
        <v>0.23323539818786848</v>
      </c>
      <c r="W53" s="1"/>
      <c r="X53" s="1">
        <f t="shared" si="44"/>
        <v>-8213.1</v>
      </c>
      <c r="Y53" s="1"/>
      <c r="Z53" s="5">
        <f t="shared" si="45"/>
        <v>-1</v>
      </c>
    </row>
    <row r="54" spans="1:26" s="23" customFormat="1" hidden="1" outlineLevel="2" x14ac:dyDescent="0.25">
      <c r="A54" s="27"/>
      <c r="B54" s="10" t="str">
        <f>CONCATENATE("          ", "6241", " - ", "OFFICE EXPENSE")</f>
        <v xml:space="preserve">          6241 - OFFICE EXPENSE</v>
      </c>
      <c r="C54" s="10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0"/>
      <c r="P54" s="6"/>
      <c r="Q54" s="2"/>
      <c r="R54" s="7">
        <f t="shared" si="42"/>
        <v>0</v>
      </c>
      <c r="S54" s="2"/>
      <c r="T54" s="6">
        <v>135.26</v>
      </c>
      <c r="U54" s="2"/>
      <c r="V54" s="7">
        <f t="shared" si="43"/>
        <v>3.8411099291243362E-3</v>
      </c>
      <c r="W54" s="2"/>
      <c r="X54" s="6">
        <f t="shared" si="44"/>
        <v>-135.26</v>
      </c>
      <c r="Y54" s="2"/>
      <c r="Z54" s="7">
        <f t="shared" si="45"/>
        <v>-1</v>
      </c>
    </row>
    <row r="55" spans="1:26" s="23" customFormat="1" hidden="1" outlineLevel="2" x14ac:dyDescent="0.25">
      <c r="A55" s="27"/>
      <c r="B55" s="10" t="str">
        <f>CONCATENATE("          ", "6247", " - ", "STORE SUPPLIES")</f>
        <v xml:space="preserve">          6247 - STORE SUPPLIES</v>
      </c>
      <c r="C55" s="10"/>
      <c r="D55" s="6"/>
      <c r="E55" s="2"/>
      <c r="F55" s="7">
        <f t="shared" si="38"/>
        <v>0</v>
      </c>
      <c r="G55" s="2"/>
      <c r="H55" s="6">
        <v>279.32</v>
      </c>
      <c r="I55" s="2"/>
      <c r="J55" s="7">
        <f t="shared" si="39"/>
        <v>2.0565757116140716E-2</v>
      </c>
      <c r="K55" s="2"/>
      <c r="L55" s="6">
        <f t="shared" si="40"/>
        <v>-279.32</v>
      </c>
      <c r="M55" s="2"/>
      <c r="N55" s="7">
        <f t="shared" si="41"/>
        <v>-1</v>
      </c>
      <c r="O55" s="10"/>
      <c r="P55" s="6">
        <v>0</v>
      </c>
      <c r="Q55" s="2"/>
      <c r="R55" s="7">
        <f t="shared" si="42"/>
        <v>0</v>
      </c>
      <c r="S55" s="2"/>
      <c r="T55" s="6">
        <v>8077.84</v>
      </c>
      <c r="U55" s="2"/>
      <c r="V55" s="7">
        <f t="shared" si="43"/>
        <v>0.22939428825874414</v>
      </c>
      <c r="W55" s="2"/>
      <c r="X55" s="6">
        <f t="shared" si="44"/>
        <v>-8077.84</v>
      </c>
      <c r="Y55" s="2"/>
      <c r="Z55" s="7">
        <f t="shared" si="45"/>
        <v>-1</v>
      </c>
    </row>
    <row r="56" spans="1:26" s="26" customFormat="1" outlineLevel="1" collapsed="1" x14ac:dyDescent="0.25">
      <c r="A56" s="25"/>
      <c r="B56" s="12" t="str">
        <f>CONCATENATE("     ","Telephone/Data Lines                              ")</f>
        <v xml:space="preserve">     Telephone/Data Lines                              </v>
      </c>
      <c r="C56" s="12"/>
      <c r="D56" s="1">
        <f>SUM(OSRRefD22_8x_0)</f>
        <v>0</v>
      </c>
      <c r="E56" s="1"/>
      <c r="F56" s="5">
        <f t="shared" ref="F56:F57" si="46">IF(D$12=0,0,D56/D$12)</f>
        <v>0</v>
      </c>
      <c r="G56" s="1"/>
      <c r="H56" s="1">
        <f>SUM(OSRRefH22_8x_0)</f>
        <v>36</v>
      </c>
      <c r="I56" s="1"/>
      <c r="J56" s="5">
        <f t="shared" ref="J56:J57" si="47">IF(H$12=0,0,H56/H$12)</f>
        <v>2.6506059579731699E-3</v>
      </c>
      <c r="K56" s="1"/>
      <c r="L56" s="1">
        <f t="shared" ref="L56:L57" si="48">+D56-H56</f>
        <v>-36</v>
      </c>
      <c r="M56" s="1"/>
      <c r="N56" s="5">
        <f t="shared" ref="N56:N57" si="49">IF(H56=0,0,L56/H56)</f>
        <v>-1</v>
      </c>
      <c r="O56" s="12"/>
      <c r="P56" s="1">
        <f>SUM(OSRRefP22_8x_0)</f>
        <v>0</v>
      </c>
      <c r="Q56" s="1"/>
      <c r="R56" s="5">
        <f t="shared" ref="R56:R57" si="50">IF(P$12=0,0,P56/P$12)</f>
        <v>0</v>
      </c>
      <c r="S56" s="1"/>
      <c r="T56" s="1">
        <f>SUM(OSRRefT22_8x_0)</f>
        <v>613.9</v>
      </c>
      <c r="U56" s="1"/>
      <c r="V56" s="5">
        <f t="shared" ref="V56:V57" si="51">IF(T$12=0,0,T56/T$12)</f>
        <v>1.7433516083760387E-2</v>
      </c>
      <c r="W56" s="1"/>
      <c r="X56" s="1">
        <f t="shared" ref="X56:X57" si="52">+P56-T56</f>
        <v>-613.9</v>
      </c>
      <c r="Y56" s="1"/>
      <c r="Z56" s="5">
        <f t="shared" ref="Z56:Z57" si="53">IF(T56=0,0,X56/T56)</f>
        <v>-1</v>
      </c>
    </row>
    <row r="57" spans="1:26" s="23" customFormat="1" hidden="1" outlineLevel="2" x14ac:dyDescent="0.25">
      <c r="A57" s="27"/>
      <c r="B57" s="10" t="str">
        <f>CONCATENATE("          ", "6309", " - ", "TELEPHONE")</f>
        <v xml:space="preserve">          6309 - TELEPHONE</v>
      </c>
      <c r="C57" s="10"/>
      <c r="D57" s="6"/>
      <c r="E57" s="2"/>
      <c r="F57" s="7">
        <f t="shared" si="46"/>
        <v>0</v>
      </c>
      <c r="G57" s="2"/>
      <c r="H57" s="6">
        <v>36</v>
      </c>
      <c r="I57" s="2"/>
      <c r="J57" s="7">
        <f t="shared" si="47"/>
        <v>2.6506059579731699E-3</v>
      </c>
      <c r="K57" s="2"/>
      <c r="L57" s="6">
        <f t="shared" si="48"/>
        <v>-36</v>
      </c>
      <c r="M57" s="2"/>
      <c r="N57" s="7">
        <f t="shared" si="49"/>
        <v>-1</v>
      </c>
      <c r="O57" s="10"/>
      <c r="P57" s="6">
        <v>0</v>
      </c>
      <c r="Q57" s="2"/>
      <c r="R57" s="7">
        <f t="shared" si="50"/>
        <v>0</v>
      </c>
      <c r="S57" s="2"/>
      <c r="T57" s="6">
        <v>613.9</v>
      </c>
      <c r="U57" s="2"/>
      <c r="V57" s="7">
        <f t="shared" si="51"/>
        <v>1.7433516083760387E-2</v>
      </c>
      <c r="W57" s="2"/>
      <c r="X57" s="6">
        <f t="shared" si="52"/>
        <v>-613.9</v>
      </c>
      <c r="Y57" s="2"/>
      <c r="Z57" s="7">
        <f t="shared" si="53"/>
        <v>-1</v>
      </c>
    </row>
    <row r="58" spans="1:26" s="57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collapsed="1" x14ac:dyDescent="0.25">
      <c r="A59" s="11"/>
      <c r="B59" s="29" t="s">
        <v>292</v>
      </c>
      <c r="C59" s="11"/>
      <c r="D59" s="4">
        <f>SUM(OSRRefD25x_0)</f>
        <v>0</v>
      </c>
      <c r="E59" s="4"/>
      <c r="F59" s="13">
        <f t="shared" ref="F59:F64" si="54">IF(D$12=0,0,D59/D$12)</f>
        <v>0</v>
      </c>
      <c r="G59" s="4"/>
      <c r="H59" s="4">
        <f>SUM(OSRRefH25x_0)</f>
        <v>54711.64</v>
      </c>
      <c r="I59" s="4"/>
      <c r="J59" s="13">
        <f t="shared" ref="J59:J64" si="55">IF(H$12=0,0,H59/H$12)</f>
        <v>4.0283055265134218</v>
      </c>
      <c r="K59" s="4"/>
      <c r="L59" s="4">
        <f t="shared" ref="L59:L64" si="56">+D59-H59</f>
        <v>-54711.64</v>
      </c>
      <c r="M59" s="4"/>
      <c r="N59" s="13">
        <f t="shared" ref="N59:N64" si="57">IF(H59=0,0,L59/H59)</f>
        <v>-1</v>
      </c>
      <c r="O59" s="11"/>
      <c r="P59" s="4">
        <f>SUM(OSRRefP25x_0)</f>
        <v>0</v>
      </c>
      <c r="Q59" s="4"/>
      <c r="R59" s="13">
        <f t="shared" ref="R59:R64" si="58">IF(P$12=0,0,P59/P$12)</f>
        <v>0</v>
      </c>
      <c r="S59" s="4"/>
      <c r="T59" s="4">
        <f>SUM(OSRRefT25x_0)</f>
        <v>513349.45</v>
      </c>
      <c r="U59" s="4"/>
      <c r="V59" s="13">
        <f t="shared" ref="V59:V64" si="59">IF(T$12=0,0,T59/T$12)</f>
        <v>14.578084204535836</v>
      </c>
      <c r="W59" s="4"/>
      <c r="X59" s="4">
        <f t="shared" ref="X59:X64" si="60">+P59-T59</f>
        <v>-513349.45</v>
      </c>
      <c r="Y59" s="4"/>
      <c r="Z59" s="13">
        <f t="shared" ref="Z59:Z64" si="61">IF(T59=0,0,X59/T59)</f>
        <v>-1</v>
      </c>
    </row>
    <row r="60" spans="1:26" s="23" customFormat="1" hidden="1" outlineLevel="1" x14ac:dyDescent="0.25">
      <c r="A60" s="44"/>
      <c r="B60" s="10" t="str">
        <f>CONCATENATE("          ", "4098", " - ", "TAXABLE SALES-GRAD RENTALS")</f>
        <v xml:space="preserve">          4098 - TAXABLE SALES-GRAD RENTALS</v>
      </c>
      <c r="C60" s="10"/>
      <c r="D60" s="2">
        <f t="shared" ref="D60:D64" si="62">0</f>
        <v>0</v>
      </c>
      <c r="E60" s="2"/>
      <c r="F60" s="19">
        <f t="shared" si="54"/>
        <v>0</v>
      </c>
      <c r="G60" s="2"/>
      <c r="H60" s="2">
        <f>-152</f>
        <v>-152</v>
      </c>
      <c r="I60" s="2"/>
      <c r="J60" s="19">
        <f t="shared" si="55"/>
        <v>-1.1191447378108938E-2</v>
      </c>
      <c r="K60" s="2"/>
      <c r="L60" s="2">
        <f t="shared" si="56"/>
        <v>152</v>
      </c>
      <c r="M60" s="2"/>
      <c r="N60" s="19">
        <f t="shared" si="57"/>
        <v>-1</v>
      </c>
      <c r="O60" s="10"/>
      <c r="P60" s="2">
        <f t="shared" ref="P60:P64" si="63">0</f>
        <v>0</v>
      </c>
      <c r="Q60" s="2"/>
      <c r="R60" s="19">
        <f t="shared" si="58"/>
        <v>0</v>
      </c>
      <c r="S60" s="2"/>
      <c r="T60" s="2">
        <f>--1946.85</f>
        <v>1946.85</v>
      </c>
      <c r="U60" s="2"/>
      <c r="V60" s="19">
        <f t="shared" si="59"/>
        <v>5.5286595190859933E-2</v>
      </c>
      <c r="W60" s="2"/>
      <c r="X60" s="2">
        <f t="shared" si="60"/>
        <v>-1946.85</v>
      </c>
      <c r="Y60" s="2"/>
      <c r="Z60" s="19">
        <f t="shared" si="61"/>
        <v>-1</v>
      </c>
    </row>
    <row r="61" spans="1:26" s="23" customFormat="1" hidden="1" outlineLevel="1" x14ac:dyDescent="0.25">
      <c r="A61" s="44"/>
      <c r="B61" s="10" t="str">
        <f>CONCATENATE("          ", "4197", " - ", "NON-TAXABLE SALES-RETURNED CHE")</f>
        <v xml:space="preserve">          4197 - NON-TAXABLE SALES-RETURNED CHE</v>
      </c>
      <c r="C61" s="10"/>
      <c r="D61" s="2">
        <f t="shared" si="62"/>
        <v>0</v>
      </c>
      <c r="E61" s="2"/>
      <c r="F61" s="19">
        <f t="shared" si="54"/>
        <v>0</v>
      </c>
      <c r="G61" s="2"/>
      <c r="H61" s="2">
        <f>0</f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0"/>
      <c r="P61" s="2">
        <f t="shared" si="63"/>
        <v>0</v>
      </c>
      <c r="Q61" s="2"/>
      <c r="R61" s="19">
        <f t="shared" si="58"/>
        <v>0</v>
      </c>
      <c r="S61" s="2"/>
      <c r="T61" s="2">
        <f>--30</f>
        <v>30</v>
      </c>
      <c r="U61" s="2"/>
      <c r="V61" s="19">
        <f t="shared" si="59"/>
        <v>8.5193921243331434E-4</v>
      </c>
      <c r="W61" s="2"/>
      <c r="X61" s="2">
        <f t="shared" si="60"/>
        <v>-30</v>
      </c>
      <c r="Y61" s="2"/>
      <c r="Z61" s="19">
        <f t="shared" si="61"/>
        <v>-1</v>
      </c>
    </row>
    <row r="62" spans="1:26" s="23" customFormat="1" hidden="1" outlineLevel="1" x14ac:dyDescent="0.25">
      <c r="A62" s="44"/>
      <c r="B62" s="10" t="str">
        <f>CONCATENATE("          ", "4198", " - ", "NON-TAXABLE SALES-GRAD RENTALS")</f>
        <v xml:space="preserve">          4198 - NON-TAXABLE SALES-GRAD RENTALS</v>
      </c>
      <c r="C62" s="10"/>
      <c r="D62" s="2">
        <f t="shared" si="62"/>
        <v>0</v>
      </c>
      <c r="E62" s="2"/>
      <c r="F62" s="19">
        <f t="shared" si="54"/>
        <v>0</v>
      </c>
      <c r="G62" s="2"/>
      <c r="H62" s="2">
        <f>-3469.7</f>
        <v>-3469.7</v>
      </c>
      <c r="I62" s="2"/>
      <c r="J62" s="19">
        <f t="shared" si="55"/>
        <v>-0.25546687478831964</v>
      </c>
      <c r="K62" s="2"/>
      <c r="L62" s="2">
        <f t="shared" si="56"/>
        <v>3469.7</v>
      </c>
      <c r="M62" s="2"/>
      <c r="N62" s="19">
        <f t="shared" si="57"/>
        <v>-1</v>
      </c>
      <c r="O62" s="10"/>
      <c r="P62" s="2">
        <f t="shared" si="63"/>
        <v>0</v>
      </c>
      <c r="Q62" s="2"/>
      <c r="R62" s="19">
        <f t="shared" si="58"/>
        <v>0</v>
      </c>
      <c r="S62" s="2"/>
      <c r="T62" s="2">
        <f>--163.76</f>
        <v>163.76</v>
      </c>
      <c r="U62" s="2"/>
      <c r="V62" s="19">
        <f t="shared" si="59"/>
        <v>4.6504521809359852E-3</v>
      </c>
      <c r="W62" s="2"/>
      <c r="X62" s="2">
        <f t="shared" si="60"/>
        <v>-163.76</v>
      </c>
      <c r="Y62" s="2"/>
      <c r="Z62" s="19">
        <f t="shared" si="61"/>
        <v>-1</v>
      </c>
    </row>
    <row r="63" spans="1:26" s="23" customFormat="1" hidden="1" outlineLevel="1" x14ac:dyDescent="0.25">
      <c r="A63" s="44"/>
      <c r="B63" s="10" t="str">
        <f>CONCATENATE("          ", "9160", " - ", "MISC. INCOME")</f>
        <v xml:space="preserve">          9160 - MISC. INCOME</v>
      </c>
      <c r="C63" s="10"/>
      <c r="D63" s="2">
        <f t="shared" si="62"/>
        <v>0</v>
      </c>
      <c r="E63" s="2"/>
      <c r="F63" s="19">
        <f t="shared" si="54"/>
        <v>0</v>
      </c>
      <c r="G63" s="2"/>
      <c r="H63" s="2">
        <f>0</f>
        <v>0</v>
      </c>
      <c r="I63" s="2"/>
      <c r="J63" s="19">
        <f t="shared" si="55"/>
        <v>0</v>
      </c>
      <c r="K63" s="2"/>
      <c r="L63" s="2">
        <f t="shared" si="56"/>
        <v>0</v>
      </c>
      <c r="M63" s="2"/>
      <c r="N63" s="19">
        <f t="shared" si="57"/>
        <v>0</v>
      </c>
      <c r="O63" s="10"/>
      <c r="P63" s="2">
        <f t="shared" si="63"/>
        <v>0</v>
      </c>
      <c r="Q63" s="2"/>
      <c r="R63" s="19">
        <f t="shared" si="58"/>
        <v>0</v>
      </c>
      <c r="S63" s="2"/>
      <c r="T63" s="2">
        <f>--22475</f>
        <v>22475</v>
      </c>
      <c r="U63" s="2"/>
      <c r="V63" s="19">
        <f t="shared" si="59"/>
        <v>0.63824445998129131</v>
      </c>
      <c r="W63" s="2"/>
      <c r="X63" s="2">
        <f t="shared" si="60"/>
        <v>-22475</v>
      </c>
      <c r="Y63" s="2"/>
      <c r="Z63" s="19">
        <f t="shared" si="61"/>
        <v>-1</v>
      </c>
    </row>
    <row r="64" spans="1:26" s="23" customFormat="1" hidden="1" outlineLevel="1" x14ac:dyDescent="0.25">
      <c r="A64" s="44"/>
      <c r="B64" s="10" t="str">
        <f>CONCATENATE("          ", "9163", " - ", "MISC. INCOME")</f>
        <v xml:space="preserve">          9163 - MISC. INCOME</v>
      </c>
      <c r="C64" s="10"/>
      <c r="D64" s="2">
        <f t="shared" si="62"/>
        <v>0</v>
      </c>
      <c r="E64" s="2"/>
      <c r="F64" s="19">
        <f t="shared" si="54"/>
        <v>0</v>
      </c>
      <c r="G64" s="2"/>
      <c r="H64" s="2">
        <f>--58333.34</f>
        <v>58333.34</v>
      </c>
      <c r="I64" s="2"/>
      <c r="J64" s="19">
        <f t="shared" si="55"/>
        <v>4.29496384867985</v>
      </c>
      <c r="K64" s="2"/>
      <c r="L64" s="2">
        <f t="shared" si="56"/>
        <v>-58333.34</v>
      </c>
      <c r="M64" s="2"/>
      <c r="N64" s="19">
        <f t="shared" si="57"/>
        <v>-1</v>
      </c>
      <c r="O64" s="10"/>
      <c r="P64" s="2">
        <f t="shared" si="63"/>
        <v>0</v>
      </c>
      <c r="Q64" s="2"/>
      <c r="R64" s="19">
        <f t="shared" si="58"/>
        <v>0</v>
      </c>
      <c r="S64" s="2"/>
      <c r="T64" s="2">
        <f>--488733.84</f>
        <v>488733.84</v>
      </c>
      <c r="U64" s="2"/>
      <c r="V64" s="19">
        <f t="shared" si="59"/>
        <v>13.879050757970315</v>
      </c>
      <c r="W64" s="2"/>
      <c r="X64" s="2">
        <f t="shared" si="60"/>
        <v>-488733.84</v>
      </c>
      <c r="Y64" s="2"/>
      <c r="Z64" s="19">
        <f t="shared" si="61"/>
        <v>-1</v>
      </c>
    </row>
    <row r="65" spans="1:26" x14ac:dyDescent="0.25">
      <c r="A65" s="9"/>
      <c r="B65" s="11"/>
      <c r="C65" s="11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1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4" customFormat="1" x14ac:dyDescent="0.25">
      <c r="A66" s="11"/>
      <c r="B66" s="28" t="s">
        <v>276</v>
      </c>
      <c r="C66" s="28"/>
      <c r="D66" s="20">
        <f>+D25-D27+D59</f>
        <v>0</v>
      </c>
      <c r="E66" s="14"/>
      <c r="F66" s="21">
        <f>IF(D$12=0,0,D66/D$12)</f>
        <v>0</v>
      </c>
      <c r="G66" s="14"/>
      <c r="H66" s="20">
        <f>+H25-H27+H59</f>
        <v>57733.87</v>
      </c>
      <c r="I66" s="14"/>
      <c r="J66" s="21">
        <f>IF(H$12=0,0,H66/H$12)</f>
        <v>4.2508261055235685</v>
      </c>
      <c r="K66" s="15"/>
      <c r="L66" s="20">
        <f>+D66-H66</f>
        <v>-57733.87</v>
      </c>
      <c r="M66" s="15"/>
      <c r="N66" s="21">
        <f>IF(H66=0,0,L66/H66)</f>
        <v>-1</v>
      </c>
      <c r="O66" s="29"/>
      <c r="P66" s="20">
        <f>+P25-P27+P59</f>
        <v>0</v>
      </c>
      <c r="Q66" s="14"/>
      <c r="R66" s="21">
        <f>IF(P$12=0,0,P66/P$12)</f>
        <v>0</v>
      </c>
      <c r="S66" s="14"/>
      <c r="T66" s="20">
        <f>+T25-T27+T59</f>
        <v>527607.61</v>
      </c>
      <c r="U66" s="14"/>
      <c r="V66" s="21">
        <f>IF(T$12=0,0,T66/T$12)</f>
        <v>14.982987057907442</v>
      </c>
      <c r="W66" s="15"/>
      <c r="X66" s="20">
        <f>+P66-T66</f>
        <v>-527607.61</v>
      </c>
      <c r="Y66" s="15"/>
      <c r="Z66" s="21">
        <f>IF(T66=0,0,X66/T66)</f>
        <v>-1</v>
      </c>
    </row>
    <row r="67" spans="1:26" x14ac:dyDescent="0.25">
      <c r="A67" s="9"/>
      <c r="B67" s="11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51"/>
      <c r="B68" s="11" t="s">
        <v>127</v>
      </c>
      <c r="C68" s="11"/>
      <c r="D68" s="4"/>
      <c r="E68" s="4"/>
      <c r="F68" s="13">
        <f>IF(D$12=0,0,D68/D$12)</f>
        <v>0</v>
      </c>
      <c r="G68" s="4"/>
      <c r="H68" s="4">
        <v>1713.88</v>
      </c>
      <c r="I68" s="4"/>
      <c r="J68" s="13">
        <f>IF(H$12=0,0,H68/H$12)</f>
        <v>0.12618945942364046</v>
      </c>
      <c r="K68" s="4"/>
      <c r="L68" s="4">
        <f>+D68-H68</f>
        <v>-1713.88</v>
      </c>
      <c r="M68" s="4"/>
      <c r="N68" s="13">
        <f>IF(H68=0,0,L68/H68)</f>
        <v>-1</v>
      </c>
      <c r="O68" s="11"/>
      <c r="P68" s="4"/>
      <c r="Q68" s="4"/>
      <c r="R68" s="13">
        <f>IF(P$12=0,0,P68/P$12)</f>
        <v>0</v>
      </c>
      <c r="S68" s="4"/>
      <c r="T68" s="4">
        <v>4170.04</v>
      </c>
      <c r="U68" s="4"/>
      <c r="V68" s="13">
        <f>IF(T$12=0,0,T68/T$12)</f>
        <v>0.1184206864471806</v>
      </c>
      <c r="W68" s="4"/>
      <c r="X68" s="4">
        <f>+P68-T68</f>
        <v>-4170.04</v>
      </c>
      <c r="Y68" s="4"/>
      <c r="Z68" s="13">
        <f>IF(T68=0,0,X68/T68)</f>
        <v>-1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ht="15.75" thickBot="1" x14ac:dyDescent="0.3">
      <c r="A70" s="11"/>
      <c r="B70" s="28" t="s">
        <v>125</v>
      </c>
      <c r="C70" s="28"/>
      <c r="D70" s="35">
        <f>+D66-D68</f>
        <v>0</v>
      </c>
      <c r="E70" s="14"/>
      <c r="F70" s="36">
        <f>IF(D$12=0,0,D70/D$12)</f>
        <v>0</v>
      </c>
      <c r="G70" s="14"/>
      <c r="H70" s="35">
        <f>+H66-H68</f>
        <v>56019.990000000005</v>
      </c>
      <c r="I70" s="14"/>
      <c r="J70" s="36">
        <f>IF(H$12=0,0,H70/H$12)</f>
        <v>4.124636646099928</v>
      </c>
      <c r="K70" s="15"/>
      <c r="L70" s="35">
        <f>D70-H70</f>
        <v>-56019.990000000005</v>
      </c>
      <c r="M70" s="15"/>
      <c r="N70" s="36">
        <f>IF(H70=0,0,L70/H70)</f>
        <v>-1</v>
      </c>
      <c r="O70" s="29"/>
      <c r="P70" s="35">
        <f>+P66-P68</f>
        <v>0</v>
      </c>
      <c r="Q70" s="14"/>
      <c r="R70" s="36">
        <f>IF(P$12=0,0,P70/P$12)</f>
        <v>0</v>
      </c>
      <c r="S70" s="14"/>
      <c r="T70" s="35">
        <f>+T66-T68</f>
        <v>523437.57</v>
      </c>
      <c r="U70" s="14"/>
      <c r="V70" s="36">
        <f>IF(T$12=0,0,T70/T$12)</f>
        <v>14.864566371460262</v>
      </c>
      <c r="W70" s="15"/>
      <c r="X70" s="35">
        <f>P70-T70</f>
        <v>-523437.57</v>
      </c>
      <c r="Y70" s="15"/>
      <c r="Z70" s="36">
        <f>IF(T70=0,0,X70/T70)</f>
        <v>-1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8" t="s">
        <v>293</v>
      </c>
      <c r="C73" s="28"/>
      <c r="D73" s="30">
        <f>SUM(D70:D72)</f>
        <v>0</v>
      </c>
      <c r="E73" s="14"/>
      <c r="F73" s="31">
        <f>IF(D$12=0,0,D73/D$12)</f>
        <v>0</v>
      </c>
      <c r="G73" s="14"/>
      <c r="H73" s="30">
        <f>SUM(H70:H72)</f>
        <v>56019.990000000005</v>
      </c>
      <c r="I73" s="14"/>
      <c r="J73" s="31">
        <f>IF(H$12=0,0,H73/H$12)</f>
        <v>4.124636646099928</v>
      </c>
      <c r="K73" s="15"/>
      <c r="L73" s="30">
        <f>+D73-H73</f>
        <v>-56019.990000000005</v>
      </c>
      <c r="M73" s="15"/>
      <c r="N73" s="31">
        <f>IF(H73=0,0,L73/H73)</f>
        <v>-1</v>
      </c>
      <c r="O73" s="29"/>
      <c r="P73" s="30">
        <f>SUM(P70:P72)</f>
        <v>0</v>
      </c>
      <c r="Q73" s="14"/>
      <c r="R73" s="31">
        <f>IF(P$12=0,0,P73/P$12)</f>
        <v>0</v>
      </c>
      <c r="S73" s="14"/>
      <c r="T73" s="30">
        <f>SUM(T70:T72)</f>
        <v>523437.57</v>
      </c>
      <c r="U73" s="14"/>
      <c r="V73" s="31">
        <f>IF(T$12=0,0,T73/T$12)</f>
        <v>14.864566371460262</v>
      </c>
      <c r="W73" s="15"/>
      <c r="X73" s="30">
        <f>+P73-T73</f>
        <v>-523437.57</v>
      </c>
      <c r="Y73" s="15"/>
      <c r="Z73" s="31">
        <f>IF(T73=0,0,X73/T73)</f>
        <v>-1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9">
        <v>44356.893348032405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2" t="s">
        <v>56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4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149780.6</v>
      </c>
      <c r="E12" s="4"/>
      <c r="F12" s="13"/>
      <c r="G12" s="4"/>
      <c r="H12" s="4">
        <f>SUM(OSRRefH13x_0)</f>
        <v>95555.69</v>
      </c>
      <c r="I12" s="4"/>
      <c r="J12" s="13"/>
      <c r="K12" s="4"/>
      <c r="L12" s="4">
        <f t="shared" ref="L12:L37" si="0">+D12-H12</f>
        <v>54224.91</v>
      </c>
      <c r="M12" s="4"/>
      <c r="N12" s="13">
        <f t="shared" ref="N12:N37" si="1">IF(H12=0,0,L12/H12)</f>
        <v>0.56746918995613971</v>
      </c>
      <c r="O12" s="11"/>
      <c r="P12" s="4">
        <f>SUM(OSRRefP13x_0)</f>
        <v>2572564.4999999995</v>
      </c>
      <c r="Q12" s="4"/>
      <c r="R12" s="13"/>
      <c r="S12" s="4"/>
      <c r="T12" s="4">
        <f>SUM(OSRRefT13x_0)</f>
        <v>2437479.4200000004</v>
      </c>
      <c r="U12" s="4"/>
      <c r="V12" s="13"/>
      <c r="W12" s="4"/>
      <c r="X12" s="4">
        <f t="shared" ref="X12:X37" si="2">+P12-T12</f>
        <v>135085.07999999914</v>
      </c>
      <c r="Y12" s="4"/>
      <c r="Z12" s="13">
        <f t="shared" ref="Z12:Z37" si="3">IF(T12=0,0,X12/T12)</f>
        <v>5.5419987915220681E-2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-55.8</f>
        <v>-55.8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-55.8</v>
      </c>
      <c r="M13" s="2"/>
      <c r="N13" s="19">
        <f t="shared" si="1"/>
        <v>0</v>
      </c>
      <c r="O13" s="10"/>
      <c r="P13" s="2">
        <f>-2963.91</f>
        <v>-2963.91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-2963.91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--1857.91</f>
        <v>1857.91</v>
      </c>
      <c r="E14" s="2"/>
      <c r="F14" s="19"/>
      <c r="G14" s="2"/>
      <c r="H14" s="2">
        <f>--1256.94</f>
        <v>1256.94</v>
      </c>
      <c r="I14" s="2"/>
      <c r="J14" s="19"/>
      <c r="K14" s="2"/>
      <c r="L14" s="2">
        <f t="shared" si="0"/>
        <v>600.97</v>
      </c>
      <c r="M14" s="2"/>
      <c r="N14" s="19">
        <f t="shared" si="1"/>
        <v>0.47812146960077651</v>
      </c>
      <c r="O14" s="10"/>
      <c r="P14" s="2">
        <f>--63953.98</f>
        <v>63953.98</v>
      </c>
      <c r="Q14" s="2"/>
      <c r="R14" s="19"/>
      <c r="S14" s="2"/>
      <c r="T14" s="2">
        <f>--313160.03</f>
        <v>313160.03000000003</v>
      </c>
      <c r="U14" s="2"/>
      <c r="V14" s="19"/>
      <c r="W14" s="2"/>
      <c r="X14" s="2">
        <f t="shared" si="2"/>
        <v>-249206.05000000002</v>
      </c>
      <c r="Y14" s="2"/>
      <c r="Z14" s="19">
        <f t="shared" si="3"/>
        <v>-0.79577859920373617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--117610.99</f>
        <v>117610.99</v>
      </c>
      <c r="E15" s="2"/>
      <c r="F15" s="19"/>
      <c r="G15" s="2"/>
      <c r="H15" s="2">
        <f>--55929.1</f>
        <v>55929.1</v>
      </c>
      <c r="I15" s="2"/>
      <c r="J15" s="19"/>
      <c r="K15" s="2"/>
      <c r="L15" s="2">
        <f t="shared" si="0"/>
        <v>61681.890000000007</v>
      </c>
      <c r="M15" s="2"/>
      <c r="N15" s="19">
        <f t="shared" si="1"/>
        <v>1.1028586192161149</v>
      </c>
      <c r="O15" s="10"/>
      <c r="P15" s="2">
        <f>--2129658.62</f>
        <v>2129658.62</v>
      </c>
      <c r="Q15" s="2"/>
      <c r="R15" s="19"/>
      <c r="S15" s="2"/>
      <c r="T15" s="2">
        <f>--1982238.78</f>
        <v>1982238.78</v>
      </c>
      <c r="U15" s="2"/>
      <c r="V15" s="19"/>
      <c r="W15" s="2"/>
      <c r="X15" s="2">
        <f t="shared" si="2"/>
        <v>147419.84000000008</v>
      </c>
      <c r="Y15" s="2"/>
      <c r="Z15" s="19">
        <f t="shared" si="3"/>
        <v>7.4370374289620178E-2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--10204.05</f>
        <v>10204.049999999999</v>
      </c>
      <c r="E16" s="2"/>
      <c r="F16" s="19"/>
      <c r="G16" s="2"/>
      <c r="H16" s="2">
        <f>--2640</f>
        <v>2640</v>
      </c>
      <c r="I16" s="2"/>
      <c r="J16" s="19"/>
      <c r="K16" s="2"/>
      <c r="L16" s="2">
        <f t="shared" si="0"/>
        <v>7564.0499999999993</v>
      </c>
      <c r="M16" s="2"/>
      <c r="N16" s="19">
        <f t="shared" si="1"/>
        <v>2.8651704545454542</v>
      </c>
      <c r="O16" s="10"/>
      <c r="P16" s="2">
        <f>--137136.99</f>
        <v>137136.99</v>
      </c>
      <c r="Q16" s="2"/>
      <c r="R16" s="19"/>
      <c r="S16" s="2"/>
      <c r="T16" s="2">
        <f>--105504.07</f>
        <v>105504.07</v>
      </c>
      <c r="U16" s="2"/>
      <c r="V16" s="19"/>
      <c r="W16" s="2"/>
      <c r="X16" s="2">
        <f t="shared" si="2"/>
        <v>31632.919999999984</v>
      </c>
      <c r="Y16" s="2"/>
      <c r="Z16" s="19">
        <f t="shared" si="3"/>
        <v>0.299826537497558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 t="shared" si="4"/>
        <v>0</v>
      </c>
      <c r="E18" s="2"/>
      <c r="F18" s="19"/>
      <c r="G18" s="2"/>
      <c r="H18" s="2">
        <f>--20</f>
        <v>20</v>
      </c>
      <c r="I18" s="2"/>
      <c r="J18" s="19"/>
      <c r="K18" s="2"/>
      <c r="L18" s="2">
        <f t="shared" si="0"/>
        <v>-20</v>
      </c>
      <c r="M18" s="2"/>
      <c r="N18" s="19">
        <f t="shared" si="1"/>
        <v>-1</v>
      </c>
      <c r="O18" s="10"/>
      <c r="P18" s="2">
        <f>--4870.79</f>
        <v>4870.79</v>
      </c>
      <c r="Q18" s="2"/>
      <c r="R18" s="19"/>
      <c r="S18" s="2"/>
      <c r="T18" s="2">
        <f>--4587.93</f>
        <v>4587.93</v>
      </c>
      <c r="U18" s="2"/>
      <c r="V18" s="19"/>
      <c r="W18" s="2"/>
      <c r="X18" s="2">
        <f t="shared" si="2"/>
        <v>282.85999999999967</v>
      </c>
      <c r="Y18" s="2"/>
      <c r="Z18" s="19">
        <f t="shared" si="3"/>
        <v>6.165307665984434E-2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--1662.79</f>
        <v>1662.79</v>
      </c>
      <c r="E19" s="2"/>
      <c r="F19" s="19"/>
      <c r="G19" s="2"/>
      <c r="H19" s="2">
        <f>--357.44</f>
        <v>357.44</v>
      </c>
      <c r="I19" s="2"/>
      <c r="J19" s="19"/>
      <c r="K19" s="2"/>
      <c r="L19" s="2">
        <f t="shared" si="0"/>
        <v>1305.3499999999999</v>
      </c>
      <c r="M19" s="2"/>
      <c r="N19" s="19">
        <f t="shared" si="1"/>
        <v>3.6519415846016114</v>
      </c>
      <c r="O19" s="10"/>
      <c r="P19" s="2">
        <f>--66932.42</f>
        <v>66932.42</v>
      </c>
      <c r="Q19" s="2"/>
      <c r="R19" s="19"/>
      <c r="S19" s="2"/>
      <c r="T19" s="2">
        <f>--48715.72</f>
        <v>48715.72</v>
      </c>
      <c r="U19" s="2"/>
      <c r="V19" s="19"/>
      <c r="W19" s="2"/>
      <c r="X19" s="2">
        <f t="shared" si="2"/>
        <v>18216.699999999997</v>
      </c>
      <c r="Y19" s="2"/>
      <c r="Z19" s="19">
        <f t="shared" si="3"/>
        <v>0.3739388435601485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--1120.94</f>
        <v>1120.94</v>
      </c>
      <c r="I20" s="2"/>
      <c r="J20" s="19"/>
      <c r="K20" s="2"/>
      <c r="L20" s="2">
        <f t="shared" si="0"/>
        <v>-1120.94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--2795.75</f>
        <v>2795.75</v>
      </c>
      <c r="U20" s="2"/>
      <c r="V20" s="19"/>
      <c r="W20" s="2"/>
      <c r="X20" s="2">
        <f t="shared" si="2"/>
        <v>-2795.75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--1779.96</f>
        <v>1779.96</v>
      </c>
      <c r="E21" s="2"/>
      <c r="F21" s="19"/>
      <c r="G21" s="2"/>
      <c r="H21" s="2">
        <f>--424.46</f>
        <v>424.46</v>
      </c>
      <c r="I21" s="2"/>
      <c r="J21" s="19"/>
      <c r="K21" s="2"/>
      <c r="L21" s="2">
        <f t="shared" si="0"/>
        <v>1355.5</v>
      </c>
      <c r="M21" s="2"/>
      <c r="N21" s="19">
        <f t="shared" si="1"/>
        <v>3.1934693492908637</v>
      </c>
      <c r="O21" s="10"/>
      <c r="P21" s="2">
        <f>--14288.58</f>
        <v>14288.58</v>
      </c>
      <c r="Q21" s="2"/>
      <c r="R21" s="19"/>
      <c r="S21" s="2"/>
      <c r="T21" s="2">
        <f>--2657.79</f>
        <v>2657.79</v>
      </c>
      <c r="U21" s="2"/>
      <c r="V21" s="19"/>
      <c r="W21" s="2"/>
      <c r="X21" s="2">
        <f t="shared" si="2"/>
        <v>11630.79</v>
      </c>
      <c r="Y21" s="2"/>
      <c r="Z21" s="19">
        <f t="shared" si="3"/>
        <v>4.3761132369374556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--33038.75</f>
        <v>33038.75</v>
      </c>
      <c r="E22" s="2"/>
      <c r="F22" s="19"/>
      <c r="G22" s="2"/>
      <c r="H22" s="2">
        <f>--28134.6</f>
        <v>28134.6</v>
      </c>
      <c r="I22" s="2"/>
      <c r="J22" s="19"/>
      <c r="K22" s="2"/>
      <c r="L22" s="2">
        <f t="shared" si="0"/>
        <v>4904.1500000000015</v>
      </c>
      <c r="M22" s="2"/>
      <c r="N22" s="19">
        <f t="shared" si="1"/>
        <v>0.17431027986891592</v>
      </c>
      <c r="O22" s="10"/>
      <c r="P22" s="2">
        <f>--347529.22</f>
        <v>347529.22</v>
      </c>
      <c r="Q22" s="2"/>
      <c r="R22" s="19"/>
      <c r="S22" s="2"/>
      <c r="T22" s="2">
        <f>--176201.54</f>
        <v>176201.54</v>
      </c>
      <c r="U22" s="2"/>
      <c r="V22" s="19"/>
      <c r="W22" s="2"/>
      <c r="X22" s="2">
        <f t="shared" si="2"/>
        <v>171327.67999999996</v>
      </c>
      <c r="Y22" s="2"/>
      <c r="Z22" s="19">
        <f t="shared" si="3"/>
        <v>0.97233928829452887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--2959.73</f>
        <v>2959.73</v>
      </c>
      <c r="E23" s="2"/>
      <c r="F23" s="19"/>
      <c r="G23" s="2"/>
      <c r="H23" s="2">
        <f>--1895.54</f>
        <v>1895.54</v>
      </c>
      <c r="I23" s="2"/>
      <c r="J23" s="19"/>
      <c r="K23" s="2"/>
      <c r="L23" s="2">
        <f t="shared" si="0"/>
        <v>1064.19</v>
      </c>
      <c r="M23" s="2"/>
      <c r="N23" s="19">
        <f t="shared" si="1"/>
        <v>0.56141785454276882</v>
      </c>
      <c r="O23" s="10"/>
      <c r="P23" s="2">
        <f>--22445.75</f>
        <v>22445.75</v>
      </c>
      <c r="Q23" s="2"/>
      <c r="R23" s="19"/>
      <c r="S23" s="2"/>
      <c r="T23" s="2">
        <f>--11427.56</f>
        <v>11427.56</v>
      </c>
      <c r="U23" s="2"/>
      <c r="V23" s="19"/>
      <c r="W23" s="2"/>
      <c r="X23" s="2">
        <f t="shared" si="2"/>
        <v>11018.19</v>
      </c>
      <c r="Y23" s="2"/>
      <c r="Z23" s="19">
        <f t="shared" si="3"/>
        <v>0.96417695466048758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--5925.22</f>
        <v>5925.22</v>
      </c>
      <c r="E25" s="2"/>
      <c r="F25" s="19"/>
      <c r="G25" s="2"/>
      <c r="H25" s="2">
        <f>--4176.74</f>
        <v>4176.74</v>
      </c>
      <c r="I25" s="2"/>
      <c r="J25" s="19"/>
      <c r="K25" s="2"/>
      <c r="L25" s="2">
        <f t="shared" si="0"/>
        <v>1748.4800000000005</v>
      </c>
      <c r="M25" s="2"/>
      <c r="N25" s="19">
        <f t="shared" si="1"/>
        <v>0.41862313670470286</v>
      </c>
      <c r="O25" s="10"/>
      <c r="P25" s="2">
        <f>--55957.61</f>
        <v>55957.61</v>
      </c>
      <c r="Q25" s="2"/>
      <c r="R25" s="19"/>
      <c r="S25" s="2"/>
      <c r="T25" s="2">
        <f>--20524.35</f>
        <v>20524.349999999999</v>
      </c>
      <c r="U25" s="2"/>
      <c r="V25" s="19"/>
      <c r="W25" s="2"/>
      <c r="X25" s="2">
        <f t="shared" si="2"/>
        <v>35433.26</v>
      </c>
      <c r="Y25" s="2"/>
      <c r="Z25" s="19">
        <f t="shared" si="3"/>
        <v>1.7264010796931453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--133.97</f>
        <v>133.97</v>
      </c>
      <c r="E26" s="2"/>
      <c r="F26" s="19"/>
      <c r="G26" s="2"/>
      <c r="H26" s="2">
        <f>--85.95</f>
        <v>85.95</v>
      </c>
      <c r="I26" s="2"/>
      <c r="J26" s="19"/>
      <c r="K26" s="2"/>
      <c r="L26" s="2">
        <f t="shared" si="0"/>
        <v>48.019999999999996</v>
      </c>
      <c r="M26" s="2"/>
      <c r="N26" s="19">
        <f t="shared" si="1"/>
        <v>0.55869691681209999</v>
      </c>
      <c r="O26" s="10"/>
      <c r="P26" s="2">
        <f>--3479.14</f>
        <v>3479.14</v>
      </c>
      <c r="Q26" s="2"/>
      <c r="R26" s="19"/>
      <c r="S26" s="2"/>
      <c r="T26" s="2">
        <f>--2926.08</f>
        <v>2926.08</v>
      </c>
      <c r="U26" s="2"/>
      <c r="V26" s="19"/>
      <c r="W26" s="2"/>
      <c r="X26" s="2">
        <f t="shared" si="2"/>
        <v>553.05999999999995</v>
      </c>
      <c r="Y26" s="2"/>
      <c r="Z26" s="19">
        <f t="shared" si="3"/>
        <v>0.18901055336832895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>0</f>
        <v>0</v>
      </c>
      <c r="E27" s="2"/>
      <c r="F27" s="19"/>
      <c r="G27" s="2"/>
      <c r="H27" s="2">
        <f>--123.98</f>
        <v>123.98</v>
      </c>
      <c r="I27" s="2"/>
      <c r="J27" s="19"/>
      <c r="K27" s="2"/>
      <c r="L27" s="2">
        <f t="shared" si="0"/>
        <v>-123.98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--343.94</f>
        <v>343.94</v>
      </c>
      <c r="U27" s="2"/>
      <c r="V27" s="19"/>
      <c r="W27" s="2"/>
      <c r="X27" s="2">
        <f t="shared" si="2"/>
        <v>-343.94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>-79.99</f>
        <v>-79.989999999999995</v>
      </c>
      <c r="E28" s="2"/>
      <c r="F28" s="19"/>
      <c r="G28" s="2"/>
      <c r="H28" s="2">
        <f>-159</f>
        <v>-159</v>
      </c>
      <c r="I28" s="2"/>
      <c r="J28" s="19"/>
      <c r="K28" s="2"/>
      <c r="L28" s="2">
        <f t="shared" si="0"/>
        <v>79.010000000000005</v>
      </c>
      <c r="M28" s="2"/>
      <c r="N28" s="19">
        <f t="shared" si="1"/>
        <v>-0.49691823899371074</v>
      </c>
      <c r="O28" s="10"/>
      <c r="P28" s="2">
        <f>-14842.13</f>
        <v>-14842.13</v>
      </c>
      <c r="Q28" s="2"/>
      <c r="R28" s="19"/>
      <c r="S28" s="2"/>
      <c r="T28" s="2">
        <f>-7940.7</f>
        <v>-7940.7</v>
      </c>
      <c r="U28" s="2"/>
      <c r="V28" s="19"/>
      <c r="W28" s="2"/>
      <c r="X28" s="2">
        <f t="shared" si="2"/>
        <v>-6901.4299999999994</v>
      </c>
      <c r="Y28" s="2"/>
      <c r="Z28" s="19">
        <f t="shared" si="3"/>
        <v>0.86912111022957672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-25075.01</f>
        <v>-25075.01</v>
      </c>
      <c r="E29" s="2"/>
      <c r="F29" s="19"/>
      <c r="G29" s="2"/>
      <c r="H29" s="2">
        <f>-183</f>
        <v>-183</v>
      </c>
      <c r="I29" s="2"/>
      <c r="J29" s="19"/>
      <c r="K29" s="2"/>
      <c r="L29" s="2">
        <f t="shared" si="0"/>
        <v>-24892.01</v>
      </c>
      <c r="M29" s="2"/>
      <c r="N29" s="19">
        <f t="shared" si="1"/>
        <v>136.02191256830599</v>
      </c>
      <c r="O29" s="10"/>
      <c r="P29" s="2">
        <f>-240220.17</f>
        <v>-240220.17</v>
      </c>
      <c r="Q29" s="2"/>
      <c r="R29" s="19"/>
      <c r="S29" s="2"/>
      <c r="T29" s="2">
        <f>-215628.8</f>
        <v>-215628.79999999999</v>
      </c>
      <c r="U29" s="2"/>
      <c r="V29" s="19"/>
      <c r="W29" s="2"/>
      <c r="X29" s="2">
        <f t="shared" si="2"/>
        <v>-24591.370000000024</v>
      </c>
      <c r="Y29" s="2"/>
      <c r="Z29" s="19">
        <f t="shared" si="3"/>
        <v>0.11404492349815992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-181.97</f>
        <v>-181.97</v>
      </c>
      <c r="E30" s="2"/>
      <c r="F30" s="19"/>
      <c r="G30" s="2"/>
      <c r="H30" s="2">
        <f>-119</f>
        <v>-119</v>
      </c>
      <c r="I30" s="2"/>
      <c r="J30" s="19"/>
      <c r="K30" s="2"/>
      <c r="L30" s="2">
        <f t="shared" si="0"/>
        <v>-62.97</v>
      </c>
      <c r="M30" s="2"/>
      <c r="N30" s="19">
        <f t="shared" si="1"/>
        <v>0.52915966386554625</v>
      </c>
      <c r="O30" s="10"/>
      <c r="P30" s="2">
        <f>-4129.17</f>
        <v>-4129.17</v>
      </c>
      <c r="Q30" s="2"/>
      <c r="R30" s="19"/>
      <c r="S30" s="2"/>
      <c r="T30" s="2">
        <f>-6708.02</f>
        <v>-6708.02</v>
      </c>
      <c r="U30" s="2"/>
      <c r="V30" s="19"/>
      <c r="W30" s="2"/>
      <c r="X30" s="2">
        <f t="shared" si="2"/>
        <v>2578.8500000000004</v>
      </c>
      <c r="Y30" s="2"/>
      <c r="Z30" s="19">
        <f t="shared" si="3"/>
        <v>-0.38444280130351433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 t="shared" ref="D31:D37" si="5">0</f>
        <v>0</v>
      </c>
      <c r="E31" s="2"/>
      <c r="F31" s="19"/>
      <c r="G31" s="2"/>
      <c r="H31" s="2">
        <f t="shared" ref="H31:H33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si="5"/>
        <v>0</v>
      </c>
      <c r="E34" s="2"/>
      <c r="F34" s="19"/>
      <c r="G34" s="2"/>
      <c r="H34" s="2">
        <f>-149</f>
        <v>-149</v>
      </c>
      <c r="I34" s="2"/>
      <c r="J34" s="19"/>
      <c r="K34" s="2"/>
      <c r="L34" s="2">
        <f t="shared" si="0"/>
        <v>149</v>
      </c>
      <c r="M34" s="2"/>
      <c r="N34" s="19">
        <f t="shared" si="1"/>
        <v>-1</v>
      </c>
      <c r="O34" s="10"/>
      <c r="P34" s="2">
        <f>0</f>
        <v>0</v>
      </c>
      <c r="Q34" s="2"/>
      <c r="R34" s="19"/>
      <c r="S34" s="2"/>
      <c r="T34" s="2">
        <f>-152.99</f>
        <v>-152.99</v>
      </c>
      <c r="U34" s="2"/>
      <c r="V34" s="19"/>
      <c r="W34" s="2"/>
      <c r="X34" s="2">
        <f t="shared" si="2"/>
        <v>152.99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5"/>
        <v>0</v>
      </c>
      <c r="E35" s="2"/>
      <c r="F35" s="19"/>
      <c r="G35" s="2"/>
      <c r="H35" s="2">
        <f t="shared" ref="H35:H37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si="5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5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9" t="s">
        <v>256</v>
      </c>
      <c r="C39" s="11"/>
      <c r="D39" s="4">
        <f>SUM(OSRRefD16x_0)</f>
        <v>56555</v>
      </c>
      <c r="E39" s="4"/>
      <c r="F39" s="13">
        <f t="shared" ref="F39:F55" si="8">IF(D$12=0,0,D39/D$12)</f>
        <v>0.377585615226538</v>
      </c>
      <c r="G39" s="4"/>
      <c r="H39" s="4">
        <f>SUM(OSRRefH16x_0)</f>
        <v>89462.35</v>
      </c>
      <c r="I39" s="4"/>
      <c r="J39" s="13">
        <f t="shared" ref="J39:J55" si="9">IF(H$12=0,0,H39/H$12)</f>
        <v>0.93623257809137272</v>
      </c>
      <c r="K39" s="4"/>
      <c r="L39" s="4">
        <f t="shared" ref="L39:L55" si="10">+D39-H39</f>
        <v>-32907.350000000006</v>
      </c>
      <c r="M39" s="4"/>
      <c r="N39" s="13">
        <f t="shared" ref="N39:N55" si="11">IF(H39=0,0,L39/H39)</f>
        <v>-0.36783462540387107</v>
      </c>
      <c r="O39" s="11"/>
      <c r="P39" s="4">
        <f>SUM(OSRRefP16x_0)</f>
        <v>2290489.8400000003</v>
      </c>
      <c r="Q39" s="4"/>
      <c r="R39" s="13">
        <f t="shared" ref="R39:R55" si="12">IF(P$12=0,0,P39/P$12)</f>
        <v>0.89035273556795202</v>
      </c>
      <c r="S39" s="4"/>
      <c r="T39" s="4">
        <f>SUM(OSRRefT16x_0)</f>
        <v>2121756.5999999996</v>
      </c>
      <c r="U39" s="4"/>
      <c r="V39" s="13">
        <f t="shared" ref="V39:V55" si="13">IF(T$12=0,0,T39/T$12)</f>
        <v>0.87047159561248699</v>
      </c>
      <c r="W39" s="4"/>
      <c r="X39" s="4">
        <f t="shared" ref="X39:X55" si="14">+P39-T39</f>
        <v>168733.24000000069</v>
      </c>
      <c r="Y39" s="4"/>
      <c r="Z39" s="13">
        <f t="shared" ref="Z39:Z55" si="15">IF(T39=0,0,X39/T39)</f>
        <v>7.9525257515400544E-2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8"/>
        <v>0</v>
      </c>
      <c r="G40" s="2"/>
      <c r="H40" s="2"/>
      <c r="I40" s="2"/>
      <c r="J40" s="19">
        <f t="shared" si="9"/>
        <v>0</v>
      </c>
      <c r="K40" s="2"/>
      <c r="L40" s="2">
        <f t="shared" si="10"/>
        <v>0</v>
      </c>
      <c r="M40" s="2"/>
      <c r="N40" s="19">
        <f t="shared" si="11"/>
        <v>0</v>
      </c>
      <c r="O40" s="10"/>
      <c r="P40" s="2">
        <v>0</v>
      </c>
      <c r="Q40" s="2"/>
      <c r="R40" s="19">
        <f t="shared" si="12"/>
        <v>0</v>
      </c>
      <c r="S40" s="2"/>
      <c r="T40" s="2">
        <v>0</v>
      </c>
      <c r="U40" s="2"/>
      <c r="V40" s="19">
        <f t="shared" si="13"/>
        <v>0</v>
      </c>
      <c r="W40" s="2"/>
      <c r="X40" s="2">
        <f t="shared" si="14"/>
        <v>0</v>
      </c>
      <c r="Y40" s="2"/>
      <c r="Z40" s="19">
        <f t="shared" si="15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-28.91</v>
      </c>
      <c r="E41" s="2"/>
      <c r="F41" s="19">
        <f t="shared" si="8"/>
        <v>-1.9301565089203807E-4</v>
      </c>
      <c r="G41" s="2"/>
      <c r="H41" s="2">
        <v>1637.44</v>
      </c>
      <c r="I41" s="2"/>
      <c r="J41" s="19">
        <f t="shared" si="9"/>
        <v>1.7135975890080434E-2</v>
      </c>
      <c r="K41" s="2"/>
      <c r="L41" s="2">
        <f t="shared" si="10"/>
        <v>-1666.3500000000001</v>
      </c>
      <c r="M41" s="2"/>
      <c r="N41" s="19">
        <f t="shared" si="11"/>
        <v>-1.0176556087551301</v>
      </c>
      <c r="O41" s="10"/>
      <c r="P41" s="2">
        <v>32419.46</v>
      </c>
      <c r="Q41" s="2"/>
      <c r="R41" s="19">
        <f t="shared" si="12"/>
        <v>1.2602000843904984E-2</v>
      </c>
      <c r="S41" s="2"/>
      <c r="T41" s="2">
        <v>258461.58</v>
      </c>
      <c r="U41" s="2"/>
      <c r="V41" s="19">
        <f t="shared" si="13"/>
        <v>0.10603641527361078</v>
      </c>
      <c r="W41" s="2"/>
      <c r="X41" s="2">
        <f t="shared" si="14"/>
        <v>-226042.12</v>
      </c>
      <c r="Y41" s="2"/>
      <c r="Z41" s="19">
        <f t="shared" si="15"/>
        <v>-0.87456758563497139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129194.07</v>
      </c>
      <c r="E42" s="2"/>
      <c r="F42" s="19">
        <f t="shared" si="8"/>
        <v>0.86255543107718891</v>
      </c>
      <c r="G42" s="2"/>
      <c r="H42" s="2">
        <v>140818.03</v>
      </c>
      <c r="I42" s="2"/>
      <c r="J42" s="19">
        <f t="shared" si="9"/>
        <v>1.4736749847131028</v>
      </c>
      <c r="K42" s="2"/>
      <c r="L42" s="2">
        <f t="shared" si="10"/>
        <v>-11623.959999999992</v>
      </c>
      <c r="M42" s="2"/>
      <c r="N42" s="19">
        <f t="shared" si="11"/>
        <v>-8.2545963751942786E-2</v>
      </c>
      <c r="O42" s="10"/>
      <c r="P42" s="2">
        <v>1802534.87</v>
      </c>
      <c r="Q42" s="2"/>
      <c r="R42" s="19">
        <f t="shared" si="12"/>
        <v>0.70067625904034692</v>
      </c>
      <c r="S42" s="2"/>
      <c r="T42" s="2">
        <v>1641300.3</v>
      </c>
      <c r="U42" s="2"/>
      <c r="V42" s="19">
        <f t="shared" si="13"/>
        <v>0.67335965445812862</v>
      </c>
      <c r="W42" s="2"/>
      <c r="X42" s="2">
        <f t="shared" si="14"/>
        <v>161234.57000000007</v>
      </c>
      <c r="Y42" s="2"/>
      <c r="Z42" s="19">
        <f t="shared" si="15"/>
        <v>9.823587432476559E-2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7514.45</v>
      </c>
      <c r="E43" s="2"/>
      <c r="F43" s="19">
        <f t="shared" si="8"/>
        <v>5.0169714902998118E-2</v>
      </c>
      <c r="G43" s="2"/>
      <c r="H43" s="2">
        <v>14533.49</v>
      </c>
      <c r="I43" s="2"/>
      <c r="J43" s="19">
        <f t="shared" si="9"/>
        <v>0.15209444879734529</v>
      </c>
      <c r="K43" s="2"/>
      <c r="L43" s="2">
        <f t="shared" si="10"/>
        <v>-7019.04</v>
      </c>
      <c r="M43" s="2"/>
      <c r="N43" s="19">
        <f t="shared" si="11"/>
        <v>-0.48295626171002287</v>
      </c>
      <c r="O43" s="10"/>
      <c r="P43" s="2">
        <v>127029.94</v>
      </c>
      <c r="Q43" s="2"/>
      <c r="R43" s="19">
        <f t="shared" si="12"/>
        <v>4.9378719173027545E-2</v>
      </c>
      <c r="S43" s="2"/>
      <c r="T43" s="2">
        <v>94550.76</v>
      </c>
      <c r="U43" s="2"/>
      <c r="V43" s="19">
        <f t="shared" si="13"/>
        <v>3.8790382894802029E-2</v>
      </c>
      <c r="W43" s="2"/>
      <c r="X43" s="2">
        <f t="shared" si="14"/>
        <v>32479.180000000008</v>
      </c>
      <c r="Y43" s="2"/>
      <c r="Z43" s="19">
        <f t="shared" si="15"/>
        <v>0.34351051223702495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0"/>
      <c r="P44" s="2"/>
      <c r="Q44" s="2"/>
      <c r="R44" s="19">
        <f t="shared" si="12"/>
        <v>0</v>
      </c>
      <c r="S44" s="2"/>
      <c r="T44" s="2">
        <v>2728</v>
      </c>
      <c r="U44" s="2"/>
      <c r="V44" s="19">
        <f t="shared" si="13"/>
        <v>1.1191889365777699E-3</v>
      </c>
      <c r="W44" s="2"/>
      <c r="X44" s="2">
        <f t="shared" si="14"/>
        <v>-2728</v>
      </c>
      <c r="Y44" s="2"/>
      <c r="Z44" s="19">
        <f t="shared" si="15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8375.49</v>
      </c>
      <c r="E45" s="2"/>
      <c r="F45" s="19">
        <f t="shared" si="8"/>
        <v>5.5918389965055548E-2</v>
      </c>
      <c r="G45" s="2"/>
      <c r="H45" s="2">
        <v>3661.64</v>
      </c>
      <c r="I45" s="2"/>
      <c r="J45" s="19">
        <f t="shared" si="9"/>
        <v>3.8319434457539887E-2</v>
      </c>
      <c r="K45" s="2"/>
      <c r="L45" s="2">
        <f t="shared" si="10"/>
        <v>4713.8500000000004</v>
      </c>
      <c r="M45" s="2"/>
      <c r="N45" s="19">
        <f t="shared" si="11"/>
        <v>1.2873603084956469</v>
      </c>
      <c r="O45" s="10"/>
      <c r="P45" s="2">
        <v>46286.37</v>
      </c>
      <c r="Q45" s="2"/>
      <c r="R45" s="19">
        <f t="shared" si="12"/>
        <v>1.7992306898427624E-2</v>
      </c>
      <c r="S45" s="2"/>
      <c r="T45" s="2">
        <v>15328.14</v>
      </c>
      <c r="U45" s="2"/>
      <c r="V45" s="19">
        <f t="shared" si="13"/>
        <v>6.2885207867724264E-3</v>
      </c>
      <c r="W45" s="2"/>
      <c r="X45" s="2">
        <f t="shared" si="14"/>
        <v>30958.230000000003</v>
      </c>
      <c r="Y45" s="2"/>
      <c r="Z45" s="19">
        <f t="shared" si="15"/>
        <v>2.0196990632914367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83.62</v>
      </c>
      <c r="E46" s="2"/>
      <c r="F46" s="19">
        <f t="shared" si="8"/>
        <v>5.5828324896548681E-4</v>
      </c>
      <c r="G46" s="2"/>
      <c r="H46" s="2">
        <v>-67.5</v>
      </c>
      <c r="I46" s="2"/>
      <c r="J46" s="19">
        <f t="shared" si="9"/>
        <v>-7.0639435495677963E-4</v>
      </c>
      <c r="K46" s="2"/>
      <c r="L46" s="2">
        <f t="shared" si="10"/>
        <v>151.12</v>
      </c>
      <c r="M46" s="2"/>
      <c r="N46" s="19">
        <f t="shared" si="11"/>
        <v>-2.2388148148148148</v>
      </c>
      <c r="O46" s="10"/>
      <c r="P46" s="2">
        <v>23763.01</v>
      </c>
      <c r="Q46" s="2"/>
      <c r="R46" s="19">
        <f t="shared" si="12"/>
        <v>9.2370900710166855E-3</v>
      </c>
      <c r="S46" s="2"/>
      <c r="T46" s="2">
        <v>29883.05</v>
      </c>
      <c r="U46" s="2"/>
      <c r="V46" s="19">
        <f t="shared" si="13"/>
        <v>1.2259816331085164E-2</v>
      </c>
      <c r="W46" s="2"/>
      <c r="X46" s="2">
        <f t="shared" si="14"/>
        <v>-6120.0400000000009</v>
      </c>
      <c r="Y46" s="2"/>
      <c r="Z46" s="19">
        <f t="shared" si="15"/>
        <v>-0.20479971087288618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0"/>
      <c r="P47" s="2"/>
      <c r="Q47" s="2"/>
      <c r="R47" s="19">
        <f t="shared" si="12"/>
        <v>0</v>
      </c>
      <c r="S47" s="2"/>
      <c r="T47" s="2">
        <v>95.65</v>
      </c>
      <c r="U47" s="2"/>
      <c r="V47" s="19">
        <f t="shared" si="13"/>
        <v>3.9241356958821008E-5</v>
      </c>
      <c r="W47" s="2"/>
      <c r="X47" s="2">
        <f t="shared" si="14"/>
        <v>-95.65</v>
      </c>
      <c r="Y47" s="2"/>
      <c r="Z47" s="19">
        <f t="shared" si="15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-145158.72</v>
      </c>
      <c r="E48" s="2"/>
      <c r="F48" s="19">
        <f t="shared" si="8"/>
        <v>-0.96914233218454193</v>
      </c>
      <c r="G48" s="2"/>
      <c r="H48" s="2">
        <v>-160624</v>
      </c>
      <c r="I48" s="2"/>
      <c r="J48" s="19">
        <f t="shared" si="9"/>
        <v>-1.6809464721567078</v>
      </c>
      <c r="K48" s="2"/>
      <c r="L48" s="2">
        <f t="shared" si="10"/>
        <v>15465.279999999999</v>
      </c>
      <c r="M48" s="2"/>
      <c r="N48" s="19">
        <f t="shared" si="11"/>
        <v>-9.6282498256798479E-2</v>
      </c>
      <c r="O48" s="10"/>
      <c r="P48" s="2">
        <v>-2028539.8</v>
      </c>
      <c r="Q48" s="2"/>
      <c r="R48" s="19">
        <f t="shared" si="12"/>
        <v>-0.78852825653156622</v>
      </c>
      <c r="S48" s="2"/>
      <c r="T48" s="2">
        <v>-2043044</v>
      </c>
      <c r="U48" s="2"/>
      <c r="V48" s="19">
        <f t="shared" si="13"/>
        <v>-0.83817897424545218</v>
      </c>
      <c r="W48" s="2"/>
      <c r="X48" s="2">
        <f t="shared" si="14"/>
        <v>14504.199999999953</v>
      </c>
      <c r="Y48" s="2"/>
      <c r="Z48" s="19">
        <f t="shared" si="15"/>
        <v>-7.099308678618744E-3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56555</v>
      </c>
      <c r="E49" s="2"/>
      <c r="F49" s="19">
        <f t="shared" si="8"/>
        <v>0.377585615226538</v>
      </c>
      <c r="G49" s="2"/>
      <c r="H49" s="2">
        <v>89462</v>
      </c>
      <c r="I49" s="2"/>
      <c r="J49" s="19">
        <f t="shared" si="9"/>
        <v>0.93622891530582841</v>
      </c>
      <c r="K49" s="2"/>
      <c r="L49" s="2">
        <f t="shared" si="10"/>
        <v>-32907</v>
      </c>
      <c r="M49" s="2"/>
      <c r="N49" s="19">
        <f t="shared" si="11"/>
        <v>-0.36783215219869891</v>
      </c>
      <c r="O49" s="10"/>
      <c r="P49" s="2">
        <v>2286544</v>
      </c>
      <c r="Q49" s="2"/>
      <c r="R49" s="19">
        <f t="shared" si="12"/>
        <v>0.88881891979773509</v>
      </c>
      <c r="S49" s="2"/>
      <c r="T49" s="2">
        <v>2121754</v>
      </c>
      <c r="U49" s="2"/>
      <c r="V49" s="19">
        <f t="shared" si="13"/>
        <v>0.87047052893681442</v>
      </c>
      <c r="W49" s="2"/>
      <c r="X49" s="2">
        <f t="shared" si="14"/>
        <v>164790</v>
      </c>
      <c r="Y49" s="2"/>
      <c r="Z49" s="19">
        <f t="shared" si="15"/>
        <v>7.766687372805707E-2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>
        <v>0</v>
      </c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0"/>
      <c r="P50" s="2">
        <v>0</v>
      </c>
      <c r="Q50" s="2"/>
      <c r="R50" s="19">
        <f t="shared" si="12"/>
        <v>0</v>
      </c>
      <c r="S50" s="2"/>
      <c r="T50" s="2">
        <v>0</v>
      </c>
      <c r="U50" s="2"/>
      <c r="V50" s="19">
        <f t="shared" si="13"/>
        <v>0</v>
      </c>
      <c r="W50" s="2"/>
      <c r="X50" s="2">
        <f t="shared" si="14"/>
        <v>0</v>
      </c>
      <c r="Y50" s="2"/>
      <c r="Z50" s="19">
        <f t="shared" si="15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8"/>
        <v>0</v>
      </c>
      <c r="G51" s="2"/>
      <c r="H51" s="2">
        <v>31.25</v>
      </c>
      <c r="I51" s="2"/>
      <c r="J51" s="19">
        <f t="shared" si="9"/>
        <v>3.2703442359110167E-4</v>
      </c>
      <c r="K51" s="2"/>
      <c r="L51" s="2">
        <f t="shared" si="10"/>
        <v>-31.25</v>
      </c>
      <c r="M51" s="2"/>
      <c r="N51" s="19">
        <f t="shared" si="11"/>
        <v>-1</v>
      </c>
      <c r="O51" s="10"/>
      <c r="P51" s="2">
        <v>31</v>
      </c>
      <c r="Q51" s="2"/>
      <c r="R51" s="19">
        <f t="shared" si="12"/>
        <v>1.2050232365408139E-5</v>
      </c>
      <c r="S51" s="2"/>
      <c r="T51" s="2">
        <v>137</v>
      </c>
      <c r="U51" s="2"/>
      <c r="V51" s="19">
        <f t="shared" si="13"/>
        <v>5.6205602753355753E-5</v>
      </c>
      <c r="W51" s="2"/>
      <c r="X51" s="2">
        <f t="shared" si="14"/>
        <v>-106</v>
      </c>
      <c r="Y51" s="2"/>
      <c r="Z51" s="19">
        <f t="shared" si="15"/>
        <v>-0.77372262773722633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>
        <v>20</v>
      </c>
      <c r="E52" s="2"/>
      <c r="F52" s="19">
        <f t="shared" si="8"/>
        <v>1.3352864122589974E-4</v>
      </c>
      <c r="G52" s="2"/>
      <c r="H52" s="2"/>
      <c r="I52" s="2"/>
      <c r="J52" s="19">
        <f t="shared" si="9"/>
        <v>0</v>
      </c>
      <c r="K52" s="2"/>
      <c r="L52" s="2">
        <f t="shared" si="10"/>
        <v>20</v>
      </c>
      <c r="M52" s="2"/>
      <c r="N52" s="19">
        <f t="shared" si="11"/>
        <v>0</v>
      </c>
      <c r="O52" s="10"/>
      <c r="P52" s="2">
        <v>145</v>
      </c>
      <c r="Q52" s="2"/>
      <c r="R52" s="19">
        <f t="shared" si="12"/>
        <v>5.6363990096263875E-5</v>
      </c>
      <c r="S52" s="2"/>
      <c r="T52" s="2">
        <v>154.30000000000001</v>
      </c>
      <c r="U52" s="2"/>
      <c r="V52" s="19">
        <f t="shared" si="13"/>
        <v>6.330309857549484E-5</v>
      </c>
      <c r="W52" s="2"/>
      <c r="X52" s="2">
        <f t="shared" si="14"/>
        <v>-9.3000000000000114</v>
      </c>
      <c r="Y52" s="2"/>
      <c r="Z52" s="19">
        <f t="shared" si="15"/>
        <v>-6.0272197018794625E-2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8"/>
        <v>0</v>
      </c>
      <c r="G53" s="2"/>
      <c r="H53" s="2"/>
      <c r="I53" s="2"/>
      <c r="J53" s="19">
        <f t="shared" si="9"/>
        <v>0</v>
      </c>
      <c r="K53" s="2"/>
      <c r="L53" s="2">
        <f t="shared" si="10"/>
        <v>0</v>
      </c>
      <c r="M53" s="2"/>
      <c r="N53" s="19">
        <f t="shared" si="11"/>
        <v>0</v>
      </c>
      <c r="O53" s="10"/>
      <c r="P53" s="2">
        <v>242.46</v>
      </c>
      <c r="Q53" s="2"/>
      <c r="R53" s="19">
        <f t="shared" si="12"/>
        <v>9.4248365784414757E-5</v>
      </c>
      <c r="S53" s="2"/>
      <c r="T53" s="2">
        <v>96.55</v>
      </c>
      <c r="U53" s="2"/>
      <c r="V53" s="19">
        <f t="shared" si="13"/>
        <v>3.9610590845521877E-5</v>
      </c>
      <c r="W53" s="2"/>
      <c r="X53" s="2">
        <f t="shared" si="14"/>
        <v>145.91000000000003</v>
      </c>
      <c r="Y53" s="2"/>
      <c r="Z53" s="19">
        <f t="shared" si="15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8"/>
        <v>0</v>
      </c>
      <c r="G54" s="2"/>
      <c r="H54" s="2">
        <v>10</v>
      </c>
      <c r="I54" s="2"/>
      <c r="J54" s="19">
        <f t="shared" si="9"/>
        <v>1.0465101554915254E-4</v>
      </c>
      <c r="K54" s="2"/>
      <c r="L54" s="2">
        <f t="shared" si="10"/>
        <v>-10</v>
      </c>
      <c r="M54" s="2"/>
      <c r="N54" s="19">
        <f t="shared" si="11"/>
        <v>-1</v>
      </c>
      <c r="O54" s="10"/>
      <c r="P54" s="2">
        <v>9.41</v>
      </c>
      <c r="Q54" s="2"/>
      <c r="R54" s="19">
        <f t="shared" si="12"/>
        <v>3.6578285986609865E-6</v>
      </c>
      <c r="S54" s="2"/>
      <c r="T54" s="2">
        <v>10</v>
      </c>
      <c r="U54" s="2"/>
      <c r="V54" s="19">
        <f t="shared" si="13"/>
        <v>4.1025987411208579E-6</v>
      </c>
      <c r="W54" s="2"/>
      <c r="X54" s="2">
        <f t="shared" si="14"/>
        <v>-0.58999999999999986</v>
      </c>
      <c r="Y54" s="2"/>
      <c r="Z54" s="19">
        <f t="shared" si="15"/>
        <v>-5.8999999999999983E-2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0"/>
      <c r="P55" s="2">
        <v>24.12</v>
      </c>
      <c r="Q55" s="2"/>
      <c r="R55" s="19">
        <f t="shared" si="12"/>
        <v>9.3758582146336879E-6</v>
      </c>
      <c r="S55" s="2"/>
      <c r="T55" s="2">
        <v>301.27</v>
      </c>
      <c r="U55" s="2"/>
      <c r="V55" s="19">
        <f t="shared" si="13"/>
        <v>1.2359899227374808E-4</v>
      </c>
      <c r="W55" s="2"/>
      <c r="X55" s="2">
        <f t="shared" si="14"/>
        <v>-277.14999999999998</v>
      </c>
      <c r="Y55" s="2"/>
      <c r="Z55" s="19">
        <f t="shared" si="15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8" t="s">
        <v>107</v>
      </c>
      <c r="C57" s="28"/>
      <c r="D57" s="20">
        <f>D12-D39</f>
        <v>93225.600000000006</v>
      </c>
      <c r="E57" s="14"/>
      <c r="F57" s="21">
        <f>IF(D$12=0,0,D57/D$12)</f>
        <v>0.622414384773462</v>
      </c>
      <c r="G57" s="14"/>
      <c r="H57" s="20">
        <f>H12-H39</f>
        <v>6093.3399999999965</v>
      </c>
      <c r="I57" s="14"/>
      <c r="J57" s="21">
        <f>IF(H$12=0,0,H57/H$12)</f>
        <v>6.3767421908627275E-2</v>
      </c>
      <c r="K57" s="15"/>
      <c r="L57" s="20">
        <f>+D57-H57</f>
        <v>87132.260000000009</v>
      </c>
      <c r="M57" s="15"/>
      <c r="N57" s="21">
        <f>IF(H57=0,0,L57/H57)</f>
        <v>14.299589387757791</v>
      </c>
      <c r="O57" s="29"/>
      <c r="P57" s="20">
        <f>P12-P39</f>
        <v>282074.65999999922</v>
      </c>
      <c r="Q57" s="14"/>
      <c r="R57" s="21">
        <f>IF(P$12=0,0,P57/P$12)</f>
        <v>0.10964726443204798</v>
      </c>
      <c r="S57" s="14"/>
      <c r="T57" s="20">
        <f>T12-T39</f>
        <v>315722.82000000076</v>
      </c>
      <c r="U57" s="14"/>
      <c r="V57" s="21">
        <f>IF(T$12=0,0,T57/T$12)</f>
        <v>0.12952840438751304</v>
      </c>
      <c r="W57" s="15"/>
      <c r="X57" s="20">
        <f>+P57-T57</f>
        <v>-33648.160000001546</v>
      </c>
      <c r="Y57" s="15"/>
      <c r="Z57" s="21">
        <f>IF(T57=0,0,X57/T57)</f>
        <v>-0.10657500145222783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294</v>
      </c>
      <c r="C59" s="11"/>
      <c r="D59" s="22">
        <f>SUM(OSRRefD22x_0)</f>
        <v>13748.640000000001</v>
      </c>
      <c r="E59" s="22"/>
      <c r="F59" s="32">
        <f t="shared" ref="F59:F69" si="16">IF(D$12=0,0,D59/D$12)</f>
        <v>9.179186089520272E-2</v>
      </c>
      <c r="G59" s="22"/>
      <c r="H59" s="22">
        <f>SUM(OSRRefH22x_0)</f>
        <v>12120.14</v>
      </c>
      <c r="I59" s="22"/>
      <c r="J59" s="32">
        <f t="shared" ref="J59:J69" si="17">IF(H$12=0,0,H59/H$12)</f>
        <v>0.12683849595979055</v>
      </c>
      <c r="K59" s="4"/>
      <c r="L59" s="22">
        <f t="shared" ref="L59:L69" si="18">+D59-H59</f>
        <v>1628.5000000000018</v>
      </c>
      <c r="M59" s="4"/>
      <c r="N59" s="32">
        <f t="shared" ref="N59:N69" si="19">IF(H59=0,0,L59/H59)</f>
        <v>0.13436313441923953</v>
      </c>
      <c r="O59" s="11"/>
      <c r="P59" s="22">
        <f>SUM(OSRRefP22x_0)</f>
        <v>151444.41999999998</v>
      </c>
      <c r="Q59" s="22"/>
      <c r="R59" s="32">
        <f t="shared" ref="R59:R69" si="20">IF(P$12=0,0,P59/P$12)</f>
        <v>5.8869046820789146E-2</v>
      </c>
      <c r="S59" s="22"/>
      <c r="T59" s="22">
        <f>SUM(OSRRefT22x_0)</f>
        <v>210123.29000000007</v>
      </c>
      <c r="U59" s="22"/>
      <c r="V59" s="32">
        <f t="shared" ref="V59:V69" si="21">IF(T$12=0,0,T59/T$12)</f>
        <v>8.6205154503417314E-2</v>
      </c>
      <c r="W59" s="4"/>
      <c r="X59" s="22">
        <f t="shared" ref="X59:X69" si="22">+P59-T59</f>
        <v>-58678.870000000083</v>
      </c>
      <c r="Y59" s="4"/>
      <c r="Z59" s="32">
        <f t="shared" ref="Z59:Z69" si="23">IF(T59=0,0,X59/T59)</f>
        <v>-0.27925923870695185</v>
      </c>
    </row>
    <row r="60" spans="1:26" s="26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2910.57</v>
      </c>
      <c r="E60" s="1"/>
      <c r="F60" s="5">
        <f t="shared" si="16"/>
        <v>1.9432222864643352E-2</v>
      </c>
      <c r="G60" s="1"/>
      <c r="H60" s="1">
        <f>SUM(OSRRefH22_0x_0)</f>
        <v>2481.5900000000006</v>
      </c>
      <c r="I60" s="1"/>
      <c r="J60" s="5">
        <f t="shared" si="17"/>
        <v>2.5970091367662151E-2</v>
      </c>
      <c r="K60" s="1"/>
      <c r="L60" s="1">
        <f t="shared" si="18"/>
        <v>428.97999999999956</v>
      </c>
      <c r="M60" s="1"/>
      <c r="N60" s="5">
        <f t="shared" si="19"/>
        <v>0.17286497769575129</v>
      </c>
      <c r="O60" s="12"/>
      <c r="P60" s="1">
        <f>SUM(OSRRefP22_0x_0)</f>
        <v>32489.070000000003</v>
      </c>
      <c r="Q60" s="1"/>
      <c r="R60" s="5">
        <f t="shared" si="20"/>
        <v>1.2629059446322925E-2</v>
      </c>
      <c r="S60" s="1"/>
      <c r="T60" s="1">
        <f>SUM(OSRRefT22_0x_0)</f>
        <v>26890.37</v>
      </c>
      <c r="U60" s="1"/>
      <c r="V60" s="5">
        <f t="shared" si="21"/>
        <v>1.1032039811027407E-2</v>
      </c>
      <c r="W60" s="1"/>
      <c r="X60" s="1">
        <f t="shared" si="22"/>
        <v>5598.7000000000044</v>
      </c>
      <c r="Y60" s="1"/>
      <c r="Z60" s="5">
        <f t="shared" si="23"/>
        <v>0.20820464723988569</v>
      </c>
    </row>
    <row r="61" spans="1:26" s="23" customFormat="1" hidden="1" outlineLevel="2" x14ac:dyDescent="0.25">
      <c r="A61" s="27"/>
      <c r="B61" s="10" t="str">
        <f>CONCATENATE("          ", "6111", " - ", "F.I.C.A.")</f>
        <v xml:space="preserve">          6111 - F.I.C.A.</v>
      </c>
      <c r="C61" s="10"/>
      <c r="D61" s="6">
        <v>523.37</v>
      </c>
      <c r="E61" s="2"/>
      <c r="F61" s="7">
        <f t="shared" si="16"/>
        <v>3.4942442479199576E-3</v>
      </c>
      <c r="G61" s="2"/>
      <c r="H61" s="6">
        <v>411.12</v>
      </c>
      <c r="I61" s="2"/>
      <c r="J61" s="7">
        <f t="shared" si="17"/>
        <v>4.3024125512567592E-3</v>
      </c>
      <c r="K61" s="2"/>
      <c r="L61" s="6">
        <f t="shared" si="18"/>
        <v>112.25</v>
      </c>
      <c r="M61" s="2"/>
      <c r="N61" s="7">
        <f t="shared" si="19"/>
        <v>0.27303463708892778</v>
      </c>
      <c r="O61" s="10"/>
      <c r="P61" s="6">
        <v>5937.2</v>
      </c>
      <c r="Q61" s="2"/>
      <c r="R61" s="7">
        <f t="shared" si="20"/>
        <v>2.3078915999968129E-3</v>
      </c>
      <c r="S61" s="2"/>
      <c r="T61" s="6">
        <v>7614.51</v>
      </c>
      <c r="U61" s="2"/>
      <c r="V61" s="7">
        <f t="shared" si="21"/>
        <v>3.1239279140252182E-3</v>
      </c>
      <c r="W61" s="2"/>
      <c r="X61" s="6">
        <f t="shared" si="22"/>
        <v>-1677.3100000000004</v>
      </c>
      <c r="Y61" s="2"/>
      <c r="Z61" s="7">
        <f t="shared" si="23"/>
        <v>-0.22027812689194712</v>
      </c>
    </row>
    <row r="62" spans="1:26" s="23" customFormat="1" hidden="1" outlineLevel="2" x14ac:dyDescent="0.25">
      <c r="A62" s="27"/>
      <c r="B62" s="10" t="str">
        <f>CONCATENATE("          ", "6112", " - ", "COMPENSATION INSURANCE")</f>
        <v xml:space="preserve">          6112 - COMPENSATION INSURANCE</v>
      </c>
      <c r="C62" s="10"/>
      <c r="D62" s="6">
        <v>200.85</v>
      </c>
      <c r="E62" s="2"/>
      <c r="F62" s="7">
        <f t="shared" si="16"/>
        <v>1.3409613795110982E-3</v>
      </c>
      <c r="G62" s="2"/>
      <c r="H62" s="6">
        <v>78.989999999999995</v>
      </c>
      <c r="I62" s="2"/>
      <c r="J62" s="7">
        <f t="shared" si="17"/>
        <v>8.2663837182275584E-4</v>
      </c>
      <c r="K62" s="2"/>
      <c r="L62" s="6">
        <f t="shared" si="18"/>
        <v>121.86</v>
      </c>
      <c r="M62" s="2"/>
      <c r="N62" s="7">
        <f t="shared" si="19"/>
        <v>1.5427269274591722</v>
      </c>
      <c r="O62" s="10"/>
      <c r="P62" s="6">
        <v>1735.28</v>
      </c>
      <c r="Q62" s="2"/>
      <c r="R62" s="7">
        <f t="shared" si="20"/>
        <v>6.7453313609823983E-4</v>
      </c>
      <c r="S62" s="2"/>
      <c r="T62" s="6">
        <v>1995.7</v>
      </c>
      <c r="U62" s="2"/>
      <c r="V62" s="7">
        <f t="shared" si="21"/>
        <v>8.1875563076548954E-4</v>
      </c>
      <c r="W62" s="2"/>
      <c r="X62" s="6">
        <f t="shared" si="22"/>
        <v>-260.42000000000007</v>
      </c>
      <c r="Y62" s="2"/>
      <c r="Z62" s="7">
        <f t="shared" si="23"/>
        <v>-0.13049055469258911</v>
      </c>
    </row>
    <row r="63" spans="1:26" s="23" customFormat="1" hidden="1" outlineLevel="2" x14ac:dyDescent="0.25">
      <c r="A63" s="27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6"/>
        <v>7.035957927795722E-3</v>
      </c>
      <c r="G63" s="2"/>
      <c r="H63" s="6">
        <v>1035.69</v>
      </c>
      <c r="I63" s="2"/>
      <c r="J63" s="7">
        <f t="shared" si="17"/>
        <v>1.0838601029410181E-2</v>
      </c>
      <c r="K63" s="2"/>
      <c r="L63" s="6">
        <f t="shared" si="18"/>
        <v>18.159999999999854</v>
      </c>
      <c r="M63" s="2"/>
      <c r="N63" s="7">
        <f t="shared" si="19"/>
        <v>1.7534204250306419E-2</v>
      </c>
      <c r="O63" s="10"/>
      <c r="P63" s="6">
        <v>11484.03</v>
      </c>
      <c r="Q63" s="2"/>
      <c r="R63" s="7">
        <f t="shared" si="20"/>
        <v>4.4640396771392912E-3</v>
      </c>
      <c r="S63" s="2"/>
      <c r="T63" s="6">
        <v>12591.69</v>
      </c>
      <c r="U63" s="2"/>
      <c r="V63" s="7">
        <f t="shared" si="21"/>
        <v>5.1658651542584094E-3</v>
      </c>
      <c r="W63" s="2"/>
      <c r="X63" s="6">
        <f t="shared" si="22"/>
        <v>-1107.6599999999999</v>
      </c>
      <c r="Y63" s="2"/>
      <c r="Z63" s="7">
        <f t="shared" si="23"/>
        <v>-8.7967540496946786E-2</v>
      </c>
    </row>
    <row r="64" spans="1:26" s="23" customFormat="1" hidden="1" outlineLevel="2" x14ac:dyDescent="0.25">
      <c r="A64" s="27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28.23</v>
      </c>
      <c r="E64" s="2"/>
      <c r="F64" s="7">
        <f t="shared" si="16"/>
        <v>1.8847567709035748E-4</v>
      </c>
      <c r="G64" s="2"/>
      <c r="H64" s="6">
        <v>19.559999999999999</v>
      </c>
      <c r="I64" s="2"/>
      <c r="J64" s="7">
        <f t="shared" si="17"/>
        <v>2.0469738641414235E-4</v>
      </c>
      <c r="K64" s="2"/>
      <c r="L64" s="6">
        <f t="shared" si="18"/>
        <v>8.6700000000000017</v>
      </c>
      <c r="M64" s="2"/>
      <c r="N64" s="7">
        <f t="shared" si="19"/>
        <v>0.44325153374233139</v>
      </c>
      <c r="O64" s="10"/>
      <c r="P64" s="6">
        <v>258.58</v>
      </c>
      <c r="Q64" s="2"/>
      <c r="R64" s="7">
        <f t="shared" si="20"/>
        <v>1.0051448661442698E-4</v>
      </c>
      <c r="S64" s="2"/>
      <c r="T64" s="6">
        <v>322.33</v>
      </c>
      <c r="U64" s="2"/>
      <c r="V64" s="7">
        <f t="shared" si="21"/>
        <v>1.3223906522254861E-4</v>
      </c>
      <c r="W64" s="2"/>
      <c r="X64" s="6">
        <f t="shared" si="22"/>
        <v>-63.75</v>
      </c>
      <c r="Y64" s="2"/>
      <c r="Z64" s="7">
        <f t="shared" si="23"/>
        <v>-0.1977786740297211</v>
      </c>
    </row>
    <row r="65" spans="1:26" s="23" customFormat="1" hidden="1" outlineLevel="2" x14ac:dyDescent="0.25">
      <c r="A65" s="27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6"/>
        <v>1.1778561442536617E-3</v>
      </c>
      <c r="G65" s="2"/>
      <c r="H65" s="6">
        <v>159.41999999999999</v>
      </c>
      <c r="I65" s="2"/>
      <c r="J65" s="7">
        <f t="shared" si="17"/>
        <v>1.6683464898845897E-3</v>
      </c>
      <c r="K65" s="2"/>
      <c r="L65" s="6">
        <f t="shared" si="18"/>
        <v>17</v>
      </c>
      <c r="M65" s="2"/>
      <c r="N65" s="7">
        <f t="shared" si="19"/>
        <v>0.10663655752101368</v>
      </c>
      <c r="O65" s="10"/>
      <c r="P65" s="6">
        <v>2117.04</v>
      </c>
      <c r="Q65" s="2"/>
      <c r="R65" s="7">
        <f t="shared" si="20"/>
        <v>8.2292980409237571E-4</v>
      </c>
      <c r="S65" s="2"/>
      <c r="T65" s="6">
        <v>2648.28</v>
      </c>
      <c r="U65" s="2"/>
      <c r="V65" s="7">
        <f t="shared" si="21"/>
        <v>1.0864830194135546E-3</v>
      </c>
      <c r="W65" s="2"/>
      <c r="X65" s="6">
        <f t="shared" si="22"/>
        <v>-531.24000000000024</v>
      </c>
      <c r="Y65" s="2"/>
      <c r="Z65" s="7">
        <f t="shared" si="23"/>
        <v>-0.20059812406543123</v>
      </c>
    </row>
    <row r="66" spans="1:26" s="23" customFormat="1" hidden="1" outlineLevel="2" x14ac:dyDescent="0.25">
      <c r="A66" s="27"/>
      <c r="B66" s="10" t="str">
        <f>CONCATENATE("          ", "6117", " - ", "RETIREMENT STAFF HOURLY")</f>
        <v xml:space="preserve">          6117 - RETIREMENT STAFF HOURLY</v>
      </c>
      <c r="C66" s="10"/>
      <c r="D66" s="6">
        <v>176.79</v>
      </c>
      <c r="E66" s="2"/>
      <c r="F66" s="7">
        <f t="shared" si="16"/>
        <v>1.1803264241163408E-3</v>
      </c>
      <c r="G66" s="2"/>
      <c r="H66" s="6">
        <v>130.25</v>
      </c>
      <c r="I66" s="2"/>
      <c r="J66" s="7">
        <f t="shared" si="17"/>
        <v>1.3630794775277117E-3</v>
      </c>
      <c r="K66" s="2"/>
      <c r="L66" s="6">
        <f t="shared" si="18"/>
        <v>46.539999999999992</v>
      </c>
      <c r="M66" s="2"/>
      <c r="N66" s="7">
        <f t="shared" si="19"/>
        <v>0.3573128598848368</v>
      </c>
      <c r="O66" s="10"/>
      <c r="P66" s="6">
        <v>2072.73</v>
      </c>
      <c r="Q66" s="2"/>
      <c r="R66" s="7">
        <f t="shared" si="20"/>
        <v>8.0570574615330362E-4</v>
      </c>
      <c r="S66" s="2"/>
      <c r="T66" s="6">
        <v>1904.04</v>
      </c>
      <c r="U66" s="2"/>
      <c r="V66" s="7">
        <f t="shared" si="21"/>
        <v>7.8115121070437582E-4</v>
      </c>
      <c r="W66" s="2"/>
      <c r="X66" s="6">
        <f t="shared" si="22"/>
        <v>168.69000000000005</v>
      </c>
      <c r="Y66" s="2"/>
      <c r="Z66" s="7">
        <f t="shared" si="23"/>
        <v>8.8595827818743339E-2</v>
      </c>
    </row>
    <row r="67" spans="1:26" s="23" customFormat="1" hidden="1" outlineLevel="2" x14ac:dyDescent="0.25">
      <c r="A67" s="27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6"/>
        <v>1.7828744176482136E-3</v>
      </c>
      <c r="G67" s="2"/>
      <c r="H67" s="6">
        <v>257.8</v>
      </c>
      <c r="I67" s="2"/>
      <c r="J67" s="7">
        <f t="shared" si="17"/>
        <v>2.6979031808571524E-3</v>
      </c>
      <c r="K67" s="2"/>
      <c r="L67" s="6">
        <f t="shared" si="18"/>
        <v>9.2400000000000091</v>
      </c>
      <c r="M67" s="2"/>
      <c r="N67" s="7">
        <f t="shared" si="19"/>
        <v>3.5841737781225791E-2</v>
      </c>
      <c r="O67" s="10"/>
      <c r="P67" s="6">
        <v>3158.26</v>
      </c>
      <c r="Q67" s="2"/>
      <c r="R67" s="7">
        <f t="shared" si="20"/>
        <v>1.2276698990443197E-3</v>
      </c>
      <c r="S67" s="2"/>
      <c r="T67" s="6">
        <v>3045.35</v>
      </c>
      <c r="U67" s="2"/>
      <c r="V67" s="7">
        <f t="shared" si="21"/>
        <v>1.2493849076272404E-3</v>
      </c>
      <c r="W67" s="2"/>
      <c r="X67" s="6">
        <f t="shared" si="22"/>
        <v>112.91000000000031</v>
      </c>
      <c r="Y67" s="2"/>
      <c r="Z67" s="7">
        <f t="shared" si="23"/>
        <v>3.7076198138145146E-2</v>
      </c>
    </row>
    <row r="68" spans="1:26" s="23" customFormat="1" hidden="1" outlineLevel="2" x14ac:dyDescent="0.25">
      <c r="A68" s="27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6"/>
        <v>1.7868135125643774E-3</v>
      </c>
      <c r="G68" s="2"/>
      <c r="H68" s="6">
        <v>256.57</v>
      </c>
      <c r="I68" s="2"/>
      <c r="J68" s="7">
        <f t="shared" si="17"/>
        <v>2.6850311059446064E-3</v>
      </c>
      <c r="K68" s="2"/>
      <c r="L68" s="6">
        <f t="shared" si="18"/>
        <v>11.060000000000002</v>
      </c>
      <c r="M68" s="2"/>
      <c r="N68" s="7">
        <f t="shared" si="19"/>
        <v>4.3107144249132798E-2</v>
      </c>
      <c r="O68" s="10"/>
      <c r="P68" s="6">
        <v>3156.26</v>
      </c>
      <c r="Q68" s="2"/>
      <c r="R68" s="7">
        <f t="shared" si="20"/>
        <v>1.2268924646981643E-3</v>
      </c>
      <c r="S68" s="2"/>
      <c r="T68" s="6">
        <v>-5090.13</v>
      </c>
      <c r="U68" s="2"/>
      <c r="V68" s="7">
        <f t="shared" si="21"/>
        <v>-2.0882760930141511E-3</v>
      </c>
      <c r="W68" s="2"/>
      <c r="X68" s="6">
        <f t="shared" si="22"/>
        <v>8246.39</v>
      </c>
      <c r="Y68" s="2"/>
      <c r="Z68" s="7">
        <f t="shared" si="23"/>
        <v>-1.6200745364067322</v>
      </c>
    </row>
    <row r="69" spans="1:26" s="23" customFormat="1" hidden="1" outlineLevel="2" x14ac:dyDescent="0.25">
      <c r="A69" s="27"/>
      <c r="B69" s="10" t="str">
        <f>CONCATENATE("          ", "6156", " - ", "EMPLOYEE MEALS")</f>
        <v xml:space="preserve">          6156 - EMPLOYEE MEALS</v>
      </c>
      <c r="C69" s="10"/>
      <c r="D69" s="6">
        <v>216.39</v>
      </c>
      <c r="E69" s="2"/>
      <c r="F69" s="7">
        <f t="shared" si="16"/>
        <v>1.4447131337436221E-3</v>
      </c>
      <c r="G69" s="2"/>
      <c r="H69" s="6">
        <v>132.19</v>
      </c>
      <c r="I69" s="2"/>
      <c r="J69" s="7">
        <f t="shared" si="17"/>
        <v>1.3833817745442475E-3</v>
      </c>
      <c r="K69" s="2"/>
      <c r="L69" s="6">
        <f t="shared" si="18"/>
        <v>84.199999999999989</v>
      </c>
      <c r="M69" s="2"/>
      <c r="N69" s="7">
        <f t="shared" si="19"/>
        <v>0.63696194871018985</v>
      </c>
      <c r="O69" s="10"/>
      <c r="P69" s="6">
        <v>2569.69</v>
      </c>
      <c r="Q69" s="2"/>
      <c r="R69" s="7">
        <f t="shared" si="20"/>
        <v>9.9888263248598848E-4</v>
      </c>
      <c r="S69" s="2"/>
      <c r="T69" s="6">
        <v>1858.6</v>
      </c>
      <c r="U69" s="2"/>
      <c r="V69" s="7">
        <f t="shared" si="21"/>
        <v>7.6250900202472259E-4</v>
      </c>
      <c r="W69" s="2"/>
      <c r="X69" s="6">
        <f t="shared" si="22"/>
        <v>711.09000000000015</v>
      </c>
      <c r="Y69" s="2"/>
      <c r="Z69" s="7">
        <f t="shared" si="23"/>
        <v>0.38259442591197684</v>
      </c>
    </row>
    <row r="70" spans="1:26" s="26" customFormat="1" outlineLevel="1" collapsed="1" x14ac:dyDescent="0.25">
      <c r="A70" s="25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7314.24</v>
      </c>
      <c r="E70" s="1"/>
      <c r="F70" s="5">
        <f t="shared" ref="F70:F75" si="24">IF(D$12=0,0,D70/D$12)</f>
        <v>4.8833026440006248E-2</v>
      </c>
      <c r="G70" s="1"/>
      <c r="H70" s="1">
        <f>SUM(OSRRefH22_1x_0)</f>
        <v>4569.1499999999996</v>
      </c>
      <c r="I70" s="1"/>
      <c r="J70" s="5">
        <f t="shared" ref="J70:J75" si="25">IF(H$12=0,0,H70/H$12)</f>
        <v>4.781661876964103E-2</v>
      </c>
      <c r="K70" s="1"/>
      <c r="L70" s="1">
        <f t="shared" ref="L70:L75" si="26">+D70-H70</f>
        <v>2745.09</v>
      </c>
      <c r="M70" s="1"/>
      <c r="N70" s="5">
        <f t="shared" ref="N70:N75" si="27">IF(H70=0,0,L70/H70)</f>
        <v>0.60078789271527533</v>
      </c>
      <c r="O70" s="12"/>
      <c r="P70" s="1">
        <f>SUM(OSRRefP22_1x_0)</f>
        <v>89389.18</v>
      </c>
      <c r="Q70" s="1"/>
      <c r="R70" s="5">
        <f t="shared" ref="R70:R75" si="28">IF(P$12=0,0,P70/P$12)</f>
        <v>3.4747109353332056E-2</v>
      </c>
      <c r="S70" s="1"/>
      <c r="T70" s="1">
        <f>SUM(OSRRefT22_1x_0)</f>
        <v>100791.28</v>
      </c>
      <c r="U70" s="1"/>
      <c r="V70" s="5">
        <f t="shared" ref="V70:V75" si="29">IF(T$12=0,0,T70/T$12)</f>
        <v>4.135061784439599E-2</v>
      </c>
      <c r="W70" s="1"/>
      <c r="X70" s="1">
        <f t="shared" ref="X70:X75" si="30">+P70-T70</f>
        <v>-11402.100000000006</v>
      </c>
      <c r="Y70" s="1"/>
      <c r="Z70" s="5">
        <f t="shared" ref="Z70:Z75" si="31">IF(T70=0,0,X70/T70)</f>
        <v>-0.11312585771308793</v>
      </c>
    </row>
    <row r="71" spans="1:26" s="23" customFormat="1" hidden="1" outlineLevel="2" x14ac:dyDescent="0.25">
      <c r="A71" s="27"/>
      <c r="B71" s="10" t="str">
        <f>CONCATENATE("          ", "6002", " - ", "STAFF SALARIES")</f>
        <v xml:space="preserve">          6002 - STAFF SALARIES</v>
      </c>
      <c r="C71" s="10"/>
      <c r="D71" s="6">
        <v>2282.3000000000002</v>
      </c>
      <c r="E71" s="2"/>
      <c r="F71" s="7">
        <f t="shared" si="24"/>
        <v>1.523762089349355E-2</v>
      </c>
      <c r="G71" s="2"/>
      <c r="H71" s="6">
        <v>1825.84</v>
      </c>
      <c r="I71" s="2"/>
      <c r="J71" s="7">
        <f t="shared" si="25"/>
        <v>1.9107601023026468E-2</v>
      </c>
      <c r="K71" s="2"/>
      <c r="L71" s="6">
        <f t="shared" si="26"/>
        <v>456.46000000000026</v>
      </c>
      <c r="M71" s="2"/>
      <c r="N71" s="7">
        <f t="shared" si="27"/>
        <v>0.25000000000000017</v>
      </c>
      <c r="O71" s="10"/>
      <c r="P71" s="6">
        <v>25558.54</v>
      </c>
      <c r="Q71" s="2"/>
      <c r="R71" s="7">
        <f t="shared" si="28"/>
        <v>9.9350434167928565E-3</v>
      </c>
      <c r="S71" s="2"/>
      <c r="T71" s="6">
        <v>34223.57</v>
      </c>
      <c r="U71" s="2"/>
      <c r="V71" s="7">
        <f t="shared" si="29"/>
        <v>1.4040557519866156E-2</v>
      </c>
      <c r="W71" s="2"/>
      <c r="X71" s="6">
        <f t="shared" si="30"/>
        <v>-8665.0299999999988</v>
      </c>
      <c r="Y71" s="2"/>
      <c r="Z71" s="7">
        <f t="shared" si="31"/>
        <v>-0.25318895720113355</v>
      </c>
    </row>
    <row r="72" spans="1:26" s="23" customFormat="1" hidden="1" outlineLevel="2" x14ac:dyDescent="0.25">
      <c r="A72" s="27"/>
      <c r="B72" s="10" t="str">
        <f>CONCATENATE("          ", "6004", " - ", "STAFF HOURLY")</f>
        <v xml:space="preserve">          6004 - STAFF HOURLY</v>
      </c>
      <c r="C72" s="10"/>
      <c r="D72" s="6">
        <v>3224.54</v>
      </c>
      <c r="E72" s="2"/>
      <c r="F72" s="7">
        <f t="shared" si="24"/>
        <v>2.1528422238928136E-2</v>
      </c>
      <c r="G72" s="2"/>
      <c r="H72" s="6">
        <v>2743.31</v>
      </c>
      <c r="I72" s="2"/>
      <c r="J72" s="7">
        <f t="shared" si="25"/>
        <v>2.8709017746614565E-2</v>
      </c>
      <c r="K72" s="2"/>
      <c r="L72" s="6">
        <f t="shared" si="26"/>
        <v>481.23</v>
      </c>
      <c r="M72" s="2"/>
      <c r="N72" s="7">
        <f t="shared" si="27"/>
        <v>0.17541947501376076</v>
      </c>
      <c r="O72" s="10"/>
      <c r="P72" s="6">
        <v>39735.199999999997</v>
      </c>
      <c r="Q72" s="2"/>
      <c r="R72" s="7">
        <f t="shared" si="28"/>
        <v>1.5445754615676304E-2</v>
      </c>
      <c r="S72" s="2"/>
      <c r="T72" s="6">
        <v>8575.16</v>
      </c>
      <c r="U72" s="2"/>
      <c r="V72" s="7">
        <f t="shared" si="29"/>
        <v>3.5180440620909935E-3</v>
      </c>
      <c r="W72" s="2"/>
      <c r="X72" s="6">
        <f t="shared" si="30"/>
        <v>31160.039999999997</v>
      </c>
      <c r="Y72" s="2"/>
      <c r="Z72" s="7">
        <f t="shared" si="31"/>
        <v>3.6337561048423583</v>
      </c>
    </row>
    <row r="73" spans="1:26" s="23" customFormat="1" hidden="1" outlineLevel="2" x14ac:dyDescent="0.25">
      <c r="A73" s="27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4"/>
        <v>0</v>
      </c>
      <c r="G73" s="2"/>
      <c r="H73" s="6"/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0"/>
      <c r="P73" s="6"/>
      <c r="Q73" s="2"/>
      <c r="R73" s="7">
        <f t="shared" si="28"/>
        <v>0</v>
      </c>
      <c r="S73" s="2"/>
      <c r="T73" s="6">
        <v>29960.57</v>
      </c>
      <c r="U73" s="2"/>
      <c r="V73" s="7">
        <f t="shared" si="29"/>
        <v>1.2291619676526333E-2</v>
      </c>
      <c r="W73" s="2"/>
      <c r="X73" s="6">
        <f t="shared" si="30"/>
        <v>-29960.57</v>
      </c>
      <c r="Y73" s="2"/>
      <c r="Z73" s="7">
        <f t="shared" si="31"/>
        <v>-1</v>
      </c>
    </row>
    <row r="74" spans="1:26" s="23" customFormat="1" hidden="1" outlineLevel="2" x14ac:dyDescent="0.25">
      <c r="A74" s="27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4"/>
        <v>0</v>
      </c>
      <c r="G74" s="2"/>
      <c r="H74" s="6"/>
      <c r="I74" s="2"/>
      <c r="J74" s="7">
        <f t="shared" si="25"/>
        <v>0</v>
      </c>
      <c r="K74" s="2"/>
      <c r="L74" s="6">
        <f t="shared" si="26"/>
        <v>0</v>
      </c>
      <c r="M74" s="2"/>
      <c r="N74" s="7">
        <f t="shared" si="27"/>
        <v>0</v>
      </c>
      <c r="O74" s="10"/>
      <c r="P74" s="6"/>
      <c r="Q74" s="2"/>
      <c r="R74" s="7">
        <f t="shared" si="28"/>
        <v>0</v>
      </c>
      <c r="S74" s="2"/>
      <c r="T74" s="6">
        <v>9008.99</v>
      </c>
      <c r="U74" s="2"/>
      <c r="V74" s="7">
        <f t="shared" si="29"/>
        <v>3.6960271032770394E-3</v>
      </c>
      <c r="W74" s="2"/>
      <c r="X74" s="6">
        <f t="shared" si="30"/>
        <v>-9008.99</v>
      </c>
      <c r="Y74" s="2"/>
      <c r="Z74" s="7">
        <f t="shared" si="31"/>
        <v>-1</v>
      </c>
    </row>
    <row r="75" spans="1:26" s="23" customFormat="1" hidden="1" outlineLevel="2" x14ac:dyDescent="0.25">
      <c r="A75" s="27"/>
      <c r="B75" s="10" t="str">
        <f>CONCATENATE("          ", "6007", " - ", "STUDENT HOURLY")</f>
        <v xml:space="preserve">          6007 - STUDENT HOURLY</v>
      </c>
      <c r="C75" s="10"/>
      <c r="D75" s="6">
        <v>1807.4</v>
      </c>
      <c r="E75" s="2"/>
      <c r="F75" s="7">
        <f t="shared" si="24"/>
        <v>1.206698330758456E-2</v>
      </c>
      <c r="G75" s="2"/>
      <c r="H75" s="6"/>
      <c r="I75" s="2"/>
      <c r="J75" s="7">
        <f t="shared" si="25"/>
        <v>0</v>
      </c>
      <c r="K75" s="2"/>
      <c r="L75" s="6">
        <f t="shared" si="26"/>
        <v>1807.4</v>
      </c>
      <c r="M75" s="2"/>
      <c r="N75" s="7">
        <f t="shared" si="27"/>
        <v>0</v>
      </c>
      <c r="O75" s="10"/>
      <c r="P75" s="6">
        <v>24095.439999999999</v>
      </c>
      <c r="Q75" s="2"/>
      <c r="R75" s="7">
        <f t="shared" si="28"/>
        <v>9.3663113208628992E-3</v>
      </c>
      <c r="S75" s="2"/>
      <c r="T75" s="6">
        <v>19022.990000000002</v>
      </c>
      <c r="U75" s="2"/>
      <c r="V75" s="7">
        <f t="shared" si="29"/>
        <v>7.8043694826354674E-3</v>
      </c>
      <c r="W75" s="2"/>
      <c r="X75" s="6">
        <f t="shared" si="30"/>
        <v>5072.4499999999971</v>
      </c>
      <c r="Y75" s="2"/>
      <c r="Z75" s="7">
        <f t="shared" si="31"/>
        <v>0.2666484080578288</v>
      </c>
    </row>
    <row r="76" spans="1:26" s="26" customFormat="1" outlineLevel="1" collapsed="1" x14ac:dyDescent="0.25">
      <c r="A76" s="25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67.239999999999995</v>
      </c>
      <c r="E76" s="1"/>
      <c r="F76" s="5">
        <f t="shared" ref="F76:F84" si="32">IF(D$12=0,0,D76/D$12)</f>
        <v>4.4892329180147491E-4</v>
      </c>
      <c r="G76" s="1"/>
      <c r="H76" s="1">
        <f>SUM(OSRRefH22_2x_0)</f>
        <v>0</v>
      </c>
      <c r="I76" s="1"/>
      <c r="J76" s="5">
        <f t="shared" ref="J76:J84" si="33">IF(H$12=0,0,H76/H$12)</f>
        <v>0</v>
      </c>
      <c r="K76" s="1"/>
      <c r="L76" s="1">
        <f t="shared" ref="L76:L84" si="34">+D76-H76</f>
        <v>67.239999999999995</v>
      </c>
      <c r="M76" s="1"/>
      <c r="N76" s="5">
        <f t="shared" ref="N76:N84" si="35">IF(H76=0,0,L76/H76)</f>
        <v>0</v>
      </c>
      <c r="O76" s="12"/>
      <c r="P76" s="1">
        <f>SUM(OSRRefP22_2x_0)</f>
        <v>692.63</v>
      </c>
      <c r="Q76" s="1"/>
      <c r="R76" s="5">
        <f t="shared" ref="R76:R84" si="36">IF(P$12=0,0,P76/P$12)</f>
        <v>2.6923717558879483E-4</v>
      </c>
      <c r="S76" s="1"/>
      <c r="T76" s="1">
        <f>SUM(OSRRefT22_2x_0)</f>
        <v>1745.92</v>
      </c>
      <c r="U76" s="1"/>
      <c r="V76" s="5">
        <f t="shared" ref="V76:V84" si="37">IF(T$12=0,0,T76/T$12)</f>
        <v>7.1628091940977284E-4</v>
      </c>
      <c r="W76" s="1"/>
      <c r="X76" s="1">
        <f t="shared" ref="X76:X84" si="38">+P76-T76</f>
        <v>-1053.29</v>
      </c>
      <c r="Y76" s="1"/>
      <c r="Z76" s="5">
        <f t="shared" ref="Z76:Z84" si="39">IF(T76=0,0,X76/T76)</f>
        <v>-0.60328651942815248</v>
      </c>
    </row>
    <row r="77" spans="1:26" s="23" customFormat="1" hidden="1" outlineLevel="2" x14ac:dyDescent="0.25">
      <c r="A77" s="27"/>
      <c r="B77" s="10" t="str">
        <f>CONCATENATE("          ", "6362", " - ", "ADVERTISING EXPENSE")</f>
        <v xml:space="preserve">          6362 - ADVERTISING EXPENSE</v>
      </c>
      <c r="C77" s="10"/>
      <c r="D77" s="6">
        <v>67.239999999999995</v>
      </c>
      <c r="E77" s="2"/>
      <c r="F77" s="7">
        <f t="shared" si="32"/>
        <v>4.4892329180147491E-4</v>
      </c>
      <c r="G77" s="2"/>
      <c r="H77" s="6"/>
      <c r="I77" s="2"/>
      <c r="J77" s="7">
        <f t="shared" si="33"/>
        <v>0</v>
      </c>
      <c r="K77" s="2"/>
      <c r="L77" s="6">
        <f t="shared" si="34"/>
        <v>67.239999999999995</v>
      </c>
      <c r="M77" s="2"/>
      <c r="N77" s="7">
        <f t="shared" si="35"/>
        <v>0</v>
      </c>
      <c r="O77" s="10"/>
      <c r="P77" s="6">
        <v>692.63</v>
      </c>
      <c r="Q77" s="2"/>
      <c r="R77" s="7">
        <f t="shared" si="36"/>
        <v>2.6923717558879483E-4</v>
      </c>
      <c r="S77" s="2"/>
      <c r="T77" s="6">
        <v>1745.92</v>
      </c>
      <c r="U77" s="2"/>
      <c r="V77" s="7">
        <f t="shared" si="37"/>
        <v>7.1628091940977284E-4</v>
      </c>
      <c r="W77" s="2"/>
      <c r="X77" s="6">
        <f t="shared" si="38"/>
        <v>-1053.29</v>
      </c>
      <c r="Y77" s="2"/>
      <c r="Z77" s="7">
        <f t="shared" si="39"/>
        <v>-0.60328651942815248</v>
      </c>
    </row>
    <row r="78" spans="1:26" s="26" customFormat="1" outlineLevel="1" collapsed="1" x14ac:dyDescent="0.25">
      <c r="A78" s="25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2"/>
        <v>1.8723386072695661E-3</v>
      </c>
      <c r="G78" s="1"/>
      <c r="H78" s="1">
        <f>SUM(OSRRefH22_3x_0)</f>
        <v>280.44</v>
      </c>
      <c r="I78" s="1"/>
      <c r="J78" s="5">
        <f t="shared" si="33"/>
        <v>2.9348330800604339E-3</v>
      </c>
      <c r="K78" s="1"/>
      <c r="L78" s="1">
        <f t="shared" si="34"/>
        <v>0</v>
      </c>
      <c r="M78" s="1"/>
      <c r="N78" s="5">
        <f t="shared" si="35"/>
        <v>0</v>
      </c>
      <c r="O78" s="12"/>
      <c r="P78" s="1">
        <f>SUM(OSRRefP22_3x_0)</f>
        <v>3084.84</v>
      </c>
      <c r="Q78" s="1"/>
      <c r="R78" s="5">
        <f t="shared" si="36"/>
        <v>1.1991302841969562E-3</v>
      </c>
      <c r="S78" s="1"/>
      <c r="T78" s="1">
        <f>SUM(OSRRefT22_3x_0)</f>
        <v>3084.84</v>
      </c>
      <c r="U78" s="1"/>
      <c r="V78" s="5">
        <f t="shared" si="37"/>
        <v>1.2655860700559267E-3</v>
      </c>
      <c r="W78" s="1"/>
      <c r="X78" s="1">
        <f t="shared" si="38"/>
        <v>0</v>
      </c>
      <c r="Y78" s="1"/>
      <c r="Z78" s="5">
        <f t="shared" si="39"/>
        <v>0</v>
      </c>
    </row>
    <row r="79" spans="1:26" s="23" customFormat="1" hidden="1" outlineLevel="2" x14ac:dyDescent="0.25">
      <c r="A79" s="27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2"/>
        <v>1.8723386072695661E-3</v>
      </c>
      <c r="G79" s="2"/>
      <c r="H79" s="6">
        <v>280.44</v>
      </c>
      <c r="I79" s="2"/>
      <c r="J79" s="7">
        <f t="shared" si="33"/>
        <v>2.9348330800604339E-3</v>
      </c>
      <c r="K79" s="2"/>
      <c r="L79" s="6">
        <f t="shared" si="34"/>
        <v>0</v>
      </c>
      <c r="M79" s="2"/>
      <c r="N79" s="7">
        <f t="shared" si="35"/>
        <v>0</v>
      </c>
      <c r="O79" s="10"/>
      <c r="P79" s="6">
        <v>3084.84</v>
      </c>
      <c r="Q79" s="2"/>
      <c r="R79" s="7">
        <f t="shared" si="36"/>
        <v>1.1991302841969562E-3</v>
      </c>
      <c r="S79" s="2"/>
      <c r="T79" s="6">
        <v>3084.84</v>
      </c>
      <c r="U79" s="2"/>
      <c r="V79" s="7">
        <f t="shared" si="37"/>
        <v>1.2655860700559267E-3</v>
      </c>
      <c r="W79" s="2"/>
      <c r="X79" s="6">
        <f t="shared" si="38"/>
        <v>0</v>
      </c>
      <c r="Y79" s="2"/>
      <c r="Z79" s="7">
        <f t="shared" si="39"/>
        <v>0</v>
      </c>
    </row>
    <row r="80" spans="1:26" s="26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2"/>
        <v>0</v>
      </c>
      <c r="G80" s="1"/>
      <c r="H80" s="1">
        <f>SUM(OSRRefH22_4x_0)</f>
        <v>4596.96</v>
      </c>
      <c r="I80" s="1"/>
      <c r="J80" s="5">
        <f t="shared" si="33"/>
        <v>4.8107653243883226E-2</v>
      </c>
      <c r="K80" s="1"/>
      <c r="L80" s="1">
        <f t="shared" si="34"/>
        <v>-4596.96</v>
      </c>
      <c r="M80" s="1"/>
      <c r="N80" s="5">
        <f t="shared" si="35"/>
        <v>-1</v>
      </c>
      <c r="O80" s="12"/>
      <c r="P80" s="1">
        <f>SUM(OSRRefP22_4x_0)</f>
        <v>0</v>
      </c>
      <c r="Q80" s="1"/>
      <c r="R80" s="5">
        <f t="shared" si="36"/>
        <v>0</v>
      </c>
      <c r="S80" s="1"/>
      <c r="T80" s="1">
        <f>SUM(OSRRefT22_4x_0)</f>
        <v>74357.2</v>
      </c>
      <c r="U80" s="1"/>
      <c r="V80" s="5">
        <f t="shared" si="37"/>
        <v>3.0505775511327184E-2</v>
      </c>
      <c r="W80" s="1"/>
      <c r="X80" s="1">
        <f t="shared" si="38"/>
        <v>-74357.2</v>
      </c>
      <c r="Y80" s="1"/>
      <c r="Z80" s="5">
        <f t="shared" si="39"/>
        <v>-1</v>
      </c>
    </row>
    <row r="81" spans="1:26" s="23" customFormat="1" hidden="1" outlineLevel="2" x14ac:dyDescent="0.25">
      <c r="A81" s="27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2"/>
        <v>0</v>
      </c>
      <c r="G81" s="2"/>
      <c r="H81" s="6">
        <v>4596.96</v>
      </c>
      <c r="I81" s="2"/>
      <c r="J81" s="7">
        <f t="shared" si="33"/>
        <v>4.8107653243883226E-2</v>
      </c>
      <c r="K81" s="2"/>
      <c r="L81" s="6">
        <f t="shared" si="34"/>
        <v>-4596.96</v>
      </c>
      <c r="M81" s="2"/>
      <c r="N81" s="7">
        <f t="shared" si="35"/>
        <v>-1</v>
      </c>
      <c r="O81" s="10"/>
      <c r="P81" s="6">
        <v>0</v>
      </c>
      <c r="Q81" s="2"/>
      <c r="R81" s="7">
        <f t="shared" si="36"/>
        <v>0</v>
      </c>
      <c r="S81" s="2"/>
      <c r="T81" s="6">
        <v>74357.2</v>
      </c>
      <c r="U81" s="2"/>
      <c r="V81" s="7">
        <f t="shared" si="37"/>
        <v>3.0505775511327184E-2</v>
      </c>
      <c r="W81" s="2"/>
      <c r="X81" s="6">
        <f t="shared" si="38"/>
        <v>-74357.2</v>
      </c>
      <c r="Y81" s="2"/>
      <c r="Z81" s="7">
        <f t="shared" si="39"/>
        <v>-1</v>
      </c>
    </row>
    <row r="82" spans="1:26" s="26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1057.28</v>
      </c>
      <c r="E82" s="1"/>
      <c r="F82" s="5">
        <f t="shared" si="32"/>
        <v>7.0588580897659641E-3</v>
      </c>
      <c r="G82" s="1"/>
      <c r="H82" s="1">
        <f>SUM(OSRRefH22_5x_0)</f>
        <v>0</v>
      </c>
      <c r="I82" s="1"/>
      <c r="J82" s="5">
        <f t="shared" si="33"/>
        <v>0</v>
      </c>
      <c r="K82" s="1"/>
      <c r="L82" s="1">
        <f t="shared" si="34"/>
        <v>1057.28</v>
      </c>
      <c r="M82" s="1"/>
      <c r="N82" s="5">
        <f t="shared" si="35"/>
        <v>0</v>
      </c>
      <c r="O82" s="12"/>
      <c r="P82" s="1">
        <f>SUM(OSRRefP22_5x_0)</f>
        <v>2698.56</v>
      </c>
      <c r="Q82" s="1"/>
      <c r="R82" s="5">
        <f t="shared" si="36"/>
        <v>1.0489766145805092E-3</v>
      </c>
      <c r="S82" s="1"/>
      <c r="T82" s="1">
        <f>SUM(OSRRefT22_5x_0)</f>
        <v>120.59</v>
      </c>
      <c r="U82" s="1"/>
      <c r="V82" s="5">
        <f t="shared" si="37"/>
        <v>4.9473238219176426E-5</v>
      </c>
      <c r="W82" s="1"/>
      <c r="X82" s="1">
        <f t="shared" si="38"/>
        <v>2577.9699999999998</v>
      </c>
      <c r="Y82" s="1"/>
      <c r="Z82" s="5">
        <f t="shared" si="39"/>
        <v>21.377974956464051</v>
      </c>
    </row>
    <row r="83" spans="1:26" s="23" customFormat="1" hidden="1" outlineLevel="2" x14ac:dyDescent="0.25">
      <c r="A83" s="27"/>
      <c r="B83" s="10" t="str">
        <f>CONCATENATE("          ", "6305", " - ", "FREIGHT OUT")</f>
        <v xml:space="preserve">          6305 - FREIGHT OUT</v>
      </c>
      <c r="C83" s="10"/>
      <c r="D83" s="6">
        <v>1057.28</v>
      </c>
      <c r="E83" s="2"/>
      <c r="F83" s="7">
        <f t="shared" si="32"/>
        <v>7.0588580897659641E-3</v>
      </c>
      <c r="G83" s="2"/>
      <c r="H83" s="6"/>
      <c r="I83" s="2"/>
      <c r="J83" s="7">
        <f t="shared" si="33"/>
        <v>0</v>
      </c>
      <c r="K83" s="2"/>
      <c r="L83" s="6">
        <f t="shared" si="34"/>
        <v>1057.28</v>
      </c>
      <c r="M83" s="2"/>
      <c r="N83" s="7">
        <f t="shared" si="35"/>
        <v>0</v>
      </c>
      <c r="O83" s="10"/>
      <c r="P83" s="6">
        <v>2685.96</v>
      </c>
      <c r="Q83" s="2"/>
      <c r="R83" s="7">
        <f t="shared" si="36"/>
        <v>1.0440787781997305E-3</v>
      </c>
      <c r="S83" s="2"/>
      <c r="T83" s="6">
        <v>120.59</v>
      </c>
      <c r="U83" s="2"/>
      <c r="V83" s="7">
        <f t="shared" si="37"/>
        <v>4.9473238219176426E-5</v>
      </c>
      <c r="W83" s="2"/>
      <c r="X83" s="6">
        <f t="shared" si="38"/>
        <v>2565.37</v>
      </c>
      <c r="Y83" s="2"/>
      <c r="Z83" s="7">
        <f t="shared" si="39"/>
        <v>21.273488680653454</v>
      </c>
    </row>
    <row r="84" spans="1:26" s="23" customFormat="1" hidden="1" outlineLevel="2" x14ac:dyDescent="0.25">
      <c r="A84" s="27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0"/>
      <c r="P84" s="6">
        <v>12.6</v>
      </c>
      <c r="Q84" s="2"/>
      <c r="R84" s="7">
        <f t="shared" si="36"/>
        <v>4.8978363807787919E-6</v>
      </c>
      <c r="S84" s="2"/>
      <c r="T84" s="6"/>
      <c r="U84" s="2"/>
      <c r="V84" s="7">
        <f t="shared" si="37"/>
        <v>0</v>
      </c>
      <c r="W84" s="2"/>
      <c r="X84" s="6">
        <f t="shared" si="38"/>
        <v>12.6</v>
      </c>
      <c r="Y84" s="2"/>
      <c r="Z84" s="7">
        <f t="shared" si="39"/>
        <v>0</v>
      </c>
    </row>
    <row r="85" spans="1:26" s="26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285</v>
      </c>
      <c r="E85" s="1"/>
      <c r="F85" s="5">
        <f t="shared" ref="F85:F91" si="40">IF(D$12=0,0,D85/D$12)</f>
        <v>1.9027831374690714E-3</v>
      </c>
      <c r="G85" s="1"/>
      <c r="H85" s="1">
        <f>SUM(OSRRefH22_6x_0)</f>
        <v>-80</v>
      </c>
      <c r="I85" s="1"/>
      <c r="J85" s="5">
        <f t="shared" ref="J85:J91" si="41">IF(H$12=0,0,H85/H$12)</f>
        <v>-8.3720812439322032E-4</v>
      </c>
      <c r="K85" s="1"/>
      <c r="L85" s="1">
        <f t="shared" ref="L85:L91" si="42">+D85-H85</f>
        <v>365</v>
      </c>
      <c r="M85" s="1"/>
      <c r="N85" s="5">
        <f t="shared" ref="N85:N91" si="43">IF(H85=0,0,L85/H85)</f>
        <v>-4.5625</v>
      </c>
      <c r="O85" s="12"/>
      <c r="P85" s="1">
        <f>SUM(OSRRefP22_6x_0)</f>
        <v>254.85</v>
      </c>
      <c r="Q85" s="1"/>
      <c r="R85" s="5">
        <f t="shared" ref="R85:R91" si="44">IF(P$12=0,0,P85/P$12)</f>
        <v>9.9064571558847233E-5</v>
      </c>
      <c r="S85" s="1"/>
      <c r="T85" s="1">
        <f>SUM(OSRRefT22_6x_0)</f>
        <v>205</v>
      </c>
      <c r="U85" s="1"/>
      <c r="V85" s="5">
        <f t="shared" ref="V85:V91" si="45">IF(T$12=0,0,T85/T$12)</f>
        <v>8.4103274192977586E-5</v>
      </c>
      <c r="W85" s="1"/>
      <c r="X85" s="1">
        <f t="shared" ref="X85:X91" si="46">+P85-T85</f>
        <v>49.849999999999994</v>
      </c>
      <c r="Y85" s="1"/>
      <c r="Z85" s="5">
        <f t="shared" ref="Z85:Z91" si="47">IF(T85=0,0,X85/T85)</f>
        <v>0.24317073170731704</v>
      </c>
    </row>
    <row r="86" spans="1:26" s="23" customFormat="1" hidden="1" outlineLevel="2" x14ac:dyDescent="0.25">
      <c r="A86" s="27"/>
      <c r="B86" s="10" t="str">
        <f>CONCATENATE("          ", "6279", " - ", "GENERAL EXPENSE")</f>
        <v xml:space="preserve">          6279 - GENERAL EXPENSE</v>
      </c>
      <c r="C86" s="10"/>
      <c r="D86" s="6">
        <v>285</v>
      </c>
      <c r="E86" s="2"/>
      <c r="F86" s="7">
        <f t="shared" si="40"/>
        <v>1.9027831374690714E-3</v>
      </c>
      <c r="G86" s="2"/>
      <c r="H86" s="6">
        <v>-80</v>
      </c>
      <c r="I86" s="2"/>
      <c r="J86" s="7">
        <f t="shared" si="41"/>
        <v>-8.3720812439322032E-4</v>
      </c>
      <c r="K86" s="2"/>
      <c r="L86" s="6">
        <f t="shared" si="42"/>
        <v>365</v>
      </c>
      <c r="M86" s="2"/>
      <c r="N86" s="7">
        <f t="shared" si="43"/>
        <v>-4.5625</v>
      </c>
      <c r="O86" s="10"/>
      <c r="P86" s="6">
        <v>254.85</v>
      </c>
      <c r="Q86" s="2"/>
      <c r="R86" s="7">
        <f t="shared" si="44"/>
        <v>9.9064571558847233E-5</v>
      </c>
      <c r="S86" s="2"/>
      <c r="T86" s="6">
        <v>205</v>
      </c>
      <c r="U86" s="2"/>
      <c r="V86" s="7">
        <f t="shared" si="45"/>
        <v>8.4103274192977586E-5</v>
      </c>
      <c r="W86" s="2"/>
      <c r="X86" s="6">
        <f t="shared" si="46"/>
        <v>49.849999999999994</v>
      </c>
      <c r="Y86" s="2"/>
      <c r="Z86" s="7">
        <f t="shared" si="47"/>
        <v>0.24317073170731704</v>
      </c>
    </row>
    <row r="87" spans="1:26" s="26" customFormat="1" outlineLevel="1" collapsed="1" x14ac:dyDescent="0.25">
      <c r="A87" s="25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0"/>
        <v>8.3455400766187342E-3</v>
      </c>
      <c r="G87" s="1"/>
      <c r="H87" s="1">
        <f>SUM(OSRRefH22_7x_0)</f>
        <v>0</v>
      </c>
      <c r="I87" s="1"/>
      <c r="J87" s="5">
        <f t="shared" si="41"/>
        <v>0</v>
      </c>
      <c r="K87" s="1"/>
      <c r="L87" s="1">
        <f t="shared" si="42"/>
        <v>1250</v>
      </c>
      <c r="M87" s="1"/>
      <c r="N87" s="5">
        <f t="shared" si="43"/>
        <v>0</v>
      </c>
      <c r="O87" s="12"/>
      <c r="P87" s="1">
        <f>SUM(OSRRefP22_7x_0)</f>
        <v>13750</v>
      </c>
      <c r="Q87" s="1"/>
      <c r="R87" s="5">
        <f t="shared" si="44"/>
        <v>5.3448611298181261E-3</v>
      </c>
      <c r="S87" s="1"/>
      <c r="T87" s="1">
        <f>SUM(OSRRefT22_7x_0)</f>
        <v>0</v>
      </c>
      <c r="U87" s="1"/>
      <c r="V87" s="5">
        <f t="shared" si="45"/>
        <v>0</v>
      </c>
      <c r="W87" s="1"/>
      <c r="X87" s="1">
        <f t="shared" si="46"/>
        <v>13750</v>
      </c>
      <c r="Y87" s="1"/>
      <c r="Z87" s="5">
        <f t="shared" si="47"/>
        <v>0</v>
      </c>
    </row>
    <row r="88" spans="1:26" s="23" customFormat="1" hidden="1" outlineLevel="2" x14ac:dyDescent="0.25">
      <c r="A88" s="27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0"/>
        <v>8.3455400766187342E-3</v>
      </c>
      <c r="G88" s="2"/>
      <c r="H88" s="6"/>
      <c r="I88" s="2"/>
      <c r="J88" s="7">
        <f t="shared" si="41"/>
        <v>0</v>
      </c>
      <c r="K88" s="2"/>
      <c r="L88" s="6">
        <f t="shared" si="42"/>
        <v>1250</v>
      </c>
      <c r="M88" s="2"/>
      <c r="N88" s="7">
        <f t="shared" si="43"/>
        <v>0</v>
      </c>
      <c r="O88" s="10"/>
      <c r="P88" s="6">
        <v>13750</v>
      </c>
      <c r="Q88" s="2"/>
      <c r="R88" s="7">
        <f t="shared" si="44"/>
        <v>5.3448611298181261E-3</v>
      </c>
      <c r="S88" s="2"/>
      <c r="T88" s="6"/>
      <c r="U88" s="2"/>
      <c r="V88" s="7">
        <f t="shared" si="45"/>
        <v>0</v>
      </c>
      <c r="W88" s="2"/>
      <c r="X88" s="6">
        <f t="shared" si="46"/>
        <v>13750</v>
      </c>
      <c r="Y88" s="2"/>
      <c r="Z88" s="7">
        <f t="shared" si="47"/>
        <v>0</v>
      </c>
    </row>
    <row r="89" spans="1:26" s="26" customFormat="1" outlineLevel="1" collapsed="1" x14ac:dyDescent="0.25">
      <c r="A89" s="25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0</v>
      </c>
      <c r="E89" s="1"/>
      <c r="F89" s="5">
        <f t="shared" si="40"/>
        <v>0</v>
      </c>
      <c r="G89" s="1"/>
      <c r="H89" s="1">
        <f>SUM(OSRRefH22_8x_0)</f>
        <v>0</v>
      </c>
      <c r="I89" s="1"/>
      <c r="J89" s="5">
        <f t="shared" si="41"/>
        <v>0</v>
      </c>
      <c r="K89" s="1"/>
      <c r="L89" s="1">
        <f t="shared" si="42"/>
        <v>0</v>
      </c>
      <c r="M89" s="1"/>
      <c r="N89" s="5">
        <f t="shared" si="43"/>
        <v>0</v>
      </c>
      <c r="O89" s="12"/>
      <c r="P89" s="1">
        <f>SUM(OSRRefP22_8x_0)</f>
        <v>1550</v>
      </c>
      <c r="Q89" s="1"/>
      <c r="R89" s="5">
        <f t="shared" si="44"/>
        <v>6.025116182704069E-4</v>
      </c>
      <c r="S89" s="1"/>
      <c r="T89" s="1">
        <f>SUM(OSRRefT22_8x_0)</f>
        <v>197.18</v>
      </c>
      <c r="U89" s="1"/>
      <c r="V89" s="5">
        <f t="shared" si="45"/>
        <v>8.0895041977421068E-5</v>
      </c>
      <c r="W89" s="1"/>
      <c r="X89" s="1">
        <f t="shared" si="46"/>
        <v>1352.82</v>
      </c>
      <c r="Y89" s="1"/>
      <c r="Z89" s="5">
        <f t="shared" si="47"/>
        <v>6.8608378131656345</v>
      </c>
    </row>
    <row r="90" spans="1:26" s="23" customFormat="1" hidden="1" outlineLevel="2" x14ac:dyDescent="0.25">
      <c r="A90" s="27"/>
      <c r="B90" s="10" t="str">
        <f>CONCATENATE("          ", "6371", " - ", "COMPUTER SOFTWARE MAINTENANCE")</f>
        <v xml:space="preserve">          6371 - COMPUTER SOFTWARE MAINTENANCE</v>
      </c>
      <c r="C90" s="10"/>
      <c r="D90" s="6"/>
      <c r="E90" s="2"/>
      <c r="F90" s="7">
        <f t="shared" si="40"/>
        <v>0</v>
      </c>
      <c r="G90" s="2"/>
      <c r="H90" s="6"/>
      <c r="I90" s="2"/>
      <c r="J90" s="7">
        <f t="shared" si="41"/>
        <v>0</v>
      </c>
      <c r="K90" s="2"/>
      <c r="L90" s="6">
        <f t="shared" si="42"/>
        <v>0</v>
      </c>
      <c r="M90" s="2"/>
      <c r="N90" s="7">
        <f t="shared" si="43"/>
        <v>0</v>
      </c>
      <c r="O90" s="10"/>
      <c r="P90" s="6">
        <v>1550</v>
      </c>
      <c r="Q90" s="2"/>
      <c r="R90" s="7">
        <f t="shared" si="44"/>
        <v>6.025116182704069E-4</v>
      </c>
      <c r="S90" s="2"/>
      <c r="T90" s="6"/>
      <c r="U90" s="2"/>
      <c r="V90" s="7">
        <f t="shared" si="45"/>
        <v>0</v>
      </c>
      <c r="W90" s="2"/>
      <c r="X90" s="6">
        <f t="shared" si="46"/>
        <v>1550</v>
      </c>
      <c r="Y90" s="2"/>
      <c r="Z90" s="7">
        <f t="shared" si="47"/>
        <v>0</v>
      </c>
    </row>
    <row r="91" spans="1:26" s="23" customFormat="1" hidden="1" outlineLevel="2" x14ac:dyDescent="0.25">
      <c r="A91" s="27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0"/>
        <v>0</v>
      </c>
      <c r="G91" s="2"/>
      <c r="H91" s="6"/>
      <c r="I91" s="2"/>
      <c r="J91" s="7">
        <f t="shared" si="41"/>
        <v>0</v>
      </c>
      <c r="K91" s="2"/>
      <c r="L91" s="6">
        <f t="shared" si="42"/>
        <v>0</v>
      </c>
      <c r="M91" s="2"/>
      <c r="N91" s="7">
        <f t="shared" si="43"/>
        <v>0</v>
      </c>
      <c r="O91" s="10"/>
      <c r="P91" s="6"/>
      <c r="Q91" s="2"/>
      <c r="R91" s="7">
        <f t="shared" si="44"/>
        <v>0</v>
      </c>
      <c r="S91" s="2"/>
      <c r="T91" s="6">
        <v>197.18</v>
      </c>
      <c r="U91" s="2"/>
      <c r="V91" s="7">
        <f t="shared" si="45"/>
        <v>8.0895041977421068E-5</v>
      </c>
      <c r="W91" s="2"/>
      <c r="X91" s="6">
        <f t="shared" si="46"/>
        <v>-197.18</v>
      </c>
      <c r="Y91" s="2"/>
      <c r="Z91" s="7">
        <f t="shared" si="47"/>
        <v>-1</v>
      </c>
    </row>
    <row r="92" spans="1:26" s="26" customFormat="1" outlineLevel="1" collapsed="1" x14ac:dyDescent="0.25">
      <c r="A92" s="25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0</v>
      </c>
      <c r="E92" s="1"/>
      <c r="F92" s="5">
        <f t="shared" ref="F92:F94" si="48">IF(D$12=0,0,D92/D$12)</f>
        <v>0</v>
      </c>
      <c r="G92" s="1"/>
      <c r="H92" s="1">
        <f>SUM(OSRRefH22_9x_0)</f>
        <v>0</v>
      </c>
      <c r="I92" s="1"/>
      <c r="J92" s="5">
        <f t="shared" ref="J92:J94" si="49">IF(H$12=0,0,H92/H$12)</f>
        <v>0</v>
      </c>
      <c r="K92" s="1"/>
      <c r="L92" s="1">
        <f t="shared" ref="L92:L94" si="50">+D92-H92</f>
        <v>0</v>
      </c>
      <c r="M92" s="1"/>
      <c r="N92" s="5">
        <f t="shared" ref="N92:N94" si="51">IF(H92=0,0,L92/H92)</f>
        <v>0</v>
      </c>
      <c r="O92" s="12"/>
      <c r="P92" s="1">
        <f>SUM(OSRRefP22_9x_0)</f>
        <v>142.22</v>
      </c>
      <c r="Q92" s="1"/>
      <c r="R92" s="5">
        <f t="shared" ref="R92:R94" si="52">IF(P$12=0,0,P92/P$12)</f>
        <v>5.5283356355107917E-5</v>
      </c>
      <c r="S92" s="1"/>
      <c r="T92" s="1">
        <f>SUM(OSRRefT22_9x_0)</f>
        <v>-4886.5</v>
      </c>
      <c r="U92" s="1"/>
      <c r="V92" s="5">
        <f t="shared" ref="V92:V94" si="53">IF(T$12=0,0,T92/T$12)</f>
        <v>-2.0047348748487071E-3</v>
      </c>
      <c r="W92" s="1"/>
      <c r="X92" s="1">
        <f t="shared" ref="X92:X94" si="54">+P92-T92</f>
        <v>5028.72</v>
      </c>
      <c r="Y92" s="1"/>
      <c r="Z92" s="5">
        <f t="shared" ref="Z92:Z94" si="55">IF(T92=0,0,X92/T92)</f>
        <v>-1.0291046761485727</v>
      </c>
    </row>
    <row r="93" spans="1:26" s="23" customFormat="1" hidden="1" outlineLevel="2" x14ac:dyDescent="0.25">
      <c r="A93" s="27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48"/>
        <v>0</v>
      </c>
      <c r="G93" s="2"/>
      <c r="H93" s="6"/>
      <c r="I93" s="2"/>
      <c r="J93" s="7">
        <f t="shared" si="49"/>
        <v>0</v>
      </c>
      <c r="K93" s="2"/>
      <c r="L93" s="6">
        <f t="shared" si="50"/>
        <v>0</v>
      </c>
      <c r="M93" s="2"/>
      <c r="N93" s="7">
        <f t="shared" si="51"/>
        <v>0</v>
      </c>
      <c r="O93" s="10"/>
      <c r="P93" s="6"/>
      <c r="Q93" s="2"/>
      <c r="R93" s="7">
        <f t="shared" si="52"/>
        <v>0</v>
      </c>
      <c r="S93" s="2"/>
      <c r="T93" s="6">
        <v>-4886.5</v>
      </c>
      <c r="U93" s="2"/>
      <c r="V93" s="7">
        <f t="shared" si="53"/>
        <v>-2.0047348748487071E-3</v>
      </c>
      <c r="W93" s="2"/>
      <c r="X93" s="6">
        <f t="shared" si="54"/>
        <v>4886.5</v>
      </c>
      <c r="Y93" s="2"/>
      <c r="Z93" s="7">
        <f t="shared" si="55"/>
        <v>-1</v>
      </c>
    </row>
    <row r="94" spans="1:26" s="23" customFormat="1" hidden="1" outlineLevel="2" x14ac:dyDescent="0.25">
      <c r="A94" s="27"/>
      <c r="B94" s="10" t="str">
        <f>CONCATENATE("          ", "6275", " - ", "SUBSCRIPTIONS")</f>
        <v xml:space="preserve">          6275 - SUBSCRIPTIONS</v>
      </c>
      <c r="C94" s="10"/>
      <c r="D94" s="6"/>
      <c r="E94" s="2"/>
      <c r="F94" s="7">
        <f t="shared" si="48"/>
        <v>0</v>
      </c>
      <c r="G94" s="2"/>
      <c r="H94" s="6"/>
      <c r="I94" s="2"/>
      <c r="J94" s="7">
        <f t="shared" si="49"/>
        <v>0</v>
      </c>
      <c r="K94" s="2"/>
      <c r="L94" s="6">
        <f t="shared" si="50"/>
        <v>0</v>
      </c>
      <c r="M94" s="2"/>
      <c r="N94" s="7">
        <f t="shared" si="51"/>
        <v>0</v>
      </c>
      <c r="O94" s="10"/>
      <c r="P94" s="6">
        <v>142.22</v>
      </c>
      <c r="Q94" s="2"/>
      <c r="R94" s="7">
        <f t="shared" si="52"/>
        <v>5.5283356355107917E-5</v>
      </c>
      <c r="S94" s="2"/>
      <c r="T94" s="6"/>
      <c r="U94" s="2"/>
      <c r="V94" s="7">
        <f t="shared" si="53"/>
        <v>0</v>
      </c>
      <c r="W94" s="2"/>
      <c r="X94" s="6">
        <f t="shared" si="54"/>
        <v>142.22</v>
      </c>
      <c r="Y94" s="2"/>
      <c r="Z94" s="7">
        <f t="shared" si="55"/>
        <v>0</v>
      </c>
    </row>
    <row r="95" spans="1:26" s="26" customFormat="1" outlineLevel="1" collapsed="1" x14ac:dyDescent="0.25">
      <c r="A95" s="25"/>
      <c r="B95" s="12" t="str">
        <f>CONCATENATE("     ","Supplies                                          ")</f>
        <v xml:space="preserve">     Supplies                                          </v>
      </c>
      <c r="C95" s="12"/>
      <c r="D95" s="1">
        <f>SUM(OSRRefD22_10x_0)</f>
        <v>200.67</v>
      </c>
      <c r="E95" s="1"/>
      <c r="F95" s="5">
        <f t="shared" ref="F95:F100" si="56">IF(D$12=0,0,D95/D$12)</f>
        <v>1.3397596217400651E-3</v>
      </c>
      <c r="G95" s="1"/>
      <c r="H95" s="1">
        <f>SUM(OSRRefH22_10x_0)</f>
        <v>59.25</v>
      </c>
      <c r="I95" s="1"/>
      <c r="J95" s="5">
        <f t="shared" ref="J95:J100" si="57">IF(H$12=0,0,H95/H$12)</f>
        <v>6.2005726712872878E-4</v>
      </c>
      <c r="K95" s="1"/>
      <c r="L95" s="1">
        <f t="shared" ref="L95:L100" si="58">+D95-H95</f>
        <v>141.41999999999999</v>
      </c>
      <c r="M95" s="1"/>
      <c r="N95" s="5">
        <f t="shared" ref="N95:N100" si="59">IF(H95=0,0,L95/H95)</f>
        <v>2.3868354430379743</v>
      </c>
      <c r="O95" s="12"/>
      <c r="P95" s="1">
        <f>SUM(OSRRefP22_10x_0)</f>
        <v>4032.32</v>
      </c>
      <c r="Q95" s="1"/>
      <c r="R95" s="5">
        <f t="shared" ref="R95:R100" si="60">IF(P$12=0,0,P95/P$12)</f>
        <v>1.5674320313445983E-3</v>
      </c>
      <c r="S95" s="1"/>
      <c r="T95" s="1">
        <f>SUM(OSRRefT22_10x_0)</f>
        <v>3194.5200000000004</v>
      </c>
      <c r="U95" s="1"/>
      <c r="V95" s="5">
        <f t="shared" ref="V95:V100" si="61">IF(T$12=0,0,T95/T$12)</f>
        <v>1.3105833730485403E-3</v>
      </c>
      <c r="W95" s="1"/>
      <c r="X95" s="1">
        <f t="shared" ref="X95:X100" si="62">+P95-T95</f>
        <v>837.79999999999973</v>
      </c>
      <c r="Y95" s="1"/>
      <c r="Z95" s="5">
        <f t="shared" ref="Z95:Z100" si="63">IF(T95=0,0,X95/T95)</f>
        <v>0.26226162302943778</v>
      </c>
    </row>
    <row r="96" spans="1:26" s="23" customFormat="1" hidden="1" outlineLevel="2" x14ac:dyDescent="0.25">
      <c r="A96" s="27"/>
      <c r="B96" s="10" t="str">
        <f>CONCATENATE("          ", "6234", " - ", "EXPENDABLE SUPPLIES &amp; EQUIPMEN")</f>
        <v xml:space="preserve">          6234 - EXPENDABLE SUPPLIES &amp; EQUIPMEN</v>
      </c>
      <c r="C96" s="10"/>
      <c r="D96" s="6"/>
      <c r="E96" s="2"/>
      <c r="F96" s="7">
        <f t="shared" si="56"/>
        <v>0</v>
      </c>
      <c r="G96" s="2"/>
      <c r="H96" s="6"/>
      <c r="I96" s="2"/>
      <c r="J96" s="7">
        <f t="shared" si="57"/>
        <v>0</v>
      </c>
      <c r="K96" s="2"/>
      <c r="L96" s="6">
        <f t="shared" si="58"/>
        <v>0</v>
      </c>
      <c r="M96" s="2"/>
      <c r="N96" s="7">
        <f t="shared" si="59"/>
        <v>0</v>
      </c>
      <c r="O96" s="10"/>
      <c r="P96" s="6">
        <v>1733.49</v>
      </c>
      <c r="Q96" s="2"/>
      <c r="R96" s="7">
        <f t="shared" si="60"/>
        <v>6.7383733235843075E-4</v>
      </c>
      <c r="S96" s="2"/>
      <c r="T96" s="6"/>
      <c r="U96" s="2"/>
      <c r="V96" s="7">
        <f t="shared" si="61"/>
        <v>0</v>
      </c>
      <c r="W96" s="2"/>
      <c r="X96" s="6">
        <f t="shared" si="62"/>
        <v>1733.49</v>
      </c>
      <c r="Y96" s="2"/>
      <c r="Z96" s="7">
        <f t="shared" si="63"/>
        <v>0</v>
      </c>
    </row>
    <row r="97" spans="1:26" s="23" customFormat="1" hidden="1" outlineLevel="2" x14ac:dyDescent="0.25">
      <c r="A97" s="27"/>
      <c r="B97" s="10" t="str">
        <f>CONCATENATE("          ", "6235", " - ", "COVID-19 EXPENSES")</f>
        <v xml:space="preserve">          6235 - COVID-19 EXPENSES</v>
      </c>
      <c r="C97" s="10"/>
      <c r="D97" s="6"/>
      <c r="E97" s="2"/>
      <c r="F97" s="7">
        <f t="shared" si="56"/>
        <v>0</v>
      </c>
      <c r="G97" s="2"/>
      <c r="H97" s="6"/>
      <c r="I97" s="2"/>
      <c r="J97" s="7">
        <f t="shared" si="57"/>
        <v>0</v>
      </c>
      <c r="K97" s="2"/>
      <c r="L97" s="6">
        <f t="shared" si="58"/>
        <v>0</v>
      </c>
      <c r="M97" s="2"/>
      <c r="N97" s="7">
        <f t="shared" si="59"/>
        <v>0</v>
      </c>
      <c r="O97" s="10"/>
      <c r="P97" s="6">
        <v>668.12</v>
      </c>
      <c r="Q97" s="2"/>
      <c r="R97" s="7">
        <f t="shared" si="60"/>
        <v>2.5970971767666083E-4</v>
      </c>
      <c r="S97" s="2"/>
      <c r="T97" s="6"/>
      <c r="U97" s="2"/>
      <c r="V97" s="7">
        <f t="shared" si="61"/>
        <v>0</v>
      </c>
      <c r="W97" s="2"/>
      <c r="X97" s="6">
        <f t="shared" si="62"/>
        <v>668.12</v>
      </c>
      <c r="Y97" s="2"/>
      <c r="Z97" s="7">
        <f t="shared" si="63"/>
        <v>0</v>
      </c>
    </row>
    <row r="98" spans="1:26" s="23" customFormat="1" hidden="1" outlineLevel="2" x14ac:dyDescent="0.25">
      <c r="A98" s="27"/>
      <c r="B98" s="10" t="str">
        <f>CONCATENATE("          ", "6241", " - ", "OFFICE EXPENSE")</f>
        <v xml:space="preserve">          6241 - OFFICE EXPENSE</v>
      </c>
      <c r="C98" s="10"/>
      <c r="D98" s="6">
        <v>200.67</v>
      </c>
      <c r="E98" s="2"/>
      <c r="F98" s="7">
        <f t="shared" si="56"/>
        <v>1.3397596217400651E-3</v>
      </c>
      <c r="G98" s="2"/>
      <c r="H98" s="6">
        <v>59.25</v>
      </c>
      <c r="I98" s="2"/>
      <c r="J98" s="7">
        <f t="shared" si="57"/>
        <v>6.2005726712872878E-4</v>
      </c>
      <c r="K98" s="2"/>
      <c r="L98" s="6">
        <f t="shared" si="58"/>
        <v>141.41999999999999</v>
      </c>
      <c r="M98" s="2"/>
      <c r="N98" s="7">
        <f t="shared" si="59"/>
        <v>2.3868354430379743</v>
      </c>
      <c r="O98" s="10"/>
      <c r="P98" s="6">
        <v>1630.71</v>
      </c>
      <c r="Q98" s="2"/>
      <c r="R98" s="7">
        <f t="shared" si="60"/>
        <v>6.3388498130950667E-4</v>
      </c>
      <c r="S98" s="2"/>
      <c r="T98" s="6">
        <v>1185.1400000000001</v>
      </c>
      <c r="U98" s="2"/>
      <c r="V98" s="7">
        <f t="shared" si="61"/>
        <v>4.862153872051974E-4</v>
      </c>
      <c r="W98" s="2"/>
      <c r="X98" s="6">
        <f t="shared" si="62"/>
        <v>445.56999999999994</v>
      </c>
      <c r="Y98" s="2"/>
      <c r="Z98" s="7">
        <f t="shared" si="63"/>
        <v>0.37596402112830546</v>
      </c>
    </row>
    <row r="99" spans="1:26" s="23" customFormat="1" hidden="1" outlineLevel="2" x14ac:dyDescent="0.25">
      <c r="A99" s="27"/>
      <c r="B99" s="10" t="str">
        <f>CONCATENATE("          ", "6245", " - ", "PRINTING")</f>
        <v xml:space="preserve">          6245 - PRINTING</v>
      </c>
      <c r="C99" s="10"/>
      <c r="D99" s="6"/>
      <c r="E99" s="2"/>
      <c r="F99" s="7">
        <f t="shared" si="56"/>
        <v>0</v>
      </c>
      <c r="G99" s="2"/>
      <c r="H99" s="6"/>
      <c r="I99" s="2"/>
      <c r="J99" s="7">
        <f t="shared" si="57"/>
        <v>0</v>
      </c>
      <c r="K99" s="2"/>
      <c r="L99" s="6">
        <f t="shared" si="58"/>
        <v>0</v>
      </c>
      <c r="M99" s="2"/>
      <c r="N99" s="7">
        <f t="shared" si="59"/>
        <v>0</v>
      </c>
      <c r="O99" s="10"/>
      <c r="P99" s="6"/>
      <c r="Q99" s="2"/>
      <c r="R99" s="7">
        <f t="shared" si="60"/>
        <v>0</v>
      </c>
      <c r="S99" s="2"/>
      <c r="T99" s="6">
        <v>0</v>
      </c>
      <c r="U99" s="2"/>
      <c r="V99" s="7">
        <f t="shared" si="61"/>
        <v>0</v>
      </c>
      <c r="W99" s="2"/>
      <c r="X99" s="6">
        <f t="shared" si="62"/>
        <v>0</v>
      </c>
      <c r="Y99" s="2"/>
      <c r="Z99" s="7">
        <f t="shared" si="63"/>
        <v>0</v>
      </c>
    </row>
    <row r="100" spans="1:26" s="23" customFormat="1" hidden="1" outlineLevel="2" x14ac:dyDescent="0.25">
      <c r="A100" s="27"/>
      <c r="B100" s="10" t="str">
        <f>CONCATENATE("          ", "6247", " - ", "STORE SUPPLIES")</f>
        <v xml:space="preserve">          6247 - STORE SUPPLIES</v>
      </c>
      <c r="C100" s="10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0"/>
      <c r="P100" s="6"/>
      <c r="Q100" s="2"/>
      <c r="R100" s="7">
        <f t="shared" si="60"/>
        <v>0</v>
      </c>
      <c r="S100" s="2"/>
      <c r="T100" s="6">
        <v>2009.38</v>
      </c>
      <c r="U100" s="2"/>
      <c r="V100" s="7">
        <f t="shared" si="61"/>
        <v>8.2436798584334294E-4</v>
      </c>
      <c r="W100" s="2"/>
      <c r="X100" s="6">
        <f t="shared" si="62"/>
        <v>-2009.38</v>
      </c>
      <c r="Y100" s="2"/>
      <c r="Z100" s="7">
        <f t="shared" si="63"/>
        <v>-1</v>
      </c>
    </row>
    <row r="101" spans="1:26" s="26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383.2</v>
      </c>
      <c r="E101" s="1"/>
      <c r="F101" s="5">
        <f t="shared" ref="F101:F106" si="64">IF(D$12=0,0,D101/D$12)</f>
        <v>2.558408765888239E-3</v>
      </c>
      <c r="G101" s="1"/>
      <c r="H101" s="1">
        <f>SUM(OSRRefH22_11x_0)</f>
        <v>212.75</v>
      </c>
      <c r="I101" s="1"/>
      <c r="J101" s="5">
        <f t="shared" ref="J101:J106" si="65">IF(H$12=0,0,H101/H$12)</f>
        <v>2.2264503558082202E-3</v>
      </c>
      <c r="K101" s="1"/>
      <c r="L101" s="1">
        <f t="shared" ref="L101:L106" si="66">+D101-H101</f>
        <v>170.45</v>
      </c>
      <c r="M101" s="1"/>
      <c r="N101" s="5">
        <f t="shared" ref="N101:N106" si="67">IF(H101=0,0,L101/H101)</f>
        <v>0.80117508813160987</v>
      </c>
      <c r="O101" s="12"/>
      <c r="P101" s="1">
        <f>SUM(OSRRefP22_11x_0)</f>
        <v>3260.75</v>
      </c>
      <c r="Q101" s="1"/>
      <c r="R101" s="5">
        <f t="shared" ref="R101:R106" si="68">IF(P$12=0,0,P101/P$12)</f>
        <v>1.2675095221130511E-3</v>
      </c>
      <c r="S101" s="1"/>
      <c r="T101" s="1">
        <f>SUM(OSRRefT22_11x_0)</f>
        <v>2725.2</v>
      </c>
      <c r="U101" s="1"/>
      <c r="V101" s="5">
        <f t="shared" ref="V101:V106" si="69">IF(T$12=0,0,T101/T$12)</f>
        <v>1.1180402089302562E-3</v>
      </c>
      <c r="W101" s="1"/>
      <c r="X101" s="1">
        <f t="shared" ref="X101:X106" si="70">+P101-T101</f>
        <v>535.55000000000018</v>
      </c>
      <c r="Y101" s="1"/>
      <c r="Z101" s="5">
        <f t="shared" ref="Z101:Z106" si="71">IF(T101=0,0,X101/T101)</f>
        <v>0.19651768677528264</v>
      </c>
    </row>
    <row r="102" spans="1:26" s="23" customFormat="1" hidden="1" outlineLevel="2" x14ac:dyDescent="0.25">
      <c r="A102" s="27"/>
      <c r="B102" s="10" t="str">
        <f>CONCATENATE("          ", "6309", " - ", "TELEPHONE")</f>
        <v xml:space="preserve">          6309 - TELEPHONE</v>
      </c>
      <c r="C102" s="10"/>
      <c r="D102" s="6">
        <v>383.2</v>
      </c>
      <c r="E102" s="2"/>
      <c r="F102" s="7">
        <f t="shared" si="64"/>
        <v>2.558408765888239E-3</v>
      </c>
      <c r="G102" s="2"/>
      <c r="H102" s="6">
        <v>212.75</v>
      </c>
      <c r="I102" s="2"/>
      <c r="J102" s="7">
        <f t="shared" si="65"/>
        <v>2.2264503558082202E-3</v>
      </c>
      <c r="K102" s="2"/>
      <c r="L102" s="6">
        <f t="shared" si="66"/>
        <v>170.45</v>
      </c>
      <c r="M102" s="2"/>
      <c r="N102" s="7">
        <f t="shared" si="67"/>
        <v>0.80117508813160987</v>
      </c>
      <c r="O102" s="10"/>
      <c r="P102" s="6">
        <v>3260.75</v>
      </c>
      <c r="Q102" s="2"/>
      <c r="R102" s="7">
        <f t="shared" si="68"/>
        <v>1.2675095221130511E-3</v>
      </c>
      <c r="S102" s="2"/>
      <c r="T102" s="6">
        <v>2725.2</v>
      </c>
      <c r="U102" s="2"/>
      <c r="V102" s="7">
        <f t="shared" si="69"/>
        <v>1.1180402089302562E-3</v>
      </c>
      <c r="W102" s="2"/>
      <c r="X102" s="6">
        <f t="shared" si="70"/>
        <v>535.55000000000018</v>
      </c>
      <c r="Y102" s="2"/>
      <c r="Z102" s="7">
        <f t="shared" si="71"/>
        <v>0.19651768677528264</v>
      </c>
    </row>
    <row r="103" spans="1:26" s="26" customFormat="1" outlineLevel="1" collapsed="1" x14ac:dyDescent="0.25">
      <c r="A103" s="25"/>
      <c r="B103" s="12" t="str">
        <f>CONCATENATE("     ","Training                                          ")</f>
        <v xml:space="preserve">     Training                                          </v>
      </c>
      <c r="C103" s="12"/>
      <c r="D103" s="1">
        <f>SUM(OSRRefD22_12x_0)</f>
        <v>0</v>
      </c>
      <c r="E103" s="1"/>
      <c r="F103" s="5">
        <f t="shared" si="64"/>
        <v>0</v>
      </c>
      <c r="G103" s="1"/>
      <c r="H103" s="1">
        <f>SUM(OSRRefH22_12x_0)</f>
        <v>0</v>
      </c>
      <c r="I103" s="1"/>
      <c r="J103" s="5">
        <f t="shared" si="65"/>
        <v>0</v>
      </c>
      <c r="K103" s="1"/>
      <c r="L103" s="1">
        <f t="shared" si="66"/>
        <v>0</v>
      </c>
      <c r="M103" s="1"/>
      <c r="N103" s="5">
        <f t="shared" si="67"/>
        <v>0</v>
      </c>
      <c r="O103" s="12"/>
      <c r="P103" s="1">
        <f>SUM(OSRRefP22_12x_0)</f>
        <v>100</v>
      </c>
      <c r="Q103" s="1"/>
      <c r="R103" s="5">
        <f t="shared" si="68"/>
        <v>3.8871717307768191E-5</v>
      </c>
      <c r="S103" s="1"/>
      <c r="T103" s="1">
        <f>SUM(OSRRefT22_12x_0)</f>
        <v>1875.75</v>
      </c>
      <c r="U103" s="1"/>
      <c r="V103" s="5">
        <f t="shared" si="69"/>
        <v>7.6954495886574488E-4</v>
      </c>
      <c r="W103" s="1"/>
      <c r="X103" s="1">
        <f t="shared" si="70"/>
        <v>-1775.75</v>
      </c>
      <c r="Y103" s="1"/>
      <c r="Z103" s="5">
        <f t="shared" si="71"/>
        <v>-0.94668799147007865</v>
      </c>
    </row>
    <row r="104" spans="1:26" s="23" customFormat="1" hidden="1" outlineLevel="2" x14ac:dyDescent="0.25">
      <c r="A104" s="27"/>
      <c r="B104" s="10" t="str">
        <f>CONCATENATE("          ", "6376", " - ", "TRAINING")</f>
        <v xml:space="preserve">          6376 - TRAINING</v>
      </c>
      <c r="C104" s="10"/>
      <c r="D104" s="6"/>
      <c r="E104" s="2"/>
      <c r="F104" s="7">
        <f t="shared" si="64"/>
        <v>0</v>
      </c>
      <c r="G104" s="2"/>
      <c r="H104" s="6"/>
      <c r="I104" s="2"/>
      <c r="J104" s="7">
        <f t="shared" si="65"/>
        <v>0</v>
      </c>
      <c r="K104" s="2"/>
      <c r="L104" s="6">
        <f t="shared" si="66"/>
        <v>0</v>
      </c>
      <c r="M104" s="2"/>
      <c r="N104" s="7">
        <f t="shared" si="67"/>
        <v>0</v>
      </c>
      <c r="O104" s="10"/>
      <c r="P104" s="6">
        <v>100</v>
      </c>
      <c r="Q104" s="2"/>
      <c r="R104" s="7">
        <f t="shared" si="68"/>
        <v>3.8871717307768191E-5</v>
      </c>
      <c r="S104" s="2"/>
      <c r="T104" s="6">
        <v>1875.75</v>
      </c>
      <c r="U104" s="2"/>
      <c r="V104" s="7">
        <f t="shared" si="69"/>
        <v>7.6954495886574488E-4</v>
      </c>
      <c r="W104" s="2"/>
      <c r="X104" s="6">
        <f t="shared" si="70"/>
        <v>-1775.75</v>
      </c>
      <c r="Y104" s="2"/>
      <c r="Z104" s="7">
        <f t="shared" si="71"/>
        <v>-0.94668799147007865</v>
      </c>
    </row>
    <row r="105" spans="1:26" s="26" customFormat="1" outlineLevel="1" collapsed="1" x14ac:dyDescent="0.25">
      <c r="A105" s="25"/>
      <c r="B105" s="12" t="str">
        <f>CONCATENATE("     ","Travel                                            ")</f>
        <v xml:space="preserve">     Travel                                            </v>
      </c>
      <c r="C105" s="12"/>
      <c r="D105" s="1">
        <f>SUM(OSRRefD22_13x_0)</f>
        <v>0</v>
      </c>
      <c r="E105" s="1"/>
      <c r="F105" s="5">
        <f t="shared" si="64"/>
        <v>0</v>
      </c>
      <c r="G105" s="1"/>
      <c r="H105" s="1">
        <f>SUM(OSRRefH22_13x_0)</f>
        <v>0</v>
      </c>
      <c r="I105" s="1"/>
      <c r="J105" s="5">
        <f t="shared" si="65"/>
        <v>0</v>
      </c>
      <c r="K105" s="1"/>
      <c r="L105" s="1">
        <f t="shared" si="66"/>
        <v>0</v>
      </c>
      <c r="M105" s="1"/>
      <c r="N105" s="5">
        <f t="shared" si="67"/>
        <v>0</v>
      </c>
      <c r="O105" s="12"/>
      <c r="P105" s="1">
        <f>SUM(OSRRefP22_13x_0)</f>
        <v>0</v>
      </c>
      <c r="Q105" s="1"/>
      <c r="R105" s="5">
        <f t="shared" si="68"/>
        <v>0</v>
      </c>
      <c r="S105" s="1"/>
      <c r="T105" s="1">
        <f>SUM(OSRRefT22_13x_0)</f>
        <v>-178.06</v>
      </c>
      <c r="U105" s="1"/>
      <c r="V105" s="5">
        <f t="shared" si="69"/>
        <v>-7.3050873184397997E-5</v>
      </c>
      <c r="W105" s="1"/>
      <c r="X105" s="1">
        <f t="shared" si="70"/>
        <v>178.06</v>
      </c>
      <c r="Y105" s="1"/>
      <c r="Z105" s="5">
        <f t="shared" si="71"/>
        <v>-1</v>
      </c>
    </row>
    <row r="106" spans="1:26" s="23" customFormat="1" hidden="1" outlineLevel="2" x14ac:dyDescent="0.25">
      <c r="A106" s="27"/>
      <c r="B106" s="10" t="str">
        <f>CONCATENATE("          ", "6292", " - ", "TRAVEL/CONFERENCE")</f>
        <v xml:space="preserve">          6292 - TRAVEL/CONFERENCE</v>
      </c>
      <c r="C106" s="10"/>
      <c r="D106" s="6"/>
      <c r="E106" s="2"/>
      <c r="F106" s="7">
        <f t="shared" si="64"/>
        <v>0</v>
      </c>
      <c r="G106" s="2"/>
      <c r="H106" s="6"/>
      <c r="I106" s="2"/>
      <c r="J106" s="7">
        <f t="shared" si="65"/>
        <v>0</v>
      </c>
      <c r="K106" s="2"/>
      <c r="L106" s="6">
        <f t="shared" si="66"/>
        <v>0</v>
      </c>
      <c r="M106" s="2"/>
      <c r="N106" s="7">
        <f t="shared" si="67"/>
        <v>0</v>
      </c>
      <c r="O106" s="10"/>
      <c r="P106" s="6"/>
      <c r="Q106" s="2"/>
      <c r="R106" s="7">
        <f t="shared" si="68"/>
        <v>0</v>
      </c>
      <c r="S106" s="2"/>
      <c r="T106" s="6">
        <v>-178.06</v>
      </c>
      <c r="U106" s="2"/>
      <c r="V106" s="7">
        <f t="shared" si="69"/>
        <v>-7.3050873184397997E-5</v>
      </c>
      <c r="W106" s="2"/>
      <c r="X106" s="6">
        <f t="shared" si="70"/>
        <v>178.06</v>
      </c>
      <c r="Y106" s="2"/>
      <c r="Z106" s="7">
        <f t="shared" si="71"/>
        <v>-1</v>
      </c>
    </row>
    <row r="107" spans="1:26" s="57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4" customFormat="1" collapsed="1" x14ac:dyDescent="0.25">
      <c r="A108" s="11"/>
      <c r="B108" s="29" t="s">
        <v>292</v>
      </c>
      <c r="C108" s="11"/>
      <c r="D108" s="4">
        <f>SUM(OSRRefD25x_0)</f>
        <v>296.52000000000004</v>
      </c>
      <c r="E108" s="4"/>
      <c r="F108" s="13">
        <f t="shared" ref="F108:F112" si="72">IF(D$12=0,0,D108/D$12)</f>
        <v>1.9796956348151901E-3</v>
      </c>
      <c r="G108" s="4"/>
      <c r="H108" s="4">
        <f>SUM(OSRRefH25x_0)</f>
        <v>-294.75</v>
      </c>
      <c r="I108" s="4"/>
      <c r="J108" s="13">
        <f t="shared" ref="J108:J112" si="73">IF(H$12=0,0,H108/H$12)</f>
        <v>-3.0845886833112709E-3</v>
      </c>
      <c r="K108" s="4"/>
      <c r="L108" s="4">
        <f t="shared" ref="L108:L112" si="74">+D108-H108</f>
        <v>591.27</v>
      </c>
      <c r="M108" s="4"/>
      <c r="N108" s="13">
        <f t="shared" ref="N108:N112" si="75">IF(H108=0,0,L108/H108)</f>
        <v>-2.0060050890585241</v>
      </c>
      <c r="O108" s="11"/>
      <c r="P108" s="4">
        <f>SUM(OSRRefP25x_0)</f>
        <v>4032.78</v>
      </c>
      <c r="Q108" s="4"/>
      <c r="R108" s="13">
        <f t="shared" ref="R108:R112" si="76">IF(P$12=0,0,P108/P$12)</f>
        <v>1.5676108412442141E-3</v>
      </c>
      <c r="S108" s="4"/>
      <c r="T108" s="4">
        <f>SUM(OSRRefT25x_0)</f>
        <v>13362.580000000002</v>
      </c>
      <c r="U108" s="4"/>
      <c r="V108" s="13">
        <f t="shared" ref="V108:V112" si="77">IF(T$12=0,0,T108/T$12)</f>
        <v>5.4821303886126759E-3</v>
      </c>
      <c r="W108" s="4"/>
      <c r="X108" s="4">
        <f t="shared" ref="X108:X112" si="78">+P108-T108</f>
        <v>-9329.8000000000011</v>
      </c>
      <c r="Y108" s="4"/>
      <c r="Z108" s="13">
        <f t="shared" ref="Z108:Z112" si="79">IF(T108=0,0,X108/T108)</f>
        <v>-0.69820349064327392</v>
      </c>
    </row>
    <row r="109" spans="1:26" s="23" customFormat="1" hidden="1" outlineLevel="1" x14ac:dyDescent="0.25">
      <c r="A109" s="44"/>
      <c r="B109" s="10" t="str">
        <f>CONCATENATE("          ", "4187", " - ", "NON-TAXABLE SALES-COMPUTER REP")</f>
        <v xml:space="preserve">          4187 - NON-TAXABLE SALES-COMPUTER REP</v>
      </c>
      <c r="C109" s="10"/>
      <c r="D109" s="2">
        <f>--264.48</f>
        <v>264.48</v>
      </c>
      <c r="E109" s="2"/>
      <c r="F109" s="19">
        <f t="shared" si="72"/>
        <v>1.7657827515712983E-3</v>
      </c>
      <c r="G109" s="2"/>
      <c r="H109" s="2">
        <f>--99.99</f>
        <v>99.99</v>
      </c>
      <c r="I109" s="2"/>
      <c r="J109" s="19">
        <f t="shared" si="73"/>
        <v>1.0464055044759762E-3</v>
      </c>
      <c r="K109" s="2"/>
      <c r="L109" s="2">
        <f t="shared" si="74"/>
        <v>164.49</v>
      </c>
      <c r="M109" s="2"/>
      <c r="N109" s="19">
        <f t="shared" si="75"/>
        <v>1.6450645064506453</v>
      </c>
      <c r="O109" s="10"/>
      <c r="P109" s="2">
        <f>--3580.44</f>
        <v>3580.44</v>
      </c>
      <c r="Q109" s="2"/>
      <c r="R109" s="19">
        <f t="shared" si="76"/>
        <v>1.3917785151742555E-3</v>
      </c>
      <c r="S109" s="2"/>
      <c r="T109" s="2">
        <f>--16283.19</f>
        <v>16283.19</v>
      </c>
      <c r="U109" s="2"/>
      <c r="V109" s="19">
        <f t="shared" si="77"/>
        <v>6.6803394795431738E-3</v>
      </c>
      <c r="W109" s="2"/>
      <c r="X109" s="2">
        <f t="shared" si="78"/>
        <v>-12702.75</v>
      </c>
      <c r="Y109" s="2"/>
      <c r="Z109" s="19">
        <f t="shared" si="79"/>
        <v>-0.78011433877514169</v>
      </c>
    </row>
    <row r="110" spans="1:26" s="23" customFormat="1" hidden="1" outlineLevel="1" x14ac:dyDescent="0.25">
      <c r="A110" s="44"/>
      <c r="B110" s="10" t="str">
        <f>CONCATENATE("          ", "4387", " - ", "SALES RETURN NON TAXABLE-COMPU")</f>
        <v xml:space="preserve">          4387 - SALES RETURN NON TAXABLE-COMPU</v>
      </c>
      <c r="C110" s="10"/>
      <c r="D110" s="2">
        <f t="shared" ref="D110:D111" si="80">0</f>
        <v>0</v>
      </c>
      <c r="E110" s="2"/>
      <c r="F110" s="19">
        <f t="shared" si="72"/>
        <v>0</v>
      </c>
      <c r="G110" s="2"/>
      <c r="H110" s="2">
        <f>0</f>
        <v>0</v>
      </c>
      <c r="I110" s="2"/>
      <c r="J110" s="19">
        <f t="shared" si="73"/>
        <v>0</v>
      </c>
      <c r="K110" s="2"/>
      <c r="L110" s="2">
        <f t="shared" si="74"/>
        <v>0</v>
      </c>
      <c r="M110" s="2"/>
      <c r="N110" s="19">
        <f t="shared" si="75"/>
        <v>0</v>
      </c>
      <c r="O110" s="10"/>
      <c r="P110" s="2">
        <f t="shared" ref="P110:P111" si="81">0</f>
        <v>0</v>
      </c>
      <c r="Q110" s="2"/>
      <c r="R110" s="19">
        <f t="shared" si="76"/>
        <v>0</v>
      </c>
      <c r="S110" s="2"/>
      <c r="T110" s="2">
        <f>-7889</f>
        <v>-7889</v>
      </c>
      <c r="U110" s="2"/>
      <c r="V110" s="19">
        <f t="shared" si="77"/>
        <v>-3.2365401468702447E-3</v>
      </c>
      <c r="W110" s="2"/>
      <c r="X110" s="2">
        <f t="shared" si="78"/>
        <v>7889</v>
      </c>
      <c r="Y110" s="2"/>
      <c r="Z110" s="19">
        <f t="shared" si="79"/>
        <v>-1</v>
      </c>
    </row>
    <row r="111" spans="1:26" s="23" customFormat="1" hidden="1" outlineLevel="1" x14ac:dyDescent="0.25">
      <c r="A111" s="44"/>
      <c r="B111" s="10" t="str">
        <f>CONCATENATE("          ", "5087", " - ", "PURCHASES @ COST-COMPUTER REPA")</f>
        <v xml:space="preserve">          5087 - PURCHASES @ COST-COMPUTER REPA</v>
      </c>
      <c r="C111" s="10"/>
      <c r="D111" s="2">
        <f t="shared" si="80"/>
        <v>0</v>
      </c>
      <c r="E111" s="2"/>
      <c r="F111" s="19">
        <f t="shared" si="72"/>
        <v>0</v>
      </c>
      <c r="G111" s="2"/>
      <c r="H111" s="2">
        <f>--32.7</f>
        <v>32.700000000000003</v>
      </c>
      <c r="I111" s="2"/>
      <c r="J111" s="19">
        <f t="shared" si="73"/>
        <v>3.4220882084572883E-4</v>
      </c>
      <c r="K111" s="2"/>
      <c r="L111" s="2">
        <f t="shared" si="74"/>
        <v>-32.700000000000003</v>
      </c>
      <c r="M111" s="2"/>
      <c r="N111" s="19">
        <f t="shared" si="75"/>
        <v>-1</v>
      </c>
      <c r="O111" s="10"/>
      <c r="P111" s="2">
        <f t="shared" si="81"/>
        <v>0</v>
      </c>
      <c r="Q111" s="2"/>
      <c r="R111" s="19">
        <f t="shared" si="76"/>
        <v>0</v>
      </c>
      <c r="S111" s="2"/>
      <c r="T111" s="2">
        <f>-72.06</f>
        <v>-72.06</v>
      </c>
      <c r="U111" s="2"/>
      <c r="V111" s="19">
        <f t="shared" si="77"/>
        <v>-2.95633265285169E-5</v>
      </c>
      <c r="W111" s="2"/>
      <c r="X111" s="2">
        <f t="shared" si="78"/>
        <v>72.06</v>
      </c>
      <c r="Y111" s="2"/>
      <c r="Z111" s="19">
        <f t="shared" si="79"/>
        <v>-1</v>
      </c>
    </row>
    <row r="112" spans="1:26" s="23" customFormat="1" hidden="1" outlineLevel="1" x14ac:dyDescent="0.25">
      <c r="A112" s="44"/>
      <c r="B112" s="10" t="str">
        <f>CONCATENATE("          ", "9150", " - ", "MISC. INCOME")</f>
        <v xml:space="preserve">          9150 - MISC. INCOME</v>
      </c>
      <c r="C112" s="10"/>
      <c r="D112" s="2">
        <f>--32.04</f>
        <v>32.04</v>
      </c>
      <c r="E112" s="2"/>
      <c r="F112" s="19">
        <f t="shared" si="72"/>
        <v>2.1391288324389138E-4</v>
      </c>
      <c r="G112" s="2"/>
      <c r="H112" s="2">
        <f>-427.44</f>
        <v>-427.44</v>
      </c>
      <c r="I112" s="2"/>
      <c r="J112" s="19">
        <f t="shared" si="73"/>
        <v>-4.4732030086329757E-3</v>
      </c>
      <c r="K112" s="2"/>
      <c r="L112" s="2">
        <f t="shared" si="74"/>
        <v>459.48</v>
      </c>
      <c r="M112" s="2"/>
      <c r="N112" s="19">
        <f t="shared" si="75"/>
        <v>-1.0749578888265021</v>
      </c>
      <c r="O112" s="10"/>
      <c r="P112" s="2">
        <f>--452.34</f>
        <v>452.34</v>
      </c>
      <c r="Q112" s="2"/>
      <c r="R112" s="19">
        <f t="shared" si="76"/>
        <v>1.7583232606995861E-4</v>
      </c>
      <c r="S112" s="2"/>
      <c r="T112" s="2">
        <f>--5040.45</f>
        <v>5040.45</v>
      </c>
      <c r="U112" s="2"/>
      <c r="V112" s="19">
        <f t="shared" si="77"/>
        <v>2.0678943824682626E-3</v>
      </c>
      <c r="W112" s="2"/>
      <c r="X112" s="2">
        <f t="shared" si="78"/>
        <v>-4588.1099999999997</v>
      </c>
      <c r="Y112" s="2"/>
      <c r="Z112" s="19">
        <f t="shared" si="79"/>
        <v>-0.91025801267743944</v>
      </c>
    </row>
    <row r="113" spans="1:26" x14ac:dyDescent="0.25">
      <c r="A113" s="9"/>
      <c r="B113" s="11"/>
      <c r="C113" s="11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1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x14ac:dyDescent="0.25">
      <c r="A114" s="11"/>
      <c r="B114" s="28" t="s">
        <v>276</v>
      </c>
      <c r="C114" s="28"/>
      <c r="D114" s="20">
        <f>+D57-D59+D108</f>
        <v>79773.48000000001</v>
      </c>
      <c r="E114" s="14"/>
      <c r="F114" s="21">
        <f>IF(D$12=0,0,D114/D$12)</f>
        <v>0.53260221951307452</v>
      </c>
      <c r="G114" s="14"/>
      <c r="H114" s="20">
        <f>+H57-H59+H108</f>
        <v>-6321.5500000000029</v>
      </c>
      <c r="I114" s="14"/>
      <c r="J114" s="21">
        <f>IF(H$12=0,0,H114/H$12)</f>
        <v>-6.6155662734474555E-2</v>
      </c>
      <c r="K114" s="15"/>
      <c r="L114" s="20">
        <f>+D114-H114</f>
        <v>86095.030000000013</v>
      </c>
      <c r="M114" s="15"/>
      <c r="N114" s="21">
        <f>IF(H114=0,0,L114/H114)</f>
        <v>-13.619291154859168</v>
      </c>
      <c r="O114" s="29"/>
      <c r="P114" s="20">
        <f>+P57-P59+P108</f>
        <v>134663.01999999923</v>
      </c>
      <c r="Q114" s="14"/>
      <c r="R114" s="21">
        <f>IF(P$12=0,0,P114/P$12)</f>
        <v>5.2345828452503039E-2</v>
      </c>
      <c r="S114" s="14"/>
      <c r="T114" s="20">
        <f>+T57-T59+T108</f>
        <v>118962.1100000007</v>
      </c>
      <c r="U114" s="14"/>
      <c r="V114" s="21">
        <f>IF(T$12=0,0,T114/T$12)</f>
        <v>4.8805380272708386E-2</v>
      </c>
      <c r="W114" s="15"/>
      <c r="X114" s="20">
        <f>+P114-T114</f>
        <v>15700.909999998534</v>
      </c>
      <c r="Y114" s="15"/>
      <c r="Z114" s="21">
        <f>IF(T114=0,0,X114/T114)</f>
        <v>0.13198244382180546</v>
      </c>
    </row>
    <row r="115" spans="1:26" x14ac:dyDescent="0.25">
      <c r="A115" s="9"/>
      <c r="B115" s="11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4" customFormat="1" x14ac:dyDescent="0.25">
      <c r="A116" s="51"/>
      <c r="B116" s="11" t="s">
        <v>127</v>
      </c>
      <c r="C116" s="11"/>
      <c r="D116" s="4">
        <v>42876.41</v>
      </c>
      <c r="E116" s="4"/>
      <c r="F116" s="13">
        <f>IF(D$12=0,0,D116/D$12)</f>
        <v>0.28626143839722901</v>
      </c>
      <c r="G116" s="4"/>
      <c r="H116" s="4">
        <v>22739.03</v>
      </c>
      <c r="I116" s="4"/>
      <c r="J116" s="13">
        <f>IF(H$12=0,0,H116/H$12)</f>
        <v>0.2379662582102646</v>
      </c>
      <c r="K116" s="4"/>
      <c r="L116" s="4">
        <f>+D116-H116</f>
        <v>20137.380000000005</v>
      </c>
      <c r="M116" s="4"/>
      <c r="N116" s="13">
        <f>IF(H116=0,0,L116/H116)</f>
        <v>0.88558658834611703</v>
      </c>
      <c r="O116" s="11"/>
      <c r="P116" s="4">
        <v>549732.64</v>
      </c>
      <c r="Q116" s="4"/>
      <c r="R116" s="13">
        <f>IF(P$12=0,0,P116/P$12)</f>
        <v>0.21369051776933098</v>
      </c>
      <c r="S116" s="4"/>
      <c r="T116" s="4">
        <v>288647.71000000002</v>
      </c>
      <c r="U116" s="4"/>
      <c r="V116" s="13">
        <f>IF(T$12=0,0,T116/T$12)</f>
        <v>0.11842057316734185</v>
      </c>
      <c r="W116" s="4"/>
      <c r="X116" s="4">
        <f>+P116-T116</f>
        <v>261084.93</v>
      </c>
      <c r="Y116" s="4"/>
      <c r="Z116" s="13">
        <f>IF(T116=0,0,X116/T116)</f>
        <v>0.90451065764561223</v>
      </c>
    </row>
    <row r="117" spans="1:26" x14ac:dyDescent="0.25">
      <c r="A117" s="9"/>
      <c r="B117" s="11"/>
      <c r="C117" s="11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1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4" customFormat="1" ht="15.75" thickBot="1" x14ac:dyDescent="0.3">
      <c r="A118" s="11"/>
      <c r="B118" s="28" t="s">
        <v>125</v>
      </c>
      <c r="C118" s="28"/>
      <c r="D118" s="35">
        <f>+D114-D116</f>
        <v>36897.070000000007</v>
      </c>
      <c r="E118" s="14"/>
      <c r="F118" s="36">
        <f>IF(D$12=0,0,D118/D$12)</f>
        <v>0.24634078111584548</v>
      </c>
      <c r="G118" s="14"/>
      <c r="H118" s="35">
        <f>+H114-H116</f>
        <v>-29060.58</v>
      </c>
      <c r="I118" s="14"/>
      <c r="J118" s="36">
        <f>IF(H$12=0,0,H118/H$12)</f>
        <v>-0.30412192094473917</v>
      </c>
      <c r="K118" s="15"/>
      <c r="L118" s="35">
        <f>D118-H118</f>
        <v>65957.650000000009</v>
      </c>
      <c r="M118" s="15"/>
      <c r="N118" s="36">
        <f>IF(H118=0,0,L118/H118)</f>
        <v>-2.2696604816559067</v>
      </c>
      <c r="O118" s="29"/>
      <c r="P118" s="35">
        <f>+P114-P116</f>
        <v>-415069.62000000081</v>
      </c>
      <c r="Q118" s="14"/>
      <c r="R118" s="36">
        <f>IF(P$12=0,0,P118/P$12)</f>
        <v>-0.16134468931682797</v>
      </c>
      <c r="S118" s="14"/>
      <c r="T118" s="35">
        <f>+T114-T116</f>
        <v>-169685.59999999934</v>
      </c>
      <c r="U118" s="14"/>
      <c r="V118" s="36">
        <f>IF(T$12=0,0,T118/T$12)</f>
        <v>-6.9615192894633471E-2</v>
      </c>
      <c r="W118" s="15"/>
      <c r="X118" s="35">
        <f>P118-T118</f>
        <v>-245384.02000000147</v>
      </c>
      <c r="Y118" s="15"/>
      <c r="Z118" s="36">
        <f>IF(T118=0,0,X118/T118)</f>
        <v>1.4461098643609265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ht="15.75" thickBot="1" x14ac:dyDescent="0.3">
      <c r="A121" s="11"/>
      <c r="B121" s="28" t="s">
        <v>293</v>
      </c>
      <c r="C121" s="28"/>
      <c r="D121" s="30">
        <f>SUM(D118:D120)</f>
        <v>36897.070000000007</v>
      </c>
      <c r="E121" s="14"/>
      <c r="F121" s="31">
        <f>IF(D$12=0,0,D121/D$12)</f>
        <v>0.24634078111584548</v>
      </c>
      <c r="G121" s="14"/>
      <c r="H121" s="30">
        <f>SUM(H118:H120)</f>
        <v>-29060.58</v>
      </c>
      <c r="I121" s="14"/>
      <c r="J121" s="31">
        <f>IF(H$12=0,0,H121/H$12)</f>
        <v>-0.30412192094473917</v>
      </c>
      <c r="K121" s="15"/>
      <c r="L121" s="30">
        <f>+D121-H121</f>
        <v>65957.650000000009</v>
      </c>
      <c r="M121" s="15"/>
      <c r="N121" s="31">
        <f>IF(H121=0,0,L121/H121)</f>
        <v>-2.2696604816559067</v>
      </c>
      <c r="O121" s="29"/>
      <c r="P121" s="30">
        <f>SUM(P118:P120)</f>
        <v>-415069.62000000081</v>
      </c>
      <c r="Q121" s="14"/>
      <c r="R121" s="31">
        <f>IF(P$12=0,0,P121/P$12)</f>
        <v>-0.16134468931682797</v>
      </c>
      <c r="S121" s="14"/>
      <c r="T121" s="30">
        <f>SUM(T118:T120)</f>
        <v>-169685.59999999934</v>
      </c>
      <c r="U121" s="14"/>
      <c r="V121" s="31">
        <f>IF(T$12=0,0,T121/T$12)</f>
        <v>-6.9615192894633471E-2</v>
      </c>
      <c r="W121" s="15"/>
      <c r="X121" s="30">
        <f>+P121-T121</f>
        <v>-245384.02000000147</v>
      </c>
      <c r="Y121" s="15"/>
      <c r="Z121" s="31">
        <f>IF(T121=0,0,X121/T121)</f>
        <v>1.4461098643609265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59">
        <v>44356.893333877313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2" t="s">
        <v>56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4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149780.6</v>
      </c>
      <c r="E12" s="4"/>
      <c r="F12" s="13"/>
      <c r="G12" s="4"/>
      <c r="H12" s="4">
        <f>SUM(OSRRefH13x_0)</f>
        <v>95555.69</v>
      </c>
      <c r="I12" s="4"/>
      <c r="J12" s="13"/>
      <c r="K12" s="4"/>
      <c r="L12" s="4">
        <f t="shared" ref="L12:L37" si="0">+D12-H12</f>
        <v>54224.91</v>
      </c>
      <c r="M12" s="4"/>
      <c r="N12" s="13">
        <f t="shared" ref="N12:N37" si="1">IF(H12=0,0,L12/H12)</f>
        <v>0.56746918995613971</v>
      </c>
      <c r="O12" s="11"/>
      <c r="P12" s="4">
        <f>SUM(OSRRefP13x_0)</f>
        <v>2572564.4999999995</v>
      </c>
      <c r="Q12" s="4"/>
      <c r="R12" s="13"/>
      <c r="S12" s="4"/>
      <c r="T12" s="4">
        <f>SUM(OSRRefT13x_0)</f>
        <v>2437479.4200000004</v>
      </c>
      <c r="U12" s="4"/>
      <c r="V12" s="13"/>
      <c r="W12" s="4"/>
      <c r="X12" s="4">
        <f t="shared" ref="X12:X37" si="2">+P12-T12</f>
        <v>135085.07999999914</v>
      </c>
      <c r="Y12" s="4"/>
      <c r="Z12" s="13">
        <f t="shared" ref="Z12:Z37" si="3">IF(T12=0,0,X12/T12)</f>
        <v>5.5419987915220681E-2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-55.8</f>
        <v>-55.8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-55.8</v>
      </c>
      <c r="M13" s="2"/>
      <c r="N13" s="19">
        <f t="shared" si="1"/>
        <v>0</v>
      </c>
      <c r="O13" s="10"/>
      <c r="P13" s="2">
        <f>-2963.91</f>
        <v>-2963.91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-2963.91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--1857.91</f>
        <v>1857.91</v>
      </c>
      <c r="E14" s="2"/>
      <c r="F14" s="19"/>
      <c r="G14" s="2"/>
      <c r="H14" s="2">
        <f>--1256.94</f>
        <v>1256.94</v>
      </c>
      <c r="I14" s="2"/>
      <c r="J14" s="19"/>
      <c r="K14" s="2"/>
      <c r="L14" s="2">
        <f t="shared" si="0"/>
        <v>600.97</v>
      </c>
      <c r="M14" s="2"/>
      <c r="N14" s="19">
        <f t="shared" si="1"/>
        <v>0.47812146960077651</v>
      </c>
      <c r="O14" s="10"/>
      <c r="P14" s="2">
        <f>--63953.98</f>
        <v>63953.98</v>
      </c>
      <c r="Q14" s="2"/>
      <c r="R14" s="19"/>
      <c r="S14" s="2"/>
      <c r="T14" s="2">
        <f>--313160.03</f>
        <v>313160.03000000003</v>
      </c>
      <c r="U14" s="2"/>
      <c r="V14" s="19"/>
      <c r="W14" s="2"/>
      <c r="X14" s="2">
        <f t="shared" si="2"/>
        <v>-249206.05000000002</v>
      </c>
      <c r="Y14" s="2"/>
      <c r="Z14" s="19">
        <f t="shared" si="3"/>
        <v>-0.79577859920373617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--117610.99</f>
        <v>117610.99</v>
      </c>
      <c r="E15" s="2"/>
      <c r="F15" s="19"/>
      <c r="G15" s="2"/>
      <c r="H15" s="2">
        <f>--55929.1</f>
        <v>55929.1</v>
      </c>
      <c r="I15" s="2"/>
      <c r="J15" s="19"/>
      <c r="K15" s="2"/>
      <c r="L15" s="2">
        <f t="shared" si="0"/>
        <v>61681.890000000007</v>
      </c>
      <c r="M15" s="2"/>
      <c r="N15" s="19">
        <f t="shared" si="1"/>
        <v>1.1028586192161149</v>
      </c>
      <c r="O15" s="10"/>
      <c r="P15" s="2">
        <f>--2129658.62</f>
        <v>2129658.62</v>
      </c>
      <c r="Q15" s="2"/>
      <c r="R15" s="19"/>
      <c r="S15" s="2"/>
      <c r="T15" s="2">
        <f>--1982238.78</f>
        <v>1982238.78</v>
      </c>
      <c r="U15" s="2"/>
      <c r="V15" s="19"/>
      <c r="W15" s="2"/>
      <c r="X15" s="2">
        <f t="shared" si="2"/>
        <v>147419.84000000008</v>
      </c>
      <c r="Y15" s="2"/>
      <c r="Z15" s="19">
        <f t="shared" si="3"/>
        <v>7.4370374289620178E-2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--10204.05</f>
        <v>10204.049999999999</v>
      </c>
      <c r="E16" s="2"/>
      <c r="F16" s="19"/>
      <c r="G16" s="2"/>
      <c r="H16" s="2">
        <f>--2640</f>
        <v>2640</v>
      </c>
      <c r="I16" s="2"/>
      <c r="J16" s="19"/>
      <c r="K16" s="2"/>
      <c r="L16" s="2">
        <f t="shared" si="0"/>
        <v>7564.0499999999993</v>
      </c>
      <c r="M16" s="2"/>
      <c r="N16" s="19">
        <f t="shared" si="1"/>
        <v>2.8651704545454542</v>
      </c>
      <c r="O16" s="10"/>
      <c r="P16" s="2">
        <f>--137136.99</f>
        <v>137136.99</v>
      </c>
      <c r="Q16" s="2"/>
      <c r="R16" s="19"/>
      <c r="S16" s="2"/>
      <c r="T16" s="2">
        <f>--105504.07</f>
        <v>105504.07</v>
      </c>
      <c r="U16" s="2"/>
      <c r="V16" s="19"/>
      <c r="W16" s="2"/>
      <c r="X16" s="2">
        <f t="shared" si="2"/>
        <v>31632.919999999984</v>
      </c>
      <c r="Y16" s="2"/>
      <c r="Z16" s="19">
        <f t="shared" si="3"/>
        <v>0.299826537497558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 t="shared" si="4"/>
        <v>0</v>
      </c>
      <c r="E18" s="2"/>
      <c r="F18" s="19"/>
      <c r="G18" s="2"/>
      <c r="H18" s="2">
        <f>--20</f>
        <v>20</v>
      </c>
      <c r="I18" s="2"/>
      <c r="J18" s="19"/>
      <c r="K18" s="2"/>
      <c r="L18" s="2">
        <f t="shared" si="0"/>
        <v>-20</v>
      </c>
      <c r="M18" s="2"/>
      <c r="N18" s="19">
        <f t="shared" si="1"/>
        <v>-1</v>
      </c>
      <c r="O18" s="10"/>
      <c r="P18" s="2">
        <f>--4870.79</f>
        <v>4870.79</v>
      </c>
      <c r="Q18" s="2"/>
      <c r="R18" s="19"/>
      <c r="S18" s="2"/>
      <c r="T18" s="2">
        <f>--4587.93</f>
        <v>4587.93</v>
      </c>
      <c r="U18" s="2"/>
      <c r="V18" s="19"/>
      <c r="W18" s="2"/>
      <c r="X18" s="2">
        <f t="shared" si="2"/>
        <v>282.85999999999967</v>
      </c>
      <c r="Y18" s="2"/>
      <c r="Z18" s="19">
        <f t="shared" si="3"/>
        <v>6.165307665984434E-2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--1662.79</f>
        <v>1662.79</v>
      </c>
      <c r="E19" s="2"/>
      <c r="F19" s="19"/>
      <c r="G19" s="2"/>
      <c r="H19" s="2">
        <f>--357.44</f>
        <v>357.44</v>
      </c>
      <c r="I19" s="2"/>
      <c r="J19" s="19"/>
      <c r="K19" s="2"/>
      <c r="L19" s="2">
        <f t="shared" si="0"/>
        <v>1305.3499999999999</v>
      </c>
      <c r="M19" s="2"/>
      <c r="N19" s="19">
        <f t="shared" si="1"/>
        <v>3.6519415846016114</v>
      </c>
      <c r="O19" s="10"/>
      <c r="P19" s="2">
        <f>--66932.42</f>
        <v>66932.42</v>
      </c>
      <c r="Q19" s="2"/>
      <c r="R19" s="19"/>
      <c r="S19" s="2"/>
      <c r="T19" s="2">
        <f>--48715.72</f>
        <v>48715.72</v>
      </c>
      <c r="U19" s="2"/>
      <c r="V19" s="19"/>
      <c r="W19" s="2"/>
      <c r="X19" s="2">
        <f t="shared" si="2"/>
        <v>18216.699999999997</v>
      </c>
      <c r="Y19" s="2"/>
      <c r="Z19" s="19">
        <f t="shared" si="3"/>
        <v>0.3739388435601485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--1120.94</f>
        <v>1120.94</v>
      </c>
      <c r="I20" s="2"/>
      <c r="J20" s="19"/>
      <c r="K20" s="2"/>
      <c r="L20" s="2">
        <f t="shared" si="0"/>
        <v>-1120.94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--2795.75</f>
        <v>2795.75</v>
      </c>
      <c r="U20" s="2"/>
      <c r="V20" s="19"/>
      <c r="W20" s="2"/>
      <c r="X20" s="2">
        <f t="shared" si="2"/>
        <v>-2795.75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--1779.96</f>
        <v>1779.96</v>
      </c>
      <c r="E21" s="2"/>
      <c r="F21" s="19"/>
      <c r="G21" s="2"/>
      <c r="H21" s="2">
        <f>--424.46</f>
        <v>424.46</v>
      </c>
      <c r="I21" s="2"/>
      <c r="J21" s="19"/>
      <c r="K21" s="2"/>
      <c r="L21" s="2">
        <f t="shared" si="0"/>
        <v>1355.5</v>
      </c>
      <c r="M21" s="2"/>
      <c r="N21" s="19">
        <f t="shared" si="1"/>
        <v>3.1934693492908637</v>
      </c>
      <c r="O21" s="10"/>
      <c r="P21" s="2">
        <f>--14288.58</f>
        <v>14288.58</v>
      </c>
      <c r="Q21" s="2"/>
      <c r="R21" s="19"/>
      <c r="S21" s="2"/>
      <c r="T21" s="2">
        <f>--2657.79</f>
        <v>2657.79</v>
      </c>
      <c r="U21" s="2"/>
      <c r="V21" s="19"/>
      <c r="W21" s="2"/>
      <c r="X21" s="2">
        <f t="shared" si="2"/>
        <v>11630.79</v>
      </c>
      <c r="Y21" s="2"/>
      <c r="Z21" s="19">
        <f t="shared" si="3"/>
        <v>4.3761132369374556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--33038.75</f>
        <v>33038.75</v>
      </c>
      <c r="E22" s="2"/>
      <c r="F22" s="19"/>
      <c r="G22" s="2"/>
      <c r="H22" s="2">
        <f>--28134.6</f>
        <v>28134.6</v>
      </c>
      <c r="I22" s="2"/>
      <c r="J22" s="19"/>
      <c r="K22" s="2"/>
      <c r="L22" s="2">
        <f t="shared" si="0"/>
        <v>4904.1500000000015</v>
      </c>
      <c r="M22" s="2"/>
      <c r="N22" s="19">
        <f t="shared" si="1"/>
        <v>0.17431027986891592</v>
      </c>
      <c r="O22" s="10"/>
      <c r="P22" s="2">
        <f>--347529.22</f>
        <v>347529.22</v>
      </c>
      <c r="Q22" s="2"/>
      <c r="R22" s="19"/>
      <c r="S22" s="2"/>
      <c r="T22" s="2">
        <f>--176201.54</f>
        <v>176201.54</v>
      </c>
      <c r="U22" s="2"/>
      <c r="V22" s="19"/>
      <c r="W22" s="2"/>
      <c r="X22" s="2">
        <f t="shared" si="2"/>
        <v>171327.67999999996</v>
      </c>
      <c r="Y22" s="2"/>
      <c r="Z22" s="19">
        <f t="shared" si="3"/>
        <v>0.97233928829452887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--2959.73</f>
        <v>2959.73</v>
      </c>
      <c r="E23" s="2"/>
      <c r="F23" s="19"/>
      <c r="G23" s="2"/>
      <c r="H23" s="2">
        <f>--1895.54</f>
        <v>1895.54</v>
      </c>
      <c r="I23" s="2"/>
      <c r="J23" s="19"/>
      <c r="K23" s="2"/>
      <c r="L23" s="2">
        <f t="shared" si="0"/>
        <v>1064.19</v>
      </c>
      <c r="M23" s="2"/>
      <c r="N23" s="19">
        <f t="shared" si="1"/>
        <v>0.56141785454276882</v>
      </c>
      <c r="O23" s="10"/>
      <c r="P23" s="2">
        <f>--22445.75</f>
        <v>22445.75</v>
      </c>
      <c r="Q23" s="2"/>
      <c r="R23" s="19"/>
      <c r="S23" s="2"/>
      <c r="T23" s="2">
        <f>--11427.56</f>
        <v>11427.56</v>
      </c>
      <c r="U23" s="2"/>
      <c r="V23" s="19"/>
      <c r="W23" s="2"/>
      <c r="X23" s="2">
        <f t="shared" si="2"/>
        <v>11018.19</v>
      </c>
      <c r="Y23" s="2"/>
      <c r="Z23" s="19">
        <f t="shared" si="3"/>
        <v>0.96417695466048758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--5925.22</f>
        <v>5925.22</v>
      </c>
      <c r="E25" s="2"/>
      <c r="F25" s="19"/>
      <c r="G25" s="2"/>
      <c r="H25" s="2">
        <f>--4176.74</f>
        <v>4176.74</v>
      </c>
      <c r="I25" s="2"/>
      <c r="J25" s="19"/>
      <c r="K25" s="2"/>
      <c r="L25" s="2">
        <f t="shared" si="0"/>
        <v>1748.4800000000005</v>
      </c>
      <c r="M25" s="2"/>
      <c r="N25" s="19">
        <f t="shared" si="1"/>
        <v>0.41862313670470286</v>
      </c>
      <c r="O25" s="10"/>
      <c r="P25" s="2">
        <f>--55957.61</f>
        <v>55957.61</v>
      </c>
      <c r="Q25" s="2"/>
      <c r="R25" s="19"/>
      <c r="S25" s="2"/>
      <c r="T25" s="2">
        <f>--20524.35</f>
        <v>20524.349999999999</v>
      </c>
      <c r="U25" s="2"/>
      <c r="V25" s="19"/>
      <c r="W25" s="2"/>
      <c r="X25" s="2">
        <f t="shared" si="2"/>
        <v>35433.26</v>
      </c>
      <c r="Y25" s="2"/>
      <c r="Z25" s="19">
        <f t="shared" si="3"/>
        <v>1.7264010796931453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--133.97</f>
        <v>133.97</v>
      </c>
      <c r="E26" s="2"/>
      <c r="F26" s="19"/>
      <c r="G26" s="2"/>
      <c r="H26" s="2">
        <f>--85.95</f>
        <v>85.95</v>
      </c>
      <c r="I26" s="2"/>
      <c r="J26" s="19"/>
      <c r="K26" s="2"/>
      <c r="L26" s="2">
        <f t="shared" si="0"/>
        <v>48.019999999999996</v>
      </c>
      <c r="M26" s="2"/>
      <c r="N26" s="19">
        <f t="shared" si="1"/>
        <v>0.55869691681209999</v>
      </c>
      <c r="O26" s="10"/>
      <c r="P26" s="2">
        <f>--3479.14</f>
        <v>3479.14</v>
      </c>
      <c r="Q26" s="2"/>
      <c r="R26" s="19"/>
      <c r="S26" s="2"/>
      <c r="T26" s="2">
        <f>--2926.08</f>
        <v>2926.08</v>
      </c>
      <c r="U26" s="2"/>
      <c r="V26" s="19"/>
      <c r="W26" s="2"/>
      <c r="X26" s="2">
        <f t="shared" si="2"/>
        <v>553.05999999999995</v>
      </c>
      <c r="Y26" s="2"/>
      <c r="Z26" s="19">
        <f t="shared" si="3"/>
        <v>0.18901055336832895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>0</f>
        <v>0</v>
      </c>
      <c r="E27" s="2"/>
      <c r="F27" s="19"/>
      <c r="G27" s="2"/>
      <c r="H27" s="2">
        <f>--123.98</f>
        <v>123.98</v>
      </c>
      <c r="I27" s="2"/>
      <c r="J27" s="19"/>
      <c r="K27" s="2"/>
      <c r="L27" s="2">
        <f t="shared" si="0"/>
        <v>-123.98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--343.94</f>
        <v>343.94</v>
      </c>
      <c r="U27" s="2"/>
      <c r="V27" s="19"/>
      <c r="W27" s="2"/>
      <c r="X27" s="2">
        <f t="shared" si="2"/>
        <v>-343.94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>-79.99</f>
        <v>-79.989999999999995</v>
      </c>
      <c r="E28" s="2"/>
      <c r="F28" s="19"/>
      <c r="G28" s="2"/>
      <c r="H28" s="2">
        <f>-159</f>
        <v>-159</v>
      </c>
      <c r="I28" s="2"/>
      <c r="J28" s="19"/>
      <c r="K28" s="2"/>
      <c r="L28" s="2">
        <f t="shared" si="0"/>
        <v>79.010000000000005</v>
      </c>
      <c r="M28" s="2"/>
      <c r="N28" s="19">
        <f t="shared" si="1"/>
        <v>-0.49691823899371074</v>
      </c>
      <c r="O28" s="10"/>
      <c r="P28" s="2">
        <f>-14842.13</f>
        <v>-14842.13</v>
      </c>
      <c r="Q28" s="2"/>
      <c r="R28" s="19"/>
      <c r="S28" s="2"/>
      <c r="T28" s="2">
        <f>-7940.7</f>
        <v>-7940.7</v>
      </c>
      <c r="U28" s="2"/>
      <c r="V28" s="19"/>
      <c r="W28" s="2"/>
      <c r="X28" s="2">
        <f t="shared" si="2"/>
        <v>-6901.4299999999994</v>
      </c>
      <c r="Y28" s="2"/>
      <c r="Z28" s="19">
        <f t="shared" si="3"/>
        <v>0.86912111022957672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-25075.01</f>
        <v>-25075.01</v>
      </c>
      <c r="E29" s="2"/>
      <c r="F29" s="19"/>
      <c r="G29" s="2"/>
      <c r="H29" s="2">
        <f>-183</f>
        <v>-183</v>
      </c>
      <c r="I29" s="2"/>
      <c r="J29" s="19"/>
      <c r="K29" s="2"/>
      <c r="L29" s="2">
        <f t="shared" si="0"/>
        <v>-24892.01</v>
      </c>
      <c r="M29" s="2"/>
      <c r="N29" s="19">
        <f t="shared" si="1"/>
        <v>136.02191256830599</v>
      </c>
      <c r="O29" s="10"/>
      <c r="P29" s="2">
        <f>-240220.17</f>
        <v>-240220.17</v>
      </c>
      <c r="Q29" s="2"/>
      <c r="R29" s="19"/>
      <c r="S29" s="2"/>
      <c r="T29" s="2">
        <f>-215628.8</f>
        <v>-215628.79999999999</v>
      </c>
      <c r="U29" s="2"/>
      <c r="V29" s="19"/>
      <c r="W29" s="2"/>
      <c r="X29" s="2">
        <f t="shared" si="2"/>
        <v>-24591.370000000024</v>
      </c>
      <c r="Y29" s="2"/>
      <c r="Z29" s="19">
        <f t="shared" si="3"/>
        <v>0.11404492349815992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-181.97</f>
        <v>-181.97</v>
      </c>
      <c r="E30" s="2"/>
      <c r="F30" s="19"/>
      <c r="G30" s="2"/>
      <c r="H30" s="2">
        <f>-119</f>
        <v>-119</v>
      </c>
      <c r="I30" s="2"/>
      <c r="J30" s="19"/>
      <c r="K30" s="2"/>
      <c r="L30" s="2">
        <f t="shared" si="0"/>
        <v>-62.97</v>
      </c>
      <c r="M30" s="2"/>
      <c r="N30" s="19">
        <f t="shared" si="1"/>
        <v>0.52915966386554625</v>
      </c>
      <c r="O30" s="10"/>
      <c r="P30" s="2">
        <f>-4129.17</f>
        <v>-4129.17</v>
      </c>
      <c r="Q30" s="2"/>
      <c r="R30" s="19"/>
      <c r="S30" s="2"/>
      <c r="T30" s="2">
        <f>-6708.02</f>
        <v>-6708.02</v>
      </c>
      <c r="U30" s="2"/>
      <c r="V30" s="19"/>
      <c r="W30" s="2"/>
      <c r="X30" s="2">
        <f t="shared" si="2"/>
        <v>2578.8500000000004</v>
      </c>
      <c r="Y30" s="2"/>
      <c r="Z30" s="19">
        <f t="shared" si="3"/>
        <v>-0.38444280130351433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 t="shared" ref="D31:D37" si="5">0</f>
        <v>0</v>
      </c>
      <c r="E31" s="2"/>
      <c r="F31" s="19"/>
      <c r="G31" s="2"/>
      <c r="H31" s="2">
        <f t="shared" ref="H31:H33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si="5"/>
        <v>0</v>
      </c>
      <c r="E34" s="2"/>
      <c r="F34" s="19"/>
      <c r="G34" s="2"/>
      <c r="H34" s="2">
        <f>-149</f>
        <v>-149</v>
      </c>
      <c r="I34" s="2"/>
      <c r="J34" s="19"/>
      <c r="K34" s="2"/>
      <c r="L34" s="2">
        <f t="shared" si="0"/>
        <v>149</v>
      </c>
      <c r="M34" s="2"/>
      <c r="N34" s="19">
        <f t="shared" si="1"/>
        <v>-1</v>
      </c>
      <c r="O34" s="10"/>
      <c r="P34" s="2">
        <f>0</f>
        <v>0</v>
      </c>
      <c r="Q34" s="2"/>
      <c r="R34" s="19"/>
      <c r="S34" s="2"/>
      <c r="T34" s="2">
        <f>-152.99</f>
        <v>-152.99</v>
      </c>
      <c r="U34" s="2"/>
      <c r="V34" s="19"/>
      <c r="W34" s="2"/>
      <c r="X34" s="2">
        <f t="shared" si="2"/>
        <v>152.99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5"/>
        <v>0</v>
      </c>
      <c r="E35" s="2"/>
      <c r="F35" s="19"/>
      <c r="G35" s="2"/>
      <c r="H35" s="2">
        <f t="shared" ref="H35:H37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si="5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5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9" t="s">
        <v>256</v>
      </c>
      <c r="C39" s="11"/>
      <c r="D39" s="4">
        <f>SUM(OSRRefD16x_0)</f>
        <v>56555</v>
      </c>
      <c r="E39" s="4"/>
      <c r="F39" s="13">
        <f t="shared" ref="F39:F55" si="8">IF(D$12=0,0,D39/D$12)</f>
        <v>0.377585615226538</v>
      </c>
      <c r="G39" s="4"/>
      <c r="H39" s="4">
        <f>SUM(OSRRefH16x_0)</f>
        <v>89462.35</v>
      </c>
      <c r="I39" s="4"/>
      <c r="J39" s="13">
        <f t="shared" ref="J39:J55" si="9">IF(H$12=0,0,H39/H$12)</f>
        <v>0.93623257809137272</v>
      </c>
      <c r="K39" s="4"/>
      <c r="L39" s="4">
        <f t="shared" ref="L39:L55" si="10">+D39-H39</f>
        <v>-32907.350000000006</v>
      </c>
      <c r="M39" s="4"/>
      <c r="N39" s="13">
        <f t="shared" ref="N39:N55" si="11">IF(H39=0,0,L39/H39)</f>
        <v>-0.36783462540387107</v>
      </c>
      <c r="O39" s="11"/>
      <c r="P39" s="4">
        <f>SUM(OSRRefP16x_0)</f>
        <v>2290489.8400000003</v>
      </c>
      <c r="Q39" s="4"/>
      <c r="R39" s="13">
        <f t="shared" ref="R39:R55" si="12">IF(P$12=0,0,P39/P$12)</f>
        <v>0.89035273556795202</v>
      </c>
      <c r="S39" s="4"/>
      <c r="T39" s="4">
        <f>SUM(OSRRefT16x_0)</f>
        <v>2121756.5999999996</v>
      </c>
      <c r="U39" s="4"/>
      <c r="V39" s="13">
        <f t="shared" ref="V39:V55" si="13">IF(T$12=0,0,T39/T$12)</f>
        <v>0.87047159561248699</v>
      </c>
      <c r="W39" s="4"/>
      <c r="X39" s="4">
        <f t="shared" ref="X39:X55" si="14">+P39-T39</f>
        <v>168733.24000000069</v>
      </c>
      <c r="Y39" s="4"/>
      <c r="Z39" s="13">
        <f t="shared" ref="Z39:Z55" si="15">IF(T39=0,0,X39/T39)</f>
        <v>7.9525257515400544E-2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8"/>
        <v>0</v>
      </c>
      <c r="G40" s="2"/>
      <c r="H40" s="2"/>
      <c r="I40" s="2"/>
      <c r="J40" s="19">
        <f t="shared" si="9"/>
        <v>0</v>
      </c>
      <c r="K40" s="2"/>
      <c r="L40" s="2">
        <f t="shared" si="10"/>
        <v>0</v>
      </c>
      <c r="M40" s="2"/>
      <c r="N40" s="19">
        <f t="shared" si="11"/>
        <v>0</v>
      </c>
      <c r="O40" s="10"/>
      <c r="P40" s="2">
        <v>0</v>
      </c>
      <c r="Q40" s="2"/>
      <c r="R40" s="19">
        <f t="shared" si="12"/>
        <v>0</v>
      </c>
      <c r="S40" s="2"/>
      <c r="T40" s="2">
        <v>0</v>
      </c>
      <c r="U40" s="2"/>
      <c r="V40" s="19">
        <f t="shared" si="13"/>
        <v>0</v>
      </c>
      <c r="W40" s="2"/>
      <c r="X40" s="2">
        <f t="shared" si="14"/>
        <v>0</v>
      </c>
      <c r="Y40" s="2"/>
      <c r="Z40" s="19">
        <f t="shared" si="15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-28.91</v>
      </c>
      <c r="E41" s="2"/>
      <c r="F41" s="19">
        <f t="shared" si="8"/>
        <v>-1.9301565089203807E-4</v>
      </c>
      <c r="G41" s="2"/>
      <c r="H41" s="2">
        <v>1637.44</v>
      </c>
      <c r="I41" s="2"/>
      <c r="J41" s="19">
        <f t="shared" si="9"/>
        <v>1.7135975890080434E-2</v>
      </c>
      <c r="K41" s="2"/>
      <c r="L41" s="2">
        <f t="shared" si="10"/>
        <v>-1666.3500000000001</v>
      </c>
      <c r="M41" s="2"/>
      <c r="N41" s="19">
        <f t="shared" si="11"/>
        <v>-1.0176556087551301</v>
      </c>
      <c r="O41" s="10"/>
      <c r="P41" s="2">
        <v>32419.46</v>
      </c>
      <c r="Q41" s="2"/>
      <c r="R41" s="19">
        <f t="shared" si="12"/>
        <v>1.2602000843904984E-2</v>
      </c>
      <c r="S41" s="2"/>
      <c r="T41" s="2">
        <v>258461.58</v>
      </c>
      <c r="U41" s="2"/>
      <c r="V41" s="19">
        <f t="shared" si="13"/>
        <v>0.10603641527361078</v>
      </c>
      <c r="W41" s="2"/>
      <c r="X41" s="2">
        <f t="shared" si="14"/>
        <v>-226042.12</v>
      </c>
      <c r="Y41" s="2"/>
      <c r="Z41" s="19">
        <f t="shared" si="15"/>
        <v>-0.87456758563497139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129194.07</v>
      </c>
      <c r="E42" s="2"/>
      <c r="F42" s="19">
        <f t="shared" si="8"/>
        <v>0.86255543107718891</v>
      </c>
      <c r="G42" s="2"/>
      <c r="H42" s="2">
        <v>140818.03</v>
      </c>
      <c r="I42" s="2"/>
      <c r="J42" s="19">
        <f t="shared" si="9"/>
        <v>1.4736749847131028</v>
      </c>
      <c r="K42" s="2"/>
      <c r="L42" s="2">
        <f t="shared" si="10"/>
        <v>-11623.959999999992</v>
      </c>
      <c r="M42" s="2"/>
      <c r="N42" s="19">
        <f t="shared" si="11"/>
        <v>-8.2545963751942786E-2</v>
      </c>
      <c r="O42" s="10"/>
      <c r="P42" s="2">
        <v>1802534.87</v>
      </c>
      <c r="Q42" s="2"/>
      <c r="R42" s="19">
        <f t="shared" si="12"/>
        <v>0.70067625904034692</v>
      </c>
      <c r="S42" s="2"/>
      <c r="T42" s="2">
        <v>1641300.3</v>
      </c>
      <c r="U42" s="2"/>
      <c r="V42" s="19">
        <f t="shared" si="13"/>
        <v>0.67335965445812862</v>
      </c>
      <c r="W42" s="2"/>
      <c r="X42" s="2">
        <f t="shared" si="14"/>
        <v>161234.57000000007</v>
      </c>
      <c r="Y42" s="2"/>
      <c r="Z42" s="19">
        <f t="shared" si="15"/>
        <v>9.823587432476559E-2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7514.45</v>
      </c>
      <c r="E43" s="2"/>
      <c r="F43" s="19">
        <f t="shared" si="8"/>
        <v>5.0169714902998118E-2</v>
      </c>
      <c r="G43" s="2"/>
      <c r="H43" s="2">
        <v>14533.49</v>
      </c>
      <c r="I43" s="2"/>
      <c r="J43" s="19">
        <f t="shared" si="9"/>
        <v>0.15209444879734529</v>
      </c>
      <c r="K43" s="2"/>
      <c r="L43" s="2">
        <f t="shared" si="10"/>
        <v>-7019.04</v>
      </c>
      <c r="M43" s="2"/>
      <c r="N43" s="19">
        <f t="shared" si="11"/>
        <v>-0.48295626171002287</v>
      </c>
      <c r="O43" s="10"/>
      <c r="P43" s="2">
        <v>127029.94</v>
      </c>
      <c r="Q43" s="2"/>
      <c r="R43" s="19">
        <f t="shared" si="12"/>
        <v>4.9378719173027545E-2</v>
      </c>
      <c r="S43" s="2"/>
      <c r="T43" s="2">
        <v>94550.76</v>
      </c>
      <c r="U43" s="2"/>
      <c r="V43" s="19">
        <f t="shared" si="13"/>
        <v>3.8790382894802029E-2</v>
      </c>
      <c r="W43" s="2"/>
      <c r="X43" s="2">
        <f t="shared" si="14"/>
        <v>32479.180000000008</v>
      </c>
      <c r="Y43" s="2"/>
      <c r="Z43" s="19">
        <f t="shared" si="15"/>
        <v>0.34351051223702495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0"/>
      <c r="P44" s="2"/>
      <c r="Q44" s="2"/>
      <c r="R44" s="19">
        <f t="shared" si="12"/>
        <v>0</v>
      </c>
      <c r="S44" s="2"/>
      <c r="T44" s="2">
        <v>2728</v>
      </c>
      <c r="U44" s="2"/>
      <c r="V44" s="19">
        <f t="shared" si="13"/>
        <v>1.1191889365777699E-3</v>
      </c>
      <c r="W44" s="2"/>
      <c r="X44" s="2">
        <f t="shared" si="14"/>
        <v>-2728</v>
      </c>
      <c r="Y44" s="2"/>
      <c r="Z44" s="19">
        <f t="shared" si="15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8375.49</v>
      </c>
      <c r="E45" s="2"/>
      <c r="F45" s="19">
        <f t="shared" si="8"/>
        <v>5.5918389965055548E-2</v>
      </c>
      <c r="G45" s="2"/>
      <c r="H45" s="2">
        <v>3661.64</v>
      </c>
      <c r="I45" s="2"/>
      <c r="J45" s="19">
        <f t="shared" si="9"/>
        <v>3.8319434457539887E-2</v>
      </c>
      <c r="K45" s="2"/>
      <c r="L45" s="2">
        <f t="shared" si="10"/>
        <v>4713.8500000000004</v>
      </c>
      <c r="M45" s="2"/>
      <c r="N45" s="19">
        <f t="shared" si="11"/>
        <v>1.2873603084956469</v>
      </c>
      <c r="O45" s="10"/>
      <c r="P45" s="2">
        <v>46286.37</v>
      </c>
      <c r="Q45" s="2"/>
      <c r="R45" s="19">
        <f t="shared" si="12"/>
        <v>1.7992306898427624E-2</v>
      </c>
      <c r="S45" s="2"/>
      <c r="T45" s="2">
        <v>15328.14</v>
      </c>
      <c r="U45" s="2"/>
      <c r="V45" s="19">
        <f t="shared" si="13"/>
        <v>6.2885207867724264E-3</v>
      </c>
      <c r="W45" s="2"/>
      <c r="X45" s="2">
        <f t="shared" si="14"/>
        <v>30958.230000000003</v>
      </c>
      <c r="Y45" s="2"/>
      <c r="Z45" s="19">
        <f t="shared" si="15"/>
        <v>2.0196990632914367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83.62</v>
      </c>
      <c r="E46" s="2"/>
      <c r="F46" s="19">
        <f t="shared" si="8"/>
        <v>5.5828324896548681E-4</v>
      </c>
      <c r="G46" s="2"/>
      <c r="H46" s="2">
        <v>-67.5</v>
      </c>
      <c r="I46" s="2"/>
      <c r="J46" s="19">
        <f t="shared" si="9"/>
        <v>-7.0639435495677963E-4</v>
      </c>
      <c r="K46" s="2"/>
      <c r="L46" s="2">
        <f t="shared" si="10"/>
        <v>151.12</v>
      </c>
      <c r="M46" s="2"/>
      <c r="N46" s="19">
        <f t="shared" si="11"/>
        <v>-2.2388148148148148</v>
      </c>
      <c r="O46" s="10"/>
      <c r="P46" s="2">
        <v>23763.01</v>
      </c>
      <c r="Q46" s="2"/>
      <c r="R46" s="19">
        <f t="shared" si="12"/>
        <v>9.2370900710166855E-3</v>
      </c>
      <c r="S46" s="2"/>
      <c r="T46" s="2">
        <v>29883.05</v>
      </c>
      <c r="U46" s="2"/>
      <c r="V46" s="19">
        <f t="shared" si="13"/>
        <v>1.2259816331085164E-2</v>
      </c>
      <c r="W46" s="2"/>
      <c r="X46" s="2">
        <f t="shared" si="14"/>
        <v>-6120.0400000000009</v>
      </c>
      <c r="Y46" s="2"/>
      <c r="Z46" s="19">
        <f t="shared" si="15"/>
        <v>-0.20479971087288618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0"/>
      <c r="P47" s="2"/>
      <c r="Q47" s="2"/>
      <c r="R47" s="19">
        <f t="shared" si="12"/>
        <v>0</v>
      </c>
      <c r="S47" s="2"/>
      <c r="T47" s="2">
        <v>95.65</v>
      </c>
      <c r="U47" s="2"/>
      <c r="V47" s="19">
        <f t="shared" si="13"/>
        <v>3.9241356958821008E-5</v>
      </c>
      <c r="W47" s="2"/>
      <c r="X47" s="2">
        <f t="shared" si="14"/>
        <v>-95.65</v>
      </c>
      <c r="Y47" s="2"/>
      <c r="Z47" s="19">
        <f t="shared" si="15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-145158.72</v>
      </c>
      <c r="E48" s="2"/>
      <c r="F48" s="19">
        <f t="shared" si="8"/>
        <v>-0.96914233218454193</v>
      </c>
      <c r="G48" s="2"/>
      <c r="H48" s="2">
        <v>-160624</v>
      </c>
      <c r="I48" s="2"/>
      <c r="J48" s="19">
        <f t="shared" si="9"/>
        <v>-1.6809464721567078</v>
      </c>
      <c r="K48" s="2"/>
      <c r="L48" s="2">
        <f t="shared" si="10"/>
        <v>15465.279999999999</v>
      </c>
      <c r="M48" s="2"/>
      <c r="N48" s="19">
        <f t="shared" si="11"/>
        <v>-9.6282498256798479E-2</v>
      </c>
      <c r="O48" s="10"/>
      <c r="P48" s="2">
        <v>-2028539.8</v>
      </c>
      <c r="Q48" s="2"/>
      <c r="R48" s="19">
        <f t="shared" si="12"/>
        <v>-0.78852825653156622</v>
      </c>
      <c r="S48" s="2"/>
      <c r="T48" s="2">
        <v>-2043044</v>
      </c>
      <c r="U48" s="2"/>
      <c r="V48" s="19">
        <f t="shared" si="13"/>
        <v>-0.83817897424545218</v>
      </c>
      <c r="W48" s="2"/>
      <c r="X48" s="2">
        <f t="shared" si="14"/>
        <v>14504.199999999953</v>
      </c>
      <c r="Y48" s="2"/>
      <c r="Z48" s="19">
        <f t="shared" si="15"/>
        <v>-7.099308678618744E-3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56555</v>
      </c>
      <c r="E49" s="2"/>
      <c r="F49" s="19">
        <f t="shared" si="8"/>
        <v>0.377585615226538</v>
      </c>
      <c r="G49" s="2"/>
      <c r="H49" s="2">
        <v>89462</v>
      </c>
      <c r="I49" s="2"/>
      <c r="J49" s="19">
        <f t="shared" si="9"/>
        <v>0.93622891530582841</v>
      </c>
      <c r="K49" s="2"/>
      <c r="L49" s="2">
        <f t="shared" si="10"/>
        <v>-32907</v>
      </c>
      <c r="M49" s="2"/>
      <c r="N49" s="19">
        <f t="shared" si="11"/>
        <v>-0.36783215219869891</v>
      </c>
      <c r="O49" s="10"/>
      <c r="P49" s="2">
        <v>2286544</v>
      </c>
      <c r="Q49" s="2"/>
      <c r="R49" s="19">
        <f t="shared" si="12"/>
        <v>0.88881891979773509</v>
      </c>
      <c r="S49" s="2"/>
      <c r="T49" s="2">
        <v>2121754</v>
      </c>
      <c r="U49" s="2"/>
      <c r="V49" s="19">
        <f t="shared" si="13"/>
        <v>0.87047052893681442</v>
      </c>
      <c r="W49" s="2"/>
      <c r="X49" s="2">
        <f t="shared" si="14"/>
        <v>164790</v>
      </c>
      <c r="Y49" s="2"/>
      <c r="Z49" s="19">
        <f t="shared" si="15"/>
        <v>7.766687372805707E-2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>
        <v>0</v>
      </c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0"/>
      <c r="P50" s="2">
        <v>0</v>
      </c>
      <c r="Q50" s="2"/>
      <c r="R50" s="19">
        <f t="shared" si="12"/>
        <v>0</v>
      </c>
      <c r="S50" s="2"/>
      <c r="T50" s="2">
        <v>0</v>
      </c>
      <c r="U50" s="2"/>
      <c r="V50" s="19">
        <f t="shared" si="13"/>
        <v>0</v>
      </c>
      <c r="W50" s="2"/>
      <c r="X50" s="2">
        <f t="shared" si="14"/>
        <v>0</v>
      </c>
      <c r="Y50" s="2"/>
      <c r="Z50" s="19">
        <f t="shared" si="15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8"/>
        <v>0</v>
      </c>
      <c r="G51" s="2"/>
      <c r="H51" s="2">
        <v>31.25</v>
      </c>
      <c r="I51" s="2"/>
      <c r="J51" s="19">
        <f t="shared" si="9"/>
        <v>3.2703442359110167E-4</v>
      </c>
      <c r="K51" s="2"/>
      <c r="L51" s="2">
        <f t="shared" si="10"/>
        <v>-31.25</v>
      </c>
      <c r="M51" s="2"/>
      <c r="N51" s="19">
        <f t="shared" si="11"/>
        <v>-1</v>
      </c>
      <c r="O51" s="10"/>
      <c r="P51" s="2">
        <v>31</v>
      </c>
      <c r="Q51" s="2"/>
      <c r="R51" s="19">
        <f t="shared" si="12"/>
        <v>1.2050232365408139E-5</v>
      </c>
      <c r="S51" s="2"/>
      <c r="T51" s="2">
        <v>137</v>
      </c>
      <c r="U51" s="2"/>
      <c r="V51" s="19">
        <f t="shared" si="13"/>
        <v>5.6205602753355753E-5</v>
      </c>
      <c r="W51" s="2"/>
      <c r="X51" s="2">
        <f t="shared" si="14"/>
        <v>-106</v>
      </c>
      <c r="Y51" s="2"/>
      <c r="Z51" s="19">
        <f t="shared" si="15"/>
        <v>-0.77372262773722633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>
        <v>20</v>
      </c>
      <c r="E52" s="2"/>
      <c r="F52" s="19">
        <f t="shared" si="8"/>
        <v>1.3352864122589974E-4</v>
      </c>
      <c r="G52" s="2"/>
      <c r="H52" s="2"/>
      <c r="I52" s="2"/>
      <c r="J52" s="19">
        <f t="shared" si="9"/>
        <v>0</v>
      </c>
      <c r="K52" s="2"/>
      <c r="L52" s="2">
        <f t="shared" si="10"/>
        <v>20</v>
      </c>
      <c r="M52" s="2"/>
      <c r="N52" s="19">
        <f t="shared" si="11"/>
        <v>0</v>
      </c>
      <c r="O52" s="10"/>
      <c r="P52" s="2">
        <v>145</v>
      </c>
      <c r="Q52" s="2"/>
      <c r="R52" s="19">
        <f t="shared" si="12"/>
        <v>5.6363990096263875E-5</v>
      </c>
      <c r="S52" s="2"/>
      <c r="T52" s="2">
        <v>154.30000000000001</v>
      </c>
      <c r="U52" s="2"/>
      <c r="V52" s="19">
        <f t="shared" si="13"/>
        <v>6.330309857549484E-5</v>
      </c>
      <c r="W52" s="2"/>
      <c r="X52" s="2">
        <f t="shared" si="14"/>
        <v>-9.3000000000000114</v>
      </c>
      <c r="Y52" s="2"/>
      <c r="Z52" s="19">
        <f t="shared" si="15"/>
        <v>-6.0272197018794625E-2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8"/>
        <v>0</v>
      </c>
      <c r="G53" s="2"/>
      <c r="H53" s="2"/>
      <c r="I53" s="2"/>
      <c r="J53" s="19">
        <f t="shared" si="9"/>
        <v>0</v>
      </c>
      <c r="K53" s="2"/>
      <c r="L53" s="2">
        <f t="shared" si="10"/>
        <v>0</v>
      </c>
      <c r="M53" s="2"/>
      <c r="N53" s="19">
        <f t="shared" si="11"/>
        <v>0</v>
      </c>
      <c r="O53" s="10"/>
      <c r="P53" s="2">
        <v>242.46</v>
      </c>
      <c r="Q53" s="2"/>
      <c r="R53" s="19">
        <f t="shared" si="12"/>
        <v>9.4248365784414757E-5</v>
      </c>
      <c r="S53" s="2"/>
      <c r="T53" s="2">
        <v>96.55</v>
      </c>
      <c r="U53" s="2"/>
      <c r="V53" s="19">
        <f t="shared" si="13"/>
        <v>3.9610590845521877E-5</v>
      </c>
      <c r="W53" s="2"/>
      <c r="X53" s="2">
        <f t="shared" si="14"/>
        <v>145.91000000000003</v>
      </c>
      <c r="Y53" s="2"/>
      <c r="Z53" s="19">
        <f t="shared" si="15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8"/>
        <v>0</v>
      </c>
      <c r="G54" s="2"/>
      <c r="H54" s="2">
        <v>10</v>
      </c>
      <c r="I54" s="2"/>
      <c r="J54" s="19">
        <f t="shared" si="9"/>
        <v>1.0465101554915254E-4</v>
      </c>
      <c r="K54" s="2"/>
      <c r="L54" s="2">
        <f t="shared" si="10"/>
        <v>-10</v>
      </c>
      <c r="M54" s="2"/>
      <c r="N54" s="19">
        <f t="shared" si="11"/>
        <v>-1</v>
      </c>
      <c r="O54" s="10"/>
      <c r="P54" s="2">
        <v>9.41</v>
      </c>
      <c r="Q54" s="2"/>
      <c r="R54" s="19">
        <f t="shared" si="12"/>
        <v>3.6578285986609865E-6</v>
      </c>
      <c r="S54" s="2"/>
      <c r="T54" s="2">
        <v>10</v>
      </c>
      <c r="U54" s="2"/>
      <c r="V54" s="19">
        <f t="shared" si="13"/>
        <v>4.1025987411208579E-6</v>
      </c>
      <c r="W54" s="2"/>
      <c r="X54" s="2">
        <f t="shared" si="14"/>
        <v>-0.58999999999999986</v>
      </c>
      <c r="Y54" s="2"/>
      <c r="Z54" s="19">
        <f t="shared" si="15"/>
        <v>-5.8999999999999983E-2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0"/>
      <c r="P55" s="2">
        <v>24.12</v>
      </c>
      <c r="Q55" s="2"/>
      <c r="R55" s="19">
        <f t="shared" si="12"/>
        <v>9.3758582146336879E-6</v>
      </c>
      <c r="S55" s="2"/>
      <c r="T55" s="2">
        <v>301.27</v>
      </c>
      <c r="U55" s="2"/>
      <c r="V55" s="19">
        <f t="shared" si="13"/>
        <v>1.2359899227374808E-4</v>
      </c>
      <c r="W55" s="2"/>
      <c r="X55" s="2">
        <f t="shared" si="14"/>
        <v>-277.14999999999998</v>
      </c>
      <c r="Y55" s="2"/>
      <c r="Z55" s="19">
        <f t="shared" si="15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8" t="s">
        <v>107</v>
      </c>
      <c r="C57" s="28"/>
      <c r="D57" s="20">
        <f>D12-D39</f>
        <v>93225.600000000006</v>
      </c>
      <c r="E57" s="14"/>
      <c r="F57" s="21">
        <f>IF(D$12=0,0,D57/D$12)</f>
        <v>0.622414384773462</v>
      </c>
      <c r="G57" s="14"/>
      <c r="H57" s="20">
        <f>H12-H39</f>
        <v>6093.3399999999965</v>
      </c>
      <c r="I57" s="14"/>
      <c r="J57" s="21">
        <f>IF(H$12=0,0,H57/H$12)</f>
        <v>6.3767421908627275E-2</v>
      </c>
      <c r="K57" s="15"/>
      <c r="L57" s="20">
        <f>+D57-H57</f>
        <v>87132.260000000009</v>
      </c>
      <c r="M57" s="15"/>
      <c r="N57" s="21">
        <f>IF(H57=0,0,L57/H57)</f>
        <v>14.299589387757791</v>
      </c>
      <c r="O57" s="29"/>
      <c r="P57" s="20">
        <f>P12-P39</f>
        <v>282074.65999999922</v>
      </c>
      <c r="Q57" s="14"/>
      <c r="R57" s="21">
        <f>IF(P$12=0,0,P57/P$12)</f>
        <v>0.10964726443204798</v>
      </c>
      <c r="S57" s="14"/>
      <c r="T57" s="20">
        <f>T12-T39</f>
        <v>315722.82000000076</v>
      </c>
      <c r="U57" s="14"/>
      <c r="V57" s="21">
        <f>IF(T$12=0,0,T57/T$12)</f>
        <v>0.12952840438751304</v>
      </c>
      <c r="W57" s="15"/>
      <c r="X57" s="20">
        <f>+P57-T57</f>
        <v>-33648.160000001546</v>
      </c>
      <c r="Y57" s="15"/>
      <c r="Z57" s="21">
        <f>IF(T57=0,0,X57/T57)</f>
        <v>-0.10657500145222783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294</v>
      </c>
      <c r="C59" s="11"/>
      <c r="D59" s="22">
        <f>SUM(OSRRefD22x_0)</f>
        <v>13748.640000000001</v>
      </c>
      <c r="E59" s="22"/>
      <c r="F59" s="32">
        <f t="shared" ref="F59:F69" si="16">IF(D$12=0,0,D59/D$12)</f>
        <v>9.179186089520272E-2</v>
      </c>
      <c r="G59" s="22"/>
      <c r="H59" s="22">
        <f>SUM(OSRRefH22x_0)</f>
        <v>12120.14</v>
      </c>
      <c r="I59" s="22"/>
      <c r="J59" s="32">
        <f t="shared" ref="J59:J69" si="17">IF(H$12=0,0,H59/H$12)</f>
        <v>0.12683849595979055</v>
      </c>
      <c r="K59" s="4"/>
      <c r="L59" s="22">
        <f t="shared" ref="L59:L69" si="18">+D59-H59</f>
        <v>1628.5000000000018</v>
      </c>
      <c r="M59" s="4"/>
      <c r="N59" s="32">
        <f t="shared" ref="N59:N69" si="19">IF(H59=0,0,L59/H59)</f>
        <v>0.13436313441923953</v>
      </c>
      <c r="O59" s="11"/>
      <c r="P59" s="22">
        <f>SUM(OSRRefP22x_0)</f>
        <v>151444.41999999998</v>
      </c>
      <c r="Q59" s="22"/>
      <c r="R59" s="32">
        <f t="shared" ref="R59:R69" si="20">IF(P$12=0,0,P59/P$12)</f>
        <v>5.8869046820789146E-2</v>
      </c>
      <c r="S59" s="22"/>
      <c r="T59" s="22">
        <f>SUM(OSRRefT22x_0)</f>
        <v>210123.29000000007</v>
      </c>
      <c r="U59" s="22"/>
      <c r="V59" s="32">
        <f t="shared" ref="V59:V69" si="21">IF(T$12=0,0,T59/T$12)</f>
        <v>8.6205154503417314E-2</v>
      </c>
      <c r="W59" s="4"/>
      <c r="X59" s="22">
        <f t="shared" ref="X59:X69" si="22">+P59-T59</f>
        <v>-58678.870000000083</v>
      </c>
      <c r="Y59" s="4"/>
      <c r="Z59" s="32">
        <f t="shared" ref="Z59:Z69" si="23">IF(T59=0,0,X59/T59)</f>
        <v>-0.27925923870695185</v>
      </c>
    </row>
    <row r="60" spans="1:26" s="26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2910.57</v>
      </c>
      <c r="E60" s="1"/>
      <c r="F60" s="5">
        <f t="shared" si="16"/>
        <v>1.9432222864643352E-2</v>
      </c>
      <c r="G60" s="1"/>
      <c r="H60" s="1">
        <f>SUM(OSRRefH22_0x_0)</f>
        <v>2481.5900000000006</v>
      </c>
      <c r="I60" s="1"/>
      <c r="J60" s="5">
        <f t="shared" si="17"/>
        <v>2.5970091367662151E-2</v>
      </c>
      <c r="K60" s="1"/>
      <c r="L60" s="1">
        <f t="shared" si="18"/>
        <v>428.97999999999956</v>
      </c>
      <c r="M60" s="1"/>
      <c r="N60" s="5">
        <f t="shared" si="19"/>
        <v>0.17286497769575129</v>
      </c>
      <c r="O60" s="12"/>
      <c r="P60" s="1">
        <f>SUM(OSRRefP22_0x_0)</f>
        <v>32489.070000000003</v>
      </c>
      <c r="Q60" s="1"/>
      <c r="R60" s="5">
        <f t="shared" si="20"/>
        <v>1.2629059446322925E-2</v>
      </c>
      <c r="S60" s="1"/>
      <c r="T60" s="1">
        <f>SUM(OSRRefT22_0x_0)</f>
        <v>26890.37</v>
      </c>
      <c r="U60" s="1"/>
      <c r="V60" s="5">
        <f t="shared" si="21"/>
        <v>1.1032039811027407E-2</v>
      </c>
      <c r="W60" s="1"/>
      <c r="X60" s="1">
        <f t="shared" si="22"/>
        <v>5598.7000000000044</v>
      </c>
      <c r="Y60" s="1"/>
      <c r="Z60" s="5">
        <f t="shared" si="23"/>
        <v>0.20820464723988569</v>
      </c>
    </row>
    <row r="61" spans="1:26" s="23" customFormat="1" hidden="1" outlineLevel="2" x14ac:dyDescent="0.25">
      <c r="A61" s="27"/>
      <c r="B61" s="10" t="str">
        <f>CONCATENATE("          ", "6111", " - ", "F.I.C.A.")</f>
        <v xml:space="preserve">          6111 - F.I.C.A.</v>
      </c>
      <c r="C61" s="10"/>
      <c r="D61" s="6">
        <v>523.37</v>
      </c>
      <c r="E61" s="2"/>
      <c r="F61" s="7">
        <f t="shared" si="16"/>
        <v>3.4942442479199576E-3</v>
      </c>
      <c r="G61" s="2"/>
      <c r="H61" s="6">
        <v>411.12</v>
      </c>
      <c r="I61" s="2"/>
      <c r="J61" s="7">
        <f t="shared" si="17"/>
        <v>4.3024125512567592E-3</v>
      </c>
      <c r="K61" s="2"/>
      <c r="L61" s="6">
        <f t="shared" si="18"/>
        <v>112.25</v>
      </c>
      <c r="M61" s="2"/>
      <c r="N61" s="7">
        <f t="shared" si="19"/>
        <v>0.27303463708892778</v>
      </c>
      <c r="O61" s="10"/>
      <c r="P61" s="6">
        <v>5937.2</v>
      </c>
      <c r="Q61" s="2"/>
      <c r="R61" s="7">
        <f t="shared" si="20"/>
        <v>2.3078915999968129E-3</v>
      </c>
      <c r="S61" s="2"/>
      <c r="T61" s="6">
        <v>7614.51</v>
      </c>
      <c r="U61" s="2"/>
      <c r="V61" s="7">
        <f t="shared" si="21"/>
        <v>3.1239279140252182E-3</v>
      </c>
      <c r="W61" s="2"/>
      <c r="X61" s="6">
        <f t="shared" si="22"/>
        <v>-1677.3100000000004</v>
      </c>
      <c r="Y61" s="2"/>
      <c r="Z61" s="7">
        <f t="shared" si="23"/>
        <v>-0.22027812689194712</v>
      </c>
    </row>
    <row r="62" spans="1:26" s="23" customFormat="1" hidden="1" outlineLevel="2" x14ac:dyDescent="0.25">
      <c r="A62" s="27"/>
      <c r="B62" s="10" t="str">
        <f>CONCATENATE("          ", "6112", " - ", "COMPENSATION INSURANCE")</f>
        <v xml:space="preserve">          6112 - COMPENSATION INSURANCE</v>
      </c>
      <c r="C62" s="10"/>
      <c r="D62" s="6">
        <v>200.85</v>
      </c>
      <c r="E62" s="2"/>
      <c r="F62" s="7">
        <f t="shared" si="16"/>
        <v>1.3409613795110982E-3</v>
      </c>
      <c r="G62" s="2"/>
      <c r="H62" s="6">
        <v>78.989999999999995</v>
      </c>
      <c r="I62" s="2"/>
      <c r="J62" s="7">
        <f t="shared" si="17"/>
        <v>8.2663837182275584E-4</v>
      </c>
      <c r="K62" s="2"/>
      <c r="L62" s="6">
        <f t="shared" si="18"/>
        <v>121.86</v>
      </c>
      <c r="M62" s="2"/>
      <c r="N62" s="7">
        <f t="shared" si="19"/>
        <v>1.5427269274591722</v>
      </c>
      <c r="O62" s="10"/>
      <c r="P62" s="6">
        <v>1735.28</v>
      </c>
      <c r="Q62" s="2"/>
      <c r="R62" s="7">
        <f t="shared" si="20"/>
        <v>6.7453313609823983E-4</v>
      </c>
      <c r="S62" s="2"/>
      <c r="T62" s="6">
        <v>1995.7</v>
      </c>
      <c r="U62" s="2"/>
      <c r="V62" s="7">
        <f t="shared" si="21"/>
        <v>8.1875563076548954E-4</v>
      </c>
      <c r="W62" s="2"/>
      <c r="X62" s="6">
        <f t="shared" si="22"/>
        <v>-260.42000000000007</v>
      </c>
      <c r="Y62" s="2"/>
      <c r="Z62" s="7">
        <f t="shared" si="23"/>
        <v>-0.13049055469258911</v>
      </c>
    </row>
    <row r="63" spans="1:26" s="23" customFormat="1" hidden="1" outlineLevel="2" x14ac:dyDescent="0.25">
      <c r="A63" s="27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6"/>
        <v>7.035957927795722E-3</v>
      </c>
      <c r="G63" s="2"/>
      <c r="H63" s="6">
        <v>1035.69</v>
      </c>
      <c r="I63" s="2"/>
      <c r="J63" s="7">
        <f t="shared" si="17"/>
        <v>1.0838601029410181E-2</v>
      </c>
      <c r="K63" s="2"/>
      <c r="L63" s="6">
        <f t="shared" si="18"/>
        <v>18.159999999999854</v>
      </c>
      <c r="M63" s="2"/>
      <c r="N63" s="7">
        <f t="shared" si="19"/>
        <v>1.7534204250306419E-2</v>
      </c>
      <c r="O63" s="10"/>
      <c r="P63" s="6">
        <v>11484.03</v>
      </c>
      <c r="Q63" s="2"/>
      <c r="R63" s="7">
        <f t="shared" si="20"/>
        <v>4.4640396771392912E-3</v>
      </c>
      <c r="S63" s="2"/>
      <c r="T63" s="6">
        <v>12591.69</v>
      </c>
      <c r="U63" s="2"/>
      <c r="V63" s="7">
        <f t="shared" si="21"/>
        <v>5.1658651542584094E-3</v>
      </c>
      <c r="W63" s="2"/>
      <c r="X63" s="6">
        <f t="shared" si="22"/>
        <v>-1107.6599999999999</v>
      </c>
      <c r="Y63" s="2"/>
      <c r="Z63" s="7">
        <f t="shared" si="23"/>
        <v>-8.7967540496946786E-2</v>
      </c>
    </row>
    <row r="64" spans="1:26" s="23" customFormat="1" hidden="1" outlineLevel="2" x14ac:dyDescent="0.25">
      <c r="A64" s="27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28.23</v>
      </c>
      <c r="E64" s="2"/>
      <c r="F64" s="7">
        <f t="shared" si="16"/>
        <v>1.8847567709035748E-4</v>
      </c>
      <c r="G64" s="2"/>
      <c r="H64" s="6">
        <v>19.559999999999999</v>
      </c>
      <c r="I64" s="2"/>
      <c r="J64" s="7">
        <f t="shared" si="17"/>
        <v>2.0469738641414235E-4</v>
      </c>
      <c r="K64" s="2"/>
      <c r="L64" s="6">
        <f t="shared" si="18"/>
        <v>8.6700000000000017</v>
      </c>
      <c r="M64" s="2"/>
      <c r="N64" s="7">
        <f t="shared" si="19"/>
        <v>0.44325153374233139</v>
      </c>
      <c r="O64" s="10"/>
      <c r="P64" s="6">
        <v>258.58</v>
      </c>
      <c r="Q64" s="2"/>
      <c r="R64" s="7">
        <f t="shared" si="20"/>
        <v>1.0051448661442698E-4</v>
      </c>
      <c r="S64" s="2"/>
      <c r="T64" s="6">
        <v>322.33</v>
      </c>
      <c r="U64" s="2"/>
      <c r="V64" s="7">
        <f t="shared" si="21"/>
        <v>1.3223906522254861E-4</v>
      </c>
      <c r="W64" s="2"/>
      <c r="X64" s="6">
        <f t="shared" si="22"/>
        <v>-63.75</v>
      </c>
      <c r="Y64" s="2"/>
      <c r="Z64" s="7">
        <f t="shared" si="23"/>
        <v>-0.1977786740297211</v>
      </c>
    </row>
    <row r="65" spans="1:26" s="23" customFormat="1" hidden="1" outlineLevel="2" x14ac:dyDescent="0.25">
      <c r="A65" s="27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6"/>
        <v>1.1778561442536617E-3</v>
      </c>
      <c r="G65" s="2"/>
      <c r="H65" s="6">
        <v>159.41999999999999</v>
      </c>
      <c r="I65" s="2"/>
      <c r="J65" s="7">
        <f t="shared" si="17"/>
        <v>1.6683464898845897E-3</v>
      </c>
      <c r="K65" s="2"/>
      <c r="L65" s="6">
        <f t="shared" si="18"/>
        <v>17</v>
      </c>
      <c r="M65" s="2"/>
      <c r="N65" s="7">
        <f t="shared" si="19"/>
        <v>0.10663655752101368</v>
      </c>
      <c r="O65" s="10"/>
      <c r="P65" s="6">
        <v>2117.04</v>
      </c>
      <c r="Q65" s="2"/>
      <c r="R65" s="7">
        <f t="shared" si="20"/>
        <v>8.2292980409237571E-4</v>
      </c>
      <c r="S65" s="2"/>
      <c r="T65" s="6">
        <v>2648.28</v>
      </c>
      <c r="U65" s="2"/>
      <c r="V65" s="7">
        <f t="shared" si="21"/>
        <v>1.0864830194135546E-3</v>
      </c>
      <c r="W65" s="2"/>
      <c r="X65" s="6">
        <f t="shared" si="22"/>
        <v>-531.24000000000024</v>
      </c>
      <c r="Y65" s="2"/>
      <c r="Z65" s="7">
        <f t="shared" si="23"/>
        <v>-0.20059812406543123</v>
      </c>
    </row>
    <row r="66" spans="1:26" s="23" customFormat="1" hidden="1" outlineLevel="2" x14ac:dyDescent="0.25">
      <c r="A66" s="27"/>
      <c r="B66" s="10" t="str">
        <f>CONCATENATE("          ", "6117", " - ", "RETIREMENT STAFF HOURLY")</f>
        <v xml:space="preserve">          6117 - RETIREMENT STAFF HOURLY</v>
      </c>
      <c r="C66" s="10"/>
      <c r="D66" s="6">
        <v>176.79</v>
      </c>
      <c r="E66" s="2"/>
      <c r="F66" s="7">
        <f t="shared" si="16"/>
        <v>1.1803264241163408E-3</v>
      </c>
      <c r="G66" s="2"/>
      <c r="H66" s="6">
        <v>130.25</v>
      </c>
      <c r="I66" s="2"/>
      <c r="J66" s="7">
        <f t="shared" si="17"/>
        <v>1.3630794775277117E-3</v>
      </c>
      <c r="K66" s="2"/>
      <c r="L66" s="6">
        <f t="shared" si="18"/>
        <v>46.539999999999992</v>
      </c>
      <c r="M66" s="2"/>
      <c r="N66" s="7">
        <f t="shared" si="19"/>
        <v>0.3573128598848368</v>
      </c>
      <c r="O66" s="10"/>
      <c r="P66" s="6">
        <v>2072.73</v>
      </c>
      <c r="Q66" s="2"/>
      <c r="R66" s="7">
        <f t="shared" si="20"/>
        <v>8.0570574615330362E-4</v>
      </c>
      <c r="S66" s="2"/>
      <c r="T66" s="6">
        <v>1904.04</v>
      </c>
      <c r="U66" s="2"/>
      <c r="V66" s="7">
        <f t="shared" si="21"/>
        <v>7.8115121070437582E-4</v>
      </c>
      <c r="W66" s="2"/>
      <c r="X66" s="6">
        <f t="shared" si="22"/>
        <v>168.69000000000005</v>
      </c>
      <c r="Y66" s="2"/>
      <c r="Z66" s="7">
        <f t="shared" si="23"/>
        <v>8.8595827818743339E-2</v>
      </c>
    </row>
    <row r="67" spans="1:26" s="23" customFormat="1" hidden="1" outlineLevel="2" x14ac:dyDescent="0.25">
      <c r="A67" s="27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6"/>
        <v>1.7828744176482136E-3</v>
      </c>
      <c r="G67" s="2"/>
      <c r="H67" s="6">
        <v>257.8</v>
      </c>
      <c r="I67" s="2"/>
      <c r="J67" s="7">
        <f t="shared" si="17"/>
        <v>2.6979031808571524E-3</v>
      </c>
      <c r="K67" s="2"/>
      <c r="L67" s="6">
        <f t="shared" si="18"/>
        <v>9.2400000000000091</v>
      </c>
      <c r="M67" s="2"/>
      <c r="N67" s="7">
        <f t="shared" si="19"/>
        <v>3.5841737781225791E-2</v>
      </c>
      <c r="O67" s="10"/>
      <c r="P67" s="6">
        <v>3158.26</v>
      </c>
      <c r="Q67" s="2"/>
      <c r="R67" s="7">
        <f t="shared" si="20"/>
        <v>1.2276698990443197E-3</v>
      </c>
      <c r="S67" s="2"/>
      <c r="T67" s="6">
        <v>3045.35</v>
      </c>
      <c r="U67" s="2"/>
      <c r="V67" s="7">
        <f t="shared" si="21"/>
        <v>1.2493849076272404E-3</v>
      </c>
      <c r="W67" s="2"/>
      <c r="X67" s="6">
        <f t="shared" si="22"/>
        <v>112.91000000000031</v>
      </c>
      <c r="Y67" s="2"/>
      <c r="Z67" s="7">
        <f t="shared" si="23"/>
        <v>3.7076198138145146E-2</v>
      </c>
    </row>
    <row r="68" spans="1:26" s="23" customFormat="1" hidden="1" outlineLevel="2" x14ac:dyDescent="0.25">
      <c r="A68" s="27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6"/>
        <v>1.7868135125643774E-3</v>
      </c>
      <c r="G68" s="2"/>
      <c r="H68" s="6">
        <v>256.57</v>
      </c>
      <c r="I68" s="2"/>
      <c r="J68" s="7">
        <f t="shared" si="17"/>
        <v>2.6850311059446064E-3</v>
      </c>
      <c r="K68" s="2"/>
      <c r="L68" s="6">
        <f t="shared" si="18"/>
        <v>11.060000000000002</v>
      </c>
      <c r="M68" s="2"/>
      <c r="N68" s="7">
        <f t="shared" si="19"/>
        <v>4.3107144249132798E-2</v>
      </c>
      <c r="O68" s="10"/>
      <c r="P68" s="6">
        <v>3156.26</v>
      </c>
      <c r="Q68" s="2"/>
      <c r="R68" s="7">
        <f t="shared" si="20"/>
        <v>1.2268924646981643E-3</v>
      </c>
      <c r="S68" s="2"/>
      <c r="T68" s="6">
        <v>-5090.13</v>
      </c>
      <c r="U68" s="2"/>
      <c r="V68" s="7">
        <f t="shared" si="21"/>
        <v>-2.0882760930141511E-3</v>
      </c>
      <c r="W68" s="2"/>
      <c r="X68" s="6">
        <f t="shared" si="22"/>
        <v>8246.39</v>
      </c>
      <c r="Y68" s="2"/>
      <c r="Z68" s="7">
        <f t="shared" si="23"/>
        <v>-1.6200745364067322</v>
      </c>
    </row>
    <row r="69" spans="1:26" s="23" customFormat="1" hidden="1" outlineLevel="2" x14ac:dyDescent="0.25">
      <c r="A69" s="27"/>
      <c r="B69" s="10" t="str">
        <f>CONCATENATE("          ", "6156", " - ", "EMPLOYEE MEALS")</f>
        <v xml:space="preserve">          6156 - EMPLOYEE MEALS</v>
      </c>
      <c r="C69" s="10"/>
      <c r="D69" s="6">
        <v>216.39</v>
      </c>
      <c r="E69" s="2"/>
      <c r="F69" s="7">
        <f t="shared" si="16"/>
        <v>1.4447131337436221E-3</v>
      </c>
      <c r="G69" s="2"/>
      <c r="H69" s="6">
        <v>132.19</v>
      </c>
      <c r="I69" s="2"/>
      <c r="J69" s="7">
        <f t="shared" si="17"/>
        <v>1.3833817745442475E-3</v>
      </c>
      <c r="K69" s="2"/>
      <c r="L69" s="6">
        <f t="shared" si="18"/>
        <v>84.199999999999989</v>
      </c>
      <c r="M69" s="2"/>
      <c r="N69" s="7">
        <f t="shared" si="19"/>
        <v>0.63696194871018985</v>
      </c>
      <c r="O69" s="10"/>
      <c r="P69" s="6">
        <v>2569.69</v>
      </c>
      <c r="Q69" s="2"/>
      <c r="R69" s="7">
        <f t="shared" si="20"/>
        <v>9.9888263248598848E-4</v>
      </c>
      <c r="S69" s="2"/>
      <c r="T69" s="6">
        <v>1858.6</v>
      </c>
      <c r="U69" s="2"/>
      <c r="V69" s="7">
        <f t="shared" si="21"/>
        <v>7.6250900202472259E-4</v>
      </c>
      <c r="W69" s="2"/>
      <c r="X69" s="6">
        <f t="shared" si="22"/>
        <v>711.09000000000015</v>
      </c>
      <c r="Y69" s="2"/>
      <c r="Z69" s="7">
        <f t="shared" si="23"/>
        <v>0.38259442591197684</v>
      </c>
    </row>
    <row r="70" spans="1:26" s="26" customFormat="1" outlineLevel="1" collapsed="1" x14ac:dyDescent="0.25">
      <c r="A70" s="25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7314.24</v>
      </c>
      <c r="E70" s="1"/>
      <c r="F70" s="5">
        <f t="shared" ref="F70:F75" si="24">IF(D$12=0,0,D70/D$12)</f>
        <v>4.8833026440006248E-2</v>
      </c>
      <c r="G70" s="1"/>
      <c r="H70" s="1">
        <f>SUM(OSRRefH22_1x_0)</f>
        <v>4569.1499999999996</v>
      </c>
      <c r="I70" s="1"/>
      <c r="J70" s="5">
        <f t="shared" ref="J70:J75" si="25">IF(H$12=0,0,H70/H$12)</f>
        <v>4.781661876964103E-2</v>
      </c>
      <c r="K70" s="1"/>
      <c r="L70" s="1">
        <f t="shared" ref="L70:L75" si="26">+D70-H70</f>
        <v>2745.09</v>
      </c>
      <c r="M70" s="1"/>
      <c r="N70" s="5">
        <f t="shared" ref="N70:N75" si="27">IF(H70=0,0,L70/H70)</f>
        <v>0.60078789271527533</v>
      </c>
      <c r="O70" s="12"/>
      <c r="P70" s="1">
        <f>SUM(OSRRefP22_1x_0)</f>
        <v>89389.18</v>
      </c>
      <c r="Q70" s="1"/>
      <c r="R70" s="5">
        <f t="shared" ref="R70:R75" si="28">IF(P$12=0,0,P70/P$12)</f>
        <v>3.4747109353332056E-2</v>
      </c>
      <c r="S70" s="1"/>
      <c r="T70" s="1">
        <f>SUM(OSRRefT22_1x_0)</f>
        <v>100791.28</v>
      </c>
      <c r="U70" s="1"/>
      <c r="V70" s="5">
        <f t="shared" ref="V70:V75" si="29">IF(T$12=0,0,T70/T$12)</f>
        <v>4.135061784439599E-2</v>
      </c>
      <c r="W70" s="1"/>
      <c r="X70" s="1">
        <f t="shared" ref="X70:X75" si="30">+P70-T70</f>
        <v>-11402.100000000006</v>
      </c>
      <c r="Y70" s="1"/>
      <c r="Z70" s="5">
        <f t="shared" ref="Z70:Z75" si="31">IF(T70=0,0,X70/T70)</f>
        <v>-0.11312585771308793</v>
      </c>
    </row>
    <row r="71" spans="1:26" s="23" customFormat="1" hidden="1" outlineLevel="2" x14ac:dyDescent="0.25">
      <c r="A71" s="27"/>
      <c r="B71" s="10" t="str">
        <f>CONCATENATE("          ", "6002", " - ", "STAFF SALARIES")</f>
        <v xml:space="preserve">          6002 - STAFF SALARIES</v>
      </c>
      <c r="C71" s="10"/>
      <c r="D71" s="6">
        <v>2282.3000000000002</v>
      </c>
      <c r="E71" s="2"/>
      <c r="F71" s="7">
        <f t="shared" si="24"/>
        <v>1.523762089349355E-2</v>
      </c>
      <c r="G71" s="2"/>
      <c r="H71" s="6">
        <v>1825.84</v>
      </c>
      <c r="I71" s="2"/>
      <c r="J71" s="7">
        <f t="shared" si="25"/>
        <v>1.9107601023026468E-2</v>
      </c>
      <c r="K71" s="2"/>
      <c r="L71" s="6">
        <f t="shared" si="26"/>
        <v>456.46000000000026</v>
      </c>
      <c r="M71" s="2"/>
      <c r="N71" s="7">
        <f t="shared" si="27"/>
        <v>0.25000000000000017</v>
      </c>
      <c r="O71" s="10"/>
      <c r="P71" s="6">
        <v>25558.54</v>
      </c>
      <c r="Q71" s="2"/>
      <c r="R71" s="7">
        <f t="shared" si="28"/>
        <v>9.9350434167928565E-3</v>
      </c>
      <c r="S71" s="2"/>
      <c r="T71" s="6">
        <v>34223.57</v>
      </c>
      <c r="U71" s="2"/>
      <c r="V71" s="7">
        <f t="shared" si="29"/>
        <v>1.4040557519866156E-2</v>
      </c>
      <c r="W71" s="2"/>
      <c r="X71" s="6">
        <f t="shared" si="30"/>
        <v>-8665.0299999999988</v>
      </c>
      <c r="Y71" s="2"/>
      <c r="Z71" s="7">
        <f t="shared" si="31"/>
        <v>-0.25318895720113355</v>
      </c>
    </row>
    <row r="72" spans="1:26" s="23" customFormat="1" hidden="1" outlineLevel="2" x14ac:dyDescent="0.25">
      <c r="A72" s="27"/>
      <c r="B72" s="10" t="str">
        <f>CONCATENATE("          ", "6004", " - ", "STAFF HOURLY")</f>
        <v xml:space="preserve">          6004 - STAFF HOURLY</v>
      </c>
      <c r="C72" s="10"/>
      <c r="D72" s="6">
        <v>3224.54</v>
      </c>
      <c r="E72" s="2"/>
      <c r="F72" s="7">
        <f t="shared" si="24"/>
        <v>2.1528422238928136E-2</v>
      </c>
      <c r="G72" s="2"/>
      <c r="H72" s="6">
        <v>2743.31</v>
      </c>
      <c r="I72" s="2"/>
      <c r="J72" s="7">
        <f t="shared" si="25"/>
        <v>2.8709017746614565E-2</v>
      </c>
      <c r="K72" s="2"/>
      <c r="L72" s="6">
        <f t="shared" si="26"/>
        <v>481.23</v>
      </c>
      <c r="M72" s="2"/>
      <c r="N72" s="7">
        <f t="shared" si="27"/>
        <v>0.17541947501376076</v>
      </c>
      <c r="O72" s="10"/>
      <c r="P72" s="6">
        <v>39735.199999999997</v>
      </c>
      <c r="Q72" s="2"/>
      <c r="R72" s="7">
        <f t="shared" si="28"/>
        <v>1.5445754615676304E-2</v>
      </c>
      <c r="S72" s="2"/>
      <c r="T72" s="6">
        <v>8575.16</v>
      </c>
      <c r="U72" s="2"/>
      <c r="V72" s="7">
        <f t="shared" si="29"/>
        <v>3.5180440620909935E-3</v>
      </c>
      <c r="W72" s="2"/>
      <c r="X72" s="6">
        <f t="shared" si="30"/>
        <v>31160.039999999997</v>
      </c>
      <c r="Y72" s="2"/>
      <c r="Z72" s="7">
        <f t="shared" si="31"/>
        <v>3.6337561048423583</v>
      </c>
    </row>
    <row r="73" spans="1:26" s="23" customFormat="1" hidden="1" outlineLevel="2" x14ac:dyDescent="0.25">
      <c r="A73" s="27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4"/>
        <v>0</v>
      </c>
      <c r="G73" s="2"/>
      <c r="H73" s="6"/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0"/>
      <c r="P73" s="6"/>
      <c r="Q73" s="2"/>
      <c r="R73" s="7">
        <f t="shared" si="28"/>
        <v>0</v>
      </c>
      <c r="S73" s="2"/>
      <c r="T73" s="6">
        <v>29960.57</v>
      </c>
      <c r="U73" s="2"/>
      <c r="V73" s="7">
        <f t="shared" si="29"/>
        <v>1.2291619676526333E-2</v>
      </c>
      <c r="W73" s="2"/>
      <c r="X73" s="6">
        <f t="shared" si="30"/>
        <v>-29960.57</v>
      </c>
      <c r="Y73" s="2"/>
      <c r="Z73" s="7">
        <f t="shared" si="31"/>
        <v>-1</v>
      </c>
    </row>
    <row r="74" spans="1:26" s="23" customFormat="1" hidden="1" outlineLevel="2" x14ac:dyDescent="0.25">
      <c r="A74" s="27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4"/>
        <v>0</v>
      </c>
      <c r="G74" s="2"/>
      <c r="H74" s="6"/>
      <c r="I74" s="2"/>
      <c r="J74" s="7">
        <f t="shared" si="25"/>
        <v>0</v>
      </c>
      <c r="K74" s="2"/>
      <c r="L74" s="6">
        <f t="shared" si="26"/>
        <v>0</v>
      </c>
      <c r="M74" s="2"/>
      <c r="N74" s="7">
        <f t="shared" si="27"/>
        <v>0</v>
      </c>
      <c r="O74" s="10"/>
      <c r="P74" s="6"/>
      <c r="Q74" s="2"/>
      <c r="R74" s="7">
        <f t="shared" si="28"/>
        <v>0</v>
      </c>
      <c r="S74" s="2"/>
      <c r="T74" s="6">
        <v>9008.99</v>
      </c>
      <c r="U74" s="2"/>
      <c r="V74" s="7">
        <f t="shared" si="29"/>
        <v>3.6960271032770394E-3</v>
      </c>
      <c r="W74" s="2"/>
      <c r="X74" s="6">
        <f t="shared" si="30"/>
        <v>-9008.99</v>
      </c>
      <c r="Y74" s="2"/>
      <c r="Z74" s="7">
        <f t="shared" si="31"/>
        <v>-1</v>
      </c>
    </row>
    <row r="75" spans="1:26" s="23" customFormat="1" hidden="1" outlineLevel="2" x14ac:dyDescent="0.25">
      <c r="A75" s="27"/>
      <c r="B75" s="10" t="str">
        <f>CONCATENATE("          ", "6007", " - ", "STUDENT HOURLY")</f>
        <v xml:space="preserve">          6007 - STUDENT HOURLY</v>
      </c>
      <c r="C75" s="10"/>
      <c r="D75" s="6">
        <v>1807.4</v>
      </c>
      <c r="E75" s="2"/>
      <c r="F75" s="7">
        <f t="shared" si="24"/>
        <v>1.206698330758456E-2</v>
      </c>
      <c r="G75" s="2"/>
      <c r="H75" s="6"/>
      <c r="I75" s="2"/>
      <c r="J75" s="7">
        <f t="shared" si="25"/>
        <v>0</v>
      </c>
      <c r="K75" s="2"/>
      <c r="L75" s="6">
        <f t="shared" si="26"/>
        <v>1807.4</v>
      </c>
      <c r="M75" s="2"/>
      <c r="N75" s="7">
        <f t="shared" si="27"/>
        <v>0</v>
      </c>
      <c r="O75" s="10"/>
      <c r="P75" s="6">
        <v>24095.439999999999</v>
      </c>
      <c r="Q75" s="2"/>
      <c r="R75" s="7">
        <f t="shared" si="28"/>
        <v>9.3663113208628992E-3</v>
      </c>
      <c r="S75" s="2"/>
      <c r="T75" s="6">
        <v>19022.990000000002</v>
      </c>
      <c r="U75" s="2"/>
      <c r="V75" s="7">
        <f t="shared" si="29"/>
        <v>7.8043694826354674E-3</v>
      </c>
      <c r="W75" s="2"/>
      <c r="X75" s="6">
        <f t="shared" si="30"/>
        <v>5072.4499999999971</v>
      </c>
      <c r="Y75" s="2"/>
      <c r="Z75" s="7">
        <f t="shared" si="31"/>
        <v>0.2666484080578288</v>
      </c>
    </row>
    <row r="76" spans="1:26" s="26" customFormat="1" outlineLevel="1" collapsed="1" x14ac:dyDescent="0.25">
      <c r="A76" s="25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67.239999999999995</v>
      </c>
      <c r="E76" s="1"/>
      <c r="F76" s="5">
        <f t="shared" ref="F76:F84" si="32">IF(D$12=0,0,D76/D$12)</f>
        <v>4.4892329180147491E-4</v>
      </c>
      <c r="G76" s="1"/>
      <c r="H76" s="1">
        <f>SUM(OSRRefH22_2x_0)</f>
        <v>0</v>
      </c>
      <c r="I76" s="1"/>
      <c r="J76" s="5">
        <f t="shared" ref="J76:J84" si="33">IF(H$12=0,0,H76/H$12)</f>
        <v>0</v>
      </c>
      <c r="K76" s="1"/>
      <c r="L76" s="1">
        <f t="shared" ref="L76:L84" si="34">+D76-H76</f>
        <v>67.239999999999995</v>
      </c>
      <c r="M76" s="1"/>
      <c r="N76" s="5">
        <f t="shared" ref="N76:N84" si="35">IF(H76=0,0,L76/H76)</f>
        <v>0</v>
      </c>
      <c r="O76" s="12"/>
      <c r="P76" s="1">
        <f>SUM(OSRRefP22_2x_0)</f>
        <v>692.63</v>
      </c>
      <c r="Q76" s="1"/>
      <c r="R76" s="5">
        <f t="shared" ref="R76:R84" si="36">IF(P$12=0,0,P76/P$12)</f>
        <v>2.6923717558879483E-4</v>
      </c>
      <c r="S76" s="1"/>
      <c r="T76" s="1">
        <f>SUM(OSRRefT22_2x_0)</f>
        <v>1745.92</v>
      </c>
      <c r="U76" s="1"/>
      <c r="V76" s="5">
        <f t="shared" ref="V76:V84" si="37">IF(T$12=0,0,T76/T$12)</f>
        <v>7.1628091940977284E-4</v>
      </c>
      <c r="W76" s="1"/>
      <c r="X76" s="1">
        <f t="shared" ref="X76:X84" si="38">+P76-T76</f>
        <v>-1053.29</v>
      </c>
      <c r="Y76" s="1"/>
      <c r="Z76" s="5">
        <f t="shared" ref="Z76:Z84" si="39">IF(T76=0,0,X76/T76)</f>
        <v>-0.60328651942815248</v>
      </c>
    </row>
    <row r="77" spans="1:26" s="23" customFormat="1" hidden="1" outlineLevel="2" x14ac:dyDescent="0.25">
      <c r="A77" s="27"/>
      <c r="B77" s="10" t="str">
        <f>CONCATENATE("          ", "6362", " - ", "ADVERTISING EXPENSE")</f>
        <v xml:space="preserve">          6362 - ADVERTISING EXPENSE</v>
      </c>
      <c r="C77" s="10"/>
      <c r="D77" s="6">
        <v>67.239999999999995</v>
      </c>
      <c r="E77" s="2"/>
      <c r="F77" s="7">
        <f t="shared" si="32"/>
        <v>4.4892329180147491E-4</v>
      </c>
      <c r="G77" s="2"/>
      <c r="H77" s="6"/>
      <c r="I77" s="2"/>
      <c r="J77" s="7">
        <f t="shared" si="33"/>
        <v>0</v>
      </c>
      <c r="K77" s="2"/>
      <c r="L77" s="6">
        <f t="shared" si="34"/>
        <v>67.239999999999995</v>
      </c>
      <c r="M77" s="2"/>
      <c r="N77" s="7">
        <f t="shared" si="35"/>
        <v>0</v>
      </c>
      <c r="O77" s="10"/>
      <c r="P77" s="6">
        <v>692.63</v>
      </c>
      <c r="Q77" s="2"/>
      <c r="R77" s="7">
        <f t="shared" si="36"/>
        <v>2.6923717558879483E-4</v>
      </c>
      <c r="S77" s="2"/>
      <c r="T77" s="6">
        <v>1745.92</v>
      </c>
      <c r="U77" s="2"/>
      <c r="V77" s="7">
        <f t="shared" si="37"/>
        <v>7.1628091940977284E-4</v>
      </c>
      <c r="W77" s="2"/>
      <c r="X77" s="6">
        <f t="shared" si="38"/>
        <v>-1053.29</v>
      </c>
      <c r="Y77" s="2"/>
      <c r="Z77" s="7">
        <f t="shared" si="39"/>
        <v>-0.60328651942815248</v>
      </c>
    </row>
    <row r="78" spans="1:26" s="26" customFormat="1" outlineLevel="1" collapsed="1" x14ac:dyDescent="0.25">
      <c r="A78" s="25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2"/>
        <v>1.8723386072695661E-3</v>
      </c>
      <c r="G78" s="1"/>
      <c r="H78" s="1">
        <f>SUM(OSRRefH22_3x_0)</f>
        <v>280.44</v>
      </c>
      <c r="I78" s="1"/>
      <c r="J78" s="5">
        <f t="shared" si="33"/>
        <v>2.9348330800604339E-3</v>
      </c>
      <c r="K78" s="1"/>
      <c r="L78" s="1">
        <f t="shared" si="34"/>
        <v>0</v>
      </c>
      <c r="M78" s="1"/>
      <c r="N78" s="5">
        <f t="shared" si="35"/>
        <v>0</v>
      </c>
      <c r="O78" s="12"/>
      <c r="P78" s="1">
        <f>SUM(OSRRefP22_3x_0)</f>
        <v>3084.84</v>
      </c>
      <c r="Q78" s="1"/>
      <c r="R78" s="5">
        <f t="shared" si="36"/>
        <v>1.1991302841969562E-3</v>
      </c>
      <c r="S78" s="1"/>
      <c r="T78" s="1">
        <f>SUM(OSRRefT22_3x_0)</f>
        <v>3084.84</v>
      </c>
      <c r="U78" s="1"/>
      <c r="V78" s="5">
        <f t="shared" si="37"/>
        <v>1.2655860700559267E-3</v>
      </c>
      <c r="W78" s="1"/>
      <c r="X78" s="1">
        <f t="shared" si="38"/>
        <v>0</v>
      </c>
      <c r="Y78" s="1"/>
      <c r="Z78" s="5">
        <f t="shared" si="39"/>
        <v>0</v>
      </c>
    </row>
    <row r="79" spans="1:26" s="23" customFormat="1" hidden="1" outlineLevel="2" x14ac:dyDescent="0.25">
      <c r="A79" s="27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2"/>
        <v>1.8723386072695661E-3</v>
      </c>
      <c r="G79" s="2"/>
      <c r="H79" s="6">
        <v>280.44</v>
      </c>
      <c r="I79" s="2"/>
      <c r="J79" s="7">
        <f t="shared" si="33"/>
        <v>2.9348330800604339E-3</v>
      </c>
      <c r="K79" s="2"/>
      <c r="L79" s="6">
        <f t="shared" si="34"/>
        <v>0</v>
      </c>
      <c r="M79" s="2"/>
      <c r="N79" s="7">
        <f t="shared" si="35"/>
        <v>0</v>
      </c>
      <c r="O79" s="10"/>
      <c r="P79" s="6">
        <v>3084.84</v>
      </c>
      <c r="Q79" s="2"/>
      <c r="R79" s="7">
        <f t="shared" si="36"/>
        <v>1.1991302841969562E-3</v>
      </c>
      <c r="S79" s="2"/>
      <c r="T79" s="6">
        <v>3084.84</v>
      </c>
      <c r="U79" s="2"/>
      <c r="V79" s="7">
        <f t="shared" si="37"/>
        <v>1.2655860700559267E-3</v>
      </c>
      <c r="W79" s="2"/>
      <c r="X79" s="6">
        <f t="shared" si="38"/>
        <v>0</v>
      </c>
      <c r="Y79" s="2"/>
      <c r="Z79" s="7">
        <f t="shared" si="39"/>
        <v>0</v>
      </c>
    </row>
    <row r="80" spans="1:26" s="26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2"/>
        <v>0</v>
      </c>
      <c r="G80" s="1"/>
      <c r="H80" s="1">
        <f>SUM(OSRRefH22_4x_0)</f>
        <v>4596.96</v>
      </c>
      <c r="I80" s="1"/>
      <c r="J80" s="5">
        <f t="shared" si="33"/>
        <v>4.8107653243883226E-2</v>
      </c>
      <c r="K80" s="1"/>
      <c r="L80" s="1">
        <f t="shared" si="34"/>
        <v>-4596.96</v>
      </c>
      <c r="M80" s="1"/>
      <c r="N80" s="5">
        <f t="shared" si="35"/>
        <v>-1</v>
      </c>
      <c r="O80" s="12"/>
      <c r="P80" s="1">
        <f>SUM(OSRRefP22_4x_0)</f>
        <v>0</v>
      </c>
      <c r="Q80" s="1"/>
      <c r="R80" s="5">
        <f t="shared" si="36"/>
        <v>0</v>
      </c>
      <c r="S80" s="1"/>
      <c r="T80" s="1">
        <f>SUM(OSRRefT22_4x_0)</f>
        <v>74357.2</v>
      </c>
      <c r="U80" s="1"/>
      <c r="V80" s="5">
        <f t="shared" si="37"/>
        <v>3.0505775511327184E-2</v>
      </c>
      <c r="W80" s="1"/>
      <c r="X80" s="1">
        <f t="shared" si="38"/>
        <v>-74357.2</v>
      </c>
      <c r="Y80" s="1"/>
      <c r="Z80" s="5">
        <f t="shared" si="39"/>
        <v>-1</v>
      </c>
    </row>
    <row r="81" spans="1:26" s="23" customFormat="1" hidden="1" outlineLevel="2" x14ac:dyDescent="0.25">
      <c r="A81" s="27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2"/>
        <v>0</v>
      </c>
      <c r="G81" s="2"/>
      <c r="H81" s="6">
        <v>4596.96</v>
      </c>
      <c r="I81" s="2"/>
      <c r="J81" s="7">
        <f t="shared" si="33"/>
        <v>4.8107653243883226E-2</v>
      </c>
      <c r="K81" s="2"/>
      <c r="L81" s="6">
        <f t="shared" si="34"/>
        <v>-4596.96</v>
      </c>
      <c r="M81" s="2"/>
      <c r="N81" s="7">
        <f t="shared" si="35"/>
        <v>-1</v>
      </c>
      <c r="O81" s="10"/>
      <c r="P81" s="6">
        <v>0</v>
      </c>
      <c r="Q81" s="2"/>
      <c r="R81" s="7">
        <f t="shared" si="36"/>
        <v>0</v>
      </c>
      <c r="S81" s="2"/>
      <c r="T81" s="6">
        <v>74357.2</v>
      </c>
      <c r="U81" s="2"/>
      <c r="V81" s="7">
        <f t="shared" si="37"/>
        <v>3.0505775511327184E-2</v>
      </c>
      <c r="W81" s="2"/>
      <c r="X81" s="6">
        <f t="shared" si="38"/>
        <v>-74357.2</v>
      </c>
      <c r="Y81" s="2"/>
      <c r="Z81" s="7">
        <f t="shared" si="39"/>
        <v>-1</v>
      </c>
    </row>
    <row r="82" spans="1:26" s="26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1057.28</v>
      </c>
      <c r="E82" s="1"/>
      <c r="F82" s="5">
        <f t="shared" si="32"/>
        <v>7.0588580897659641E-3</v>
      </c>
      <c r="G82" s="1"/>
      <c r="H82" s="1">
        <f>SUM(OSRRefH22_5x_0)</f>
        <v>0</v>
      </c>
      <c r="I82" s="1"/>
      <c r="J82" s="5">
        <f t="shared" si="33"/>
        <v>0</v>
      </c>
      <c r="K82" s="1"/>
      <c r="L82" s="1">
        <f t="shared" si="34"/>
        <v>1057.28</v>
      </c>
      <c r="M82" s="1"/>
      <c r="N82" s="5">
        <f t="shared" si="35"/>
        <v>0</v>
      </c>
      <c r="O82" s="12"/>
      <c r="P82" s="1">
        <f>SUM(OSRRefP22_5x_0)</f>
        <v>2698.56</v>
      </c>
      <c r="Q82" s="1"/>
      <c r="R82" s="5">
        <f t="shared" si="36"/>
        <v>1.0489766145805092E-3</v>
      </c>
      <c r="S82" s="1"/>
      <c r="T82" s="1">
        <f>SUM(OSRRefT22_5x_0)</f>
        <v>120.59</v>
      </c>
      <c r="U82" s="1"/>
      <c r="V82" s="5">
        <f t="shared" si="37"/>
        <v>4.9473238219176426E-5</v>
      </c>
      <c r="W82" s="1"/>
      <c r="X82" s="1">
        <f t="shared" si="38"/>
        <v>2577.9699999999998</v>
      </c>
      <c r="Y82" s="1"/>
      <c r="Z82" s="5">
        <f t="shared" si="39"/>
        <v>21.377974956464051</v>
      </c>
    </row>
    <row r="83" spans="1:26" s="23" customFormat="1" hidden="1" outlineLevel="2" x14ac:dyDescent="0.25">
      <c r="A83" s="27"/>
      <c r="B83" s="10" t="str">
        <f>CONCATENATE("          ", "6305", " - ", "FREIGHT OUT")</f>
        <v xml:space="preserve">          6305 - FREIGHT OUT</v>
      </c>
      <c r="C83" s="10"/>
      <c r="D83" s="6">
        <v>1057.28</v>
      </c>
      <c r="E83" s="2"/>
      <c r="F83" s="7">
        <f t="shared" si="32"/>
        <v>7.0588580897659641E-3</v>
      </c>
      <c r="G83" s="2"/>
      <c r="H83" s="6"/>
      <c r="I83" s="2"/>
      <c r="J83" s="7">
        <f t="shared" si="33"/>
        <v>0</v>
      </c>
      <c r="K83" s="2"/>
      <c r="L83" s="6">
        <f t="shared" si="34"/>
        <v>1057.28</v>
      </c>
      <c r="M83" s="2"/>
      <c r="N83" s="7">
        <f t="shared" si="35"/>
        <v>0</v>
      </c>
      <c r="O83" s="10"/>
      <c r="P83" s="6">
        <v>2685.96</v>
      </c>
      <c r="Q83" s="2"/>
      <c r="R83" s="7">
        <f t="shared" si="36"/>
        <v>1.0440787781997305E-3</v>
      </c>
      <c r="S83" s="2"/>
      <c r="T83" s="6">
        <v>120.59</v>
      </c>
      <c r="U83" s="2"/>
      <c r="V83" s="7">
        <f t="shared" si="37"/>
        <v>4.9473238219176426E-5</v>
      </c>
      <c r="W83" s="2"/>
      <c r="X83" s="6">
        <f t="shared" si="38"/>
        <v>2565.37</v>
      </c>
      <c r="Y83" s="2"/>
      <c r="Z83" s="7">
        <f t="shared" si="39"/>
        <v>21.273488680653454</v>
      </c>
    </row>
    <row r="84" spans="1:26" s="23" customFormat="1" hidden="1" outlineLevel="2" x14ac:dyDescent="0.25">
      <c r="A84" s="27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0"/>
      <c r="P84" s="6">
        <v>12.6</v>
      </c>
      <c r="Q84" s="2"/>
      <c r="R84" s="7">
        <f t="shared" si="36"/>
        <v>4.8978363807787919E-6</v>
      </c>
      <c r="S84" s="2"/>
      <c r="T84" s="6"/>
      <c r="U84" s="2"/>
      <c r="V84" s="7">
        <f t="shared" si="37"/>
        <v>0</v>
      </c>
      <c r="W84" s="2"/>
      <c r="X84" s="6">
        <f t="shared" si="38"/>
        <v>12.6</v>
      </c>
      <c r="Y84" s="2"/>
      <c r="Z84" s="7">
        <f t="shared" si="39"/>
        <v>0</v>
      </c>
    </row>
    <row r="85" spans="1:26" s="26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285</v>
      </c>
      <c r="E85" s="1"/>
      <c r="F85" s="5">
        <f t="shared" ref="F85:F91" si="40">IF(D$12=0,0,D85/D$12)</f>
        <v>1.9027831374690714E-3</v>
      </c>
      <c r="G85" s="1"/>
      <c r="H85" s="1">
        <f>SUM(OSRRefH22_6x_0)</f>
        <v>-80</v>
      </c>
      <c r="I85" s="1"/>
      <c r="J85" s="5">
        <f t="shared" ref="J85:J91" si="41">IF(H$12=0,0,H85/H$12)</f>
        <v>-8.3720812439322032E-4</v>
      </c>
      <c r="K85" s="1"/>
      <c r="L85" s="1">
        <f t="shared" ref="L85:L91" si="42">+D85-H85</f>
        <v>365</v>
      </c>
      <c r="M85" s="1"/>
      <c r="N85" s="5">
        <f t="shared" ref="N85:N91" si="43">IF(H85=0,0,L85/H85)</f>
        <v>-4.5625</v>
      </c>
      <c r="O85" s="12"/>
      <c r="P85" s="1">
        <f>SUM(OSRRefP22_6x_0)</f>
        <v>254.85</v>
      </c>
      <c r="Q85" s="1"/>
      <c r="R85" s="5">
        <f t="shared" ref="R85:R91" si="44">IF(P$12=0,0,P85/P$12)</f>
        <v>9.9064571558847233E-5</v>
      </c>
      <c r="S85" s="1"/>
      <c r="T85" s="1">
        <f>SUM(OSRRefT22_6x_0)</f>
        <v>205</v>
      </c>
      <c r="U85" s="1"/>
      <c r="V85" s="5">
        <f t="shared" ref="V85:V91" si="45">IF(T$12=0,0,T85/T$12)</f>
        <v>8.4103274192977586E-5</v>
      </c>
      <c r="W85" s="1"/>
      <c r="X85" s="1">
        <f t="shared" ref="X85:X91" si="46">+P85-T85</f>
        <v>49.849999999999994</v>
      </c>
      <c r="Y85" s="1"/>
      <c r="Z85" s="5">
        <f t="shared" ref="Z85:Z91" si="47">IF(T85=0,0,X85/T85)</f>
        <v>0.24317073170731704</v>
      </c>
    </row>
    <row r="86" spans="1:26" s="23" customFormat="1" hidden="1" outlineLevel="2" x14ac:dyDescent="0.25">
      <c r="A86" s="27"/>
      <c r="B86" s="10" t="str">
        <f>CONCATENATE("          ", "6279", " - ", "GENERAL EXPENSE")</f>
        <v xml:space="preserve">          6279 - GENERAL EXPENSE</v>
      </c>
      <c r="C86" s="10"/>
      <c r="D86" s="6">
        <v>285</v>
      </c>
      <c r="E86" s="2"/>
      <c r="F86" s="7">
        <f t="shared" si="40"/>
        <v>1.9027831374690714E-3</v>
      </c>
      <c r="G86" s="2"/>
      <c r="H86" s="6">
        <v>-80</v>
      </c>
      <c r="I86" s="2"/>
      <c r="J86" s="7">
        <f t="shared" si="41"/>
        <v>-8.3720812439322032E-4</v>
      </c>
      <c r="K86" s="2"/>
      <c r="L86" s="6">
        <f t="shared" si="42"/>
        <v>365</v>
      </c>
      <c r="M86" s="2"/>
      <c r="N86" s="7">
        <f t="shared" si="43"/>
        <v>-4.5625</v>
      </c>
      <c r="O86" s="10"/>
      <c r="P86" s="6">
        <v>254.85</v>
      </c>
      <c r="Q86" s="2"/>
      <c r="R86" s="7">
        <f t="shared" si="44"/>
        <v>9.9064571558847233E-5</v>
      </c>
      <c r="S86" s="2"/>
      <c r="T86" s="6">
        <v>205</v>
      </c>
      <c r="U86" s="2"/>
      <c r="V86" s="7">
        <f t="shared" si="45"/>
        <v>8.4103274192977586E-5</v>
      </c>
      <c r="W86" s="2"/>
      <c r="X86" s="6">
        <f t="shared" si="46"/>
        <v>49.849999999999994</v>
      </c>
      <c r="Y86" s="2"/>
      <c r="Z86" s="7">
        <f t="shared" si="47"/>
        <v>0.24317073170731704</v>
      </c>
    </row>
    <row r="87" spans="1:26" s="26" customFormat="1" outlineLevel="1" collapsed="1" x14ac:dyDescent="0.25">
      <c r="A87" s="25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0"/>
        <v>8.3455400766187342E-3</v>
      </c>
      <c r="G87" s="1"/>
      <c r="H87" s="1">
        <f>SUM(OSRRefH22_7x_0)</f>
        <v>0</v>
      </c>
      <c r="I87" s="1"/>
      <c r="J87" s="5">
        <f t="shared" si="41"/>
        <v>0</v>
      </c>
      <c r="K87" s="1"/>
      <c r="L87" s="1">
        <f t="shared" si="42"/>
        <v>1250</v>
      </c>
      <c r="M87" s="1"/>
      <c r="N87" s="5">
        <f t="shared" si="43"/>
        <v>0</v>
      </c>
      <c r="O87" s="12"/>
      <c r="P87" s="1">
        <f>SUM(OSRRefP22_7x_0)</f>
        <v>13750</v>
      </c>
      <c r="Q87" s="1"/>
      <c r="R87" s="5">
        <f t="shared" si="44"/>
        <v>5.3448611298181261E-3</v>
      </c>
      <c r="S87" s="1"/>
      <c r="T87" s="1">
        <f>SUM(OSRRefT22_7x_0)</f>
        <v>0</v>
      </c>
      <c r="U87" s="1"/>
      <c r="V87" s="5">
        <f t="shared" si="45"/>
        <v>0</v>
      </c>
      <c r="W87" s="1"/>
      <c r="X87" s="1">
        <f t="shared" si="46"/>
        <v>13750</v>
      </c>
      <c r="Y87" s="1"/>
      <c r="Z87" s="5">
        <f t="shared" si="47"/>
        <v>0</v>
      </c>
    </row>
    <row r="88" spans="1:26" s="23" customFormat="1" hidden="1" outlineLevel="2" x14ac:dyDescent="0.25">
      <c r="A88" s="27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0"/>
        <v>8.3455400766187342E-3</v>
      </c>
      <c r="G88" s="2"/>
      <c r="H88" s="6"/>
      <c r="I88" s="2"/>
      <c r="J88" s="7">
        <f t="shared" si="41"/>
        <v>0</v>
      </c>
      <c r="K88" s="2"/>
      <c r="L88" s="6">
        <f t="shared" si="42"/>
        <v>1250</v>
      </c>
      <c r="M88" s="2"/>
      <c r="N88" s="7">
        <f t="shared" si="43"/>
        <v>0</v>
      </c>
      <c r="O88" s="10"/>
      <c r="P88" s="6">
        <v>13750</v>
      </c>
      <c r="Q88" s="2"/>
      <c r="R88" s="7">
        <f t="shared" si="44"/>
        <v>5.3448611298181261E-3</v>
      </c>
      <c r="S88" s="2"/>
      <c r="T88" s="6"/>
      <c r="U88" s="2"/>
      <c r="V88" s="7">
        <f t="shared" si="45"/>
        <v>0</v>
      </c>
      <c r="W88" s="2"/>
      <c r="X88" s="6">
        <f t="shared" si="46"/>
        <v>13750</v>
      </c>
      <c r="Y88" s="2"/>
      <c r="Z88" s="7">
        <f t="shared" si="47"/>
        <v>0</v>
      </c>
    </row>
    <row r="89" spans="1:26" s="26" customFormat="1" outlineLevel="1" collapsed="1" x14ac:dyDescent="0.25">
      <c r="A89" s="25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0</v>
      </c>
      <c r="E89" s="1"/>
      <c r="F89" s="5">
        <f t="shared" si="40"/>
        <v>0</v>
      </c>
      <c r="G89" s="1"/>
      <c r="H89" s="1">
        <f>SUM(OSRRefH22_8x_0)</f>
        <v>0</v>
      </c>
      <c r="I89" s="1"/>
      <c r="J89" s="5">
        <f t="shared" si="41"/>
        <v>0</v>
      </c>
      <c r="K89" s="1"/>
      <c r="L89" s="1">
        <f t="shared" si="42"/>
        <v>0</v>
      </c>
      <c r="M89" s="1"/>
      <c r="N89" s="5">
        <f t="shared" si="43"/>
        <v>0</v>
      </c>
      <c r="O89" s="12"/>
      <c r="P89" s="1">
        <f>SUM(OSRRefP22_8x_0)</f>
        <v>1550</v>
      </c>
      <c r="Q89" s="1"/>
      <c r="R89" s="5">
        <f t="shared" si="44"/>
        <v>6.025116182704069E-4</v>
      </c>
      <c r="S89" s="1"/>
      <c r="T89" s="1">
        <f>SUM(OSRRefT22_8x_0)</f>
        <v>197.18</v>
      </c>
      <c r="U89" s="1"/>
      <c r="V89" s="5">
        <f t="shared" si="45"/>
        <v>8.0895041977421068E-5</v>
      </c>
      <c r="W89" s="1"/>
      <c r="X89" s="1">
        <f t="shared" si="46"/>
        <v>1352.82</v>
      </c>
      <c r="Y89" s="1"/>
      <c r="Z89" s="5">
        <f t="shared" si="47"/>
        <v>6.8608378131656345</v>
      </c>
    </row>
    <row r="90" spans="1:26" s="23" customFormat="1" hidden="1" outlineLevel="2" x14ac:dyDescent="0.25">
      <c r="A90" s="27"/>
      <c r="B90" s="10" t="str">
        <f>CONCATENATE("          ", "6371", " - ", "COMPUTER SOFTWARE MAINTENANCE")</f>
        <v xml:space="preserve">          6371 - COMPUTER SOFTWARE MAINTENANCE</v>
      </c>
      <c r="C90" s="10"/>
      <c r="D90" s="6"/>
      <c r="E90" s="2"/>
      <c r="F90" s="7">
        <f t="shared" si="40"/>
        <v>0</v>
      </c>
      <c r="G90" s="2"/>
      <c r="H90" s="6"/>
      <c r="I90" s="2"/>
      <c r="J90" s="7">
        <f t="shared" si="41"/>
        <v>0</v>
      </c>
      <c r="K90" s="2"/>
      <c r="L90" s="6">
        <f t="shared" si="42"/>
        <v>0</v>
      </c>
      <c r="M90" s="2"/>
      <c r="N90" s="7">
        <f t="shared" si="43"/>
        <v>0</v>
      </c>
      <c r="O90" s="10"/>
      <c r="P90" s="6">
        <v>1550</v>
      </c>
      <c r="Q90" s="2"/>
      <c r="R90" s="7">
        <f t="shared" si="44"/>
        <v>6.025116182704069E-4</v>
      </c>
      <c r="S90" s="2"/>
      <c r="T90" s="6"/>
      <c r="U90" s="2"/>
      <c r="V90" s="7">
        <f t="shared" si="45"/>
        <v>0</v>
      </c>
      <c r="W90" s="2"/>
      <c r="X90" s="6">
        <f t="shared" si="46"/>
        <v>1550</v>
      </c>
      <c r="Y90" s="2"/>
      <c r="Z90" s="7">
        <f t="shared" si="47"/>
        <v>0</v>
      </c>
    </row>
    <row r="91" spans="1:26" s="23" customFormat="1" hidden="1" outlineLevel="2" x14ac:dyDescent="0.25">
      <c r="A91" s="27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0"/>
        <v>0</v>
      </c>
      <c r="G91" s="2"/>
      <c r="H91" s="6"/>
      <c r="I91" s="2"/>
      <c r="J91" s="7">
        <f t="shared" si="41"/>
        <v>0</v>
      </c>
      <c r="K91" s="2"/>
      <c r="L91" s="6">
        <f t="shared" si="42"/>
        <v>0</v>
      </c>
      <c r="M91" s="2"/>
      <c r="N91" s="7">
        <f t="shared" si="43"/>
        <v>0</v>
      </c>
      <c r="O91" s="10"/>
      <c r="P91" s="6"/>
      <c r="Q91" s="2"/>
      <c r="R91" s="7">
        <f t="shared" si="44"/>
        <v>0</v>
      </c>
      <c r="S91" s="2"/>
      <c r="T91" s="6">
        <v>197.18</v>
      </c>
      <c r="U91" s="2"/>
      <c r="V91" s="7">
        <f t="shared" si="45"/>
        <v>8.0895041977421068E-5</v>
      </c>
      <c r="W91" s="2"/>
      <c r="X91" s="6">
        <f t="shared" si="46"/>
        <v>-197.18</v>
      </c>
      <c r="Y91" s="2"/>
      <c r="Z91" s="7">
        <f t="shared" si="47"/>
        <v>-1</v>
      </c>
    </row>
    <row r="92" spans="1:26" s="26" customFormat="1" outlineLevel="1" collapsed="1" x14ac:dyDescent="0.25">
      <c r="A92" s="25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0</v>
      </c>
      <c r="E92" s="1"/>
      <c r="F92" s="5">
        <f t="shared" ref="F92:F94" si="48">IF(D$12=0,0,D92/D$12)</f>
        <v>0</v>
      </c>
      <c r="G92" s="1"/>
      <c r="H92" s="1">
        <f>SUM(OSRRefH22_9x_0)</f>
        <v>0</v>
      </c>
      <c r="I92" s="1"/>
      <c r="J92" s="5">
        <f t="shared" ref="J92:J94" si="49">IF(H$12=0,0,H92/H$12)</f>
        <v>0</v>
      </c>
      <c r="K92" s="1"/>
      <c r="L92" s="1">
        <f t="shared" ref="L92:L94" si="50">+D92-H92</f>
        <v>0</v>
      </c>
      <c r="M92" s="1"/>
      <c r="N92" s="5">
        <f t="shared" ref="N92:N94" si="51">IF(H92=0,0,L92/H92)</f>
        <v>0</v>
      </c>
      <c r="O92" s="12"/>
      <c r="P92" s="1">
        <f>SUM(OSRRefP22_9x_0)</f>
        <v>142.22</v>
      </c>
      <c r="Q92" s="1"/>
      <c r="R92" s="5">
        <f t="shared" ref="R92:R94" si="52">IF(P$12=0,0,P92/P$12)</f>
        <v>5.5283356355107917E-5</v>
      </c>
      <c r="S92" s="1"/>
      <c r="T92" s="1">
        <f>SUM(OSRRefT22_9x_0)</f>
        <v>-4886.5</v>
      </c>
      <c r="U92" s="1"/>
      <c r="V92" s="5">
        <f t="shared" ref="V92:V94" si="53">IF(T$12=0,0,T92/T$12)</f>
        <v>-2.0047348748487071E-3</v>
      </c>
      <c r="W92" s="1"/>
      <c r="X92" s="1">
        <f t="shared" ref="X92:X94" si="54">+P92-T92</f>
        <v>5028.72</v>
      </c>
      <c r="Y92" s="1"/>
      <c r="Z92" s="5">
        <f t="shared" ref="Z92:Z94" si="55">IF(T92=0,0,X92/T92)</f>
        <v>-1.0291046761485727</v>
      </c>
    </row>
    <row r="93" spans="1:26" s="23" customFormat="1" hidden="1" outlineLevel="2" x14ac:dyDescent="0.25">
      <c r="A93" s="27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48"/>
        <v>0</v>
      </c>
      <c r="G93" s="2"/>
      <c r="H93" s="6"/>
      <c r="I93" s="2"/>
      <c r="J93" s="7">
        <f t="shared" si="49"/>
        <v>0</v>
      </c>
      <c r="K93" s="2"/>
      <c r="L93" s="6">
        <f t="shared" si="50"/>
        <v>0</v>
      </c>
      <c r="M93" s="2"/>
      <c r="N93" s="7">
        <f t="shared" si="51"/>
        <v>0</v>
      </c>
      <c r="O93" s="10"/>
      <c r="P93" s="6"/>
      <c r="Q93" s="2"/>
      <c r="R93" s="7">
        <f t="shared" si="52"/>
        <v>0</v>
      </c>
      <c r="S93" s="2"/>
      <c r="T93" s="6">
        <v>-4886.5</v>
      </c>
      <c r="U93" s="2"/>
      <c r="V93" s="7">
        <f t="shared" si="53"/>
        <v>-2.0047348748487071E-3</v>
      </c>
      <c r="W93" s="2"/>
      <c r="X93" s="6">
        <f t="shared" si="54"/>
        <v>4886.5</v>
      </c>
      <c r="Y93" s="2"/>
      <c r="Z93" s="7">
        <f t="shared" si="55"/>
        <v>-1</v>
      </c>
    </row>
    <row r="94" spans="1:26" s="23" customFormat="1" hidden="1" outlineLevel="2" x14ac:dyDescent="0.25">
      <c r="A94" s="27"/>
      <c r="B94" s="10" t="str">
        <f>CONCATENATE("          ", "6275", " - ", "SUBSCRIPTIONS")</f>
        <v xml:space="preserve">          6275 - SUBSCRIPTIONS</v>
      </c>
      <c r="C94" s="10"/>
      <c r="D94" s="6"/>
      <c r="E94" s="2"/>
      <c r="F94" s="7">
        <f t="shared" si="48"/>
        <v>0</v>
      </c>
      <c r="G94" s="2"/>
      <c r="H94" s="6"/>
      <c r="I94" s="2"/>
      <c r="J94" s="7">
        <f t="shared" si="49"/>
        <v>0</v>
      </c>
      <c r="K94" s="2"/>
      <c r="L94" s="6">
        <f t="shared" si="50"/>
        <v>0</v>
      </c>
      <c r="M94" s="2"/>
      <c r="N94" s="7">
        <f t="shared" si="51"/>
        <v>0</v>
      </c>
      <c r="O94" s="10"/>
      <c r="P94" s="6">
        <v>142.22</v>
      </c>
      <c r="Q94" s="2"/>
      <c r="R94" s="7">
        <f t="shared" si="52"/>
        <v>5.5283356355107917E-5</v>
      </c>
      <c r="S94" s="2"/>
      <c r="T94" s="6"/>
      <c r="U94" s="2"/>
      <c r="V94" s="7">
        <f t="shared" si="53"/>
        <v>0</v>
      </c>
      <c r="W94" s="2"/>
      <c r="X94" s="6">
        <f t="shared" si="54"/>
        <v>142.22</v>
      </c>
      <c r="Y94" s="2"/>
      <c r="Z94" s="7">
        <f t="shared" si="55"/>
        <v>0</v>
      </c>
    </row>
    <row r="95" spans="1:26" s="26" customFormat="1" outlineLevel="1" collapsed="1" x14ac:dyDescent="0.25">
      <c r="A95" s="25"/>
      <c r="B95" s="12" t="str">
        <f>CONCATENATE("     ","Supplies                                          ")</f>
        <v xml:space="preserve">     Supplies                                          </v>
      </c>
      <c r="C95" s="12"/>
      <c r="D95" s="1">
        <f>SUM(OSRRefD22_10x_0)</f>
        <v>200.67</v>
      </c>
      <c r="E95" s="1"/>
      <c r="F95" s="5">
        <f t="shared" ref="F95:F100" si="56">IF(D$12=0,0,D95/D$12)</f>
        <v>1.3397596217400651E-3</v>
      </c>
      <c r="G95" s="1"/>
      <c r="H95" s="1">
        <f>SUM(OSRRefH22_10x_0)</f>
        <v>59.25</v>
      </c>
      <c r="I95" s="1"/>
      <c r="J95" s="5">
        <f t="shared" ref="J95:J100" si="57">IF(H$12=0,0,H95/H$12)</f>
        <v>6.2005726712872878E-4</v>
      </c>
      <c r="K95" s="1"/>
      <c r="L95" s="1">
        <f t="shared" ref="L95:L100" si="58">+D95-H95</f>
        <v>141.41999999999999</v>
      </c>
      <c r="M95" s="1"/>
      <c r="N95" s="5">
        <f t="shared" ref="N95:N100" si="59">IF(H95=0,0,L95/H95)</f>
        <v>2.3868354430379743</v>
      </c>
      <c r="O95" s="12"/>
      <c r="P95" s="1">
        <f>SUM(OSRRefP22_10x_0)</f>
        <v>4032.32</v>
      </c>
      <c r="Q95" s="1"/>
      <c r="R95" s="5">
        <f t="shared" ref="R95:R100" si="60">IF(P$12=0,0,P95/P$12)</f>
        <v>1.5674320313445983E-3</v>
      </c>
      <c r="S95" s="1"/>
      <c r="T95" s="1">
        <f>SUM(OSRRefT22_10x_0)</f>
        <v>3194.5200000000004</v>
      </c>
      <c r="U95" s="1"/>
      <c r="V95" s="5">
        <f t="shared" ref="V95:V100" si="61">IF(T$12=0,0,T95/T$12)</f>
        <v>1.3105833730485403E-3</v>
      </c>
      <c r="W95" s="1"/>
      <c r="X95" s="1">
        <f t="shared" ref="X95:X100" si="62">+P95-T95</f>
        <v>837.79999999999973</v>
      </c>
      <c r="Y95" s="1"/>
      <c r="Z95" s="5">
        <f t="shared" ref="Z95:Z100" si="63">IF(T95=0,0,X95/T95)</f>
        <v>0.26226162302943778</v>
      </c>
    </row>
    <row r="96" spans="1:26" s="23" customFormat="1" hidden="1" outlineLevel="2" x14ac:dyDescent="0.25">
      <c r="A96" s="27"/>
      <c r="B96" s="10" t="str">
        <f>CONCATENATE("          ", "6234", " - ", "EXPENDABLE SUPPLIES &amp; EQUIPMEN")</f>
        <v xml:space="preserve">          6234 - EXPENDABLE SUPPLIES &amp; EQUIPMEN</v>
      </c>
      <c r="C96" s="10"/>
      <c r="D96" s="6"/>
      <c r="E96" s="2"/>
      <c r="F96" s="7">
        <f t="shared" si="56"/>
        <v>0</v>
      </c>
      <c r="G96" s="2"/>
      <c r="H96" s="6"/>
      <c r="I96" s="2"/>
      <c r="J96" s="7">
        <f t="shared" si="57"/>
        <v>0</v>
      </c>
      <c r="K96" s="2"/>
      <c r="L96" s="6">
        <f t="shared" si="58"/>
        <v>0</v>
      </c>
      <c r="M96" s="2"/>
      <c r="N96" s="7">
        <f t="shared" si="59"/>
        <v>0</v>
      </c>
      <c r="O96" s="10"/>
      <c r="P96" s="6">
        <v>1733.49</v>
      </c>
      <c r="Q96" s="2"/>
      <c r="R96" s="7">
        <f t="shared" si="60"/>
        <v>6.7383733235843075E-4</v>
      </c>
      <c r="S96" s="2"/>
      <c r="T96" s="6"/>
      <c r="U96" s="2"/>
      <c r="V96" s="7">
        <f t="shared" si="61"/>
        <v>0</v>
      </c>
      <c r="W96" s="2"/>
      <c r="X96" s="6">
        <f t="shared" si="62"/>
        <v>1733.49</v>
      </c>
      <c r="Y96" s="2"/>
      <c r="Z96" s="7">
        <f t="shared" si="63"/>
        <v>0</v>
      </c>
    </row>
    <row r="97" spans="1:26" s="23" customFormat="1" hidden="1" outlineLevel="2" x14ac:dyDescent="0.25">
      <c r="A97" s="27"/>
      <c r="B97" s="10" t="str">
        <f>CONCATENATE("          ", "6235", " - ", "COVID-19 EXPENSES")</f>
        <v xml:space="preserve">          6235 - COVID-19 EXPENSES</v>
      </c>
      <c r="C97" s="10"/>
      <c r="D97" s="6"/>
      <c r="E97" s="2"/>
      <c r="F97" s="7">
        <f t="shared" si="56"/>
        <v>0</v>
      </c>
      <c r="G97" s="2"/>
      <c r="H97" s="6"/>
      <c r="I97" s="2"/>
      <c r="J97" s="7">
        <f t="shared" si="57"/>
        <v>0</v>
      </c>
      <c r="K97" s="2"/>
      <c r="L97" s="6">
        <f t="shared" si="58"/>
        <v>0</v>
      </c>
      <c r="M97" s="2"/>
      <c r="N97" s="7">
        <f t="shared" si="59"/>
        <v>0</v>
      </c>
      <c r="O97" s="10"/>
      <c r="P97" s="6">
        <v>668.12</v>
      </c>
      <c r="Q97" s="2"/>
      <c r="R97" s="7">
        <f t="shared" si="60"/>
        <v>2.5970971767666083E-4</v>
      </c>
      <c r="S97" s="2"/>
      <c r="T97" s="6"/>
      <c r="U97" s="2"/>
      <c r="V97" s="7">
        <f t="shared" si="61"/>
        <v>0</v>
      </c>
      <c r="W97" s="2"/>
      <c r="X97" s="6">
        <f t="shared" si="62"/>
        <v>668.12</v>
      </c>
      <c r="Y97" s="2"/>
      <c r="Z97" s="7">
        <f t="shared" si="63"/>
        <v>0</v>
      </c>
    </row>
    <row r="98" spans="1:26" s="23" customFormat="1" hidden="1" outlineLevel="2" x14ac:dyDescent="0.25">
      <c r="A98" s="27"/>
      <c r="B98" s="10" t="str">
        <f>CONCATENATE("          ", "6241", " - ", "OFFICE EXPENSE")</f>
        <v xml:space="preserve">          6241 - OFFICE EXPENSE</v>
      </c>
      <c r="C98" s="10"/>
      <c r="D98" s="6">
        <v>200.67</v>
      </c>
      <c r="E98" s="2"/>
      <c r="F98" s="7">
        <f t="shared" si="56"/>
        <v>1.3397596217400651E-3</v>
      </c>
      <c r="G98" s="2"/>
      <c r="H98" s="6">
        <v>59.25</v>
      </c>
      <c r="I98" s="2"/>
      <c r="J98" s="7">
        <f t="shared" si="57"/>
        <v>6.2005726712872878E-4</v>
      </c>
      <c r="K98" s="2"/>
      <c r="L98" s="6">
        <f t="shared" si="58"/>
        <v>141.41999999999999</v>
      </c>
      <c r="M98" s="2"/>
      <c r="N98" s="7">
        <f t="shared" si="59"/>
        <v>2.3868354430379743</v>
      </c>
      <c r="O98" s="10"/>
      <c r="P98" s="6">
        <v>1630.71</v>
      </c>
      <c r="Q98" s="2"/>
      <c r="R98" s="7">
        <f t="shared" si="60"/>
        <v>6.3388498130950667E-4</v>
      </c>
      <c r="S98" s="2"/>
      <c r="T98" s="6">
        <v>1185.1400000000001</v>
      </c>
      <c r="U98" s="2"/>
      <c r="V98" s="7">
        <f t="shared" si="61"/>
        <v>4.862153872051974E-4</v>
      </c>
      <c r="W98" s="2"/>
      <c r="X98" s="6">
        <f t="shared" si="62"/>
        <v>445.56999999999994</v>
      </c>
      <c r="Y98" s="2"/>
      <c r="Z98" s="7">
        <f t="shared" si="63"/>
        <v>0.37596402112830546</v>
      </c>
    </row>
    <row r="99" spans="1:26" s="23" customFormat="1" hidden="1" outlineLevel="2" x14ac:dyDescent="0.25">
      <c r="A99" s="27"/>
      <c r="B99" s="10" t="str">
        <f>CONCATENATE("          ", "6245", " - ", "PRINTING")</f>
        <v xml:space="preserve">          6245 - PRINTING</v>
      </c>
      <c r="C99" s="10"/>
      <c r="D99" s="6"/>
      <c r="E99" s="2"/>
      <c r="F99" s="7">
        <f t="shared" si="56"/>
        <v>0</v>
      </c>
      <c r="G99" s="2"/>
      <c r="H99" s="6"/>
      <c r="I99" s="2"/>
      <c r="J99" s="7">
        <f t="shared" si="57"/>
        <v>0</v>
      </c>
      <c r="K99" s="2"/>
      <c r="L99" s="6">
        <f t="shared" si="58"/>
        <v>0</v>
      </c>
      <c r="M99" s="2"/>
      <c r="N99" s="7">
        <f t="shared" si="59"/>
        <v>0</v>
      </c>
      <c r="O99" s="10"/>
      <c r="P99" s="6"/>
      <c r="Q99" s="2"/>
      <c r="R99" s="7">
        <f t="shared" si="60"/>
        <v>0</v>
      </c>
      <c r="S99" s="2"/>
      <c r="T99" s="6">
        <v>0</v>
      </c>
      <c r="U99" s="2"/>
      <c r="V99" s="7">
        <f t="shared" si="61"/>
        <v>0</v>
      </c>
      <c r="W99" s="2"/>
      <c r="X99" s="6">
        <f t="shared" si="62"/>
        <v>0</v>
      </c>
      <c r="Y99" s="2"/>
      <c r="Z99" s="7">
        <f t="shared" si="63"/>
        <v>0</v>
      </c>
    </row>
    <row r="100" spans="1:26" s="23" customFormat="1" hidden="1" outlineLevel="2" x14ac:dyDescent="0.25">
      <c r="A100" s="27"/>
      <c r="B100" s="10" t="str">
        <f>CONCATENATE("          ", "6247", " - ", "STORE SUPPLIES")</f>
        <v xml:space="preserve">          6247 - STORE SUPPLIES</v>
      </c>
      <c r="C100" s="10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0"/>
      <c r="P100" s="6"/>
      <c r="Q100" s="2"/>
      <c r="R100" s="7">
        <f t="shared" si="60"/>
        <v>0</v>
      </c>
      <c r="S100" s="2"/>
      <c r="T100" s="6">
        <v>2009.38</v>
      </c>
      <c r="U100" s="2"/>
      <c r="V100" s="7">
        <f t="shared" si="61"/>
        <v>8.2436798584334294E-4</v>
      </c>
      <c r="W100" s="2"/>
      <c r="X100" s="6">
        <f t="shared" si="62"/>
        <v>-2009.38</v>
      </c>
      <c r="Y100" s="2"/>
      <c r="Z100" s="7">
        <f t="shared" si="63"/>
        <v>-1</v>
      </c>
    </row>
    <row r="101" spans="1:26" s="26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383.2</v>
      </c>
      <c r="E101" s="1"/>
      <c r="F101" s="5">
        <f t="shared" ref="F101:F106" si="64">IF(D$12=0,0,D101/D$12)</f>
        <v>2.558408765888239E-3</v>
      </c>
      <c r="G101" s="1"/>
      <c r="H101" s="1">
        <f>SUM(OSRRefH22_11x_0)</f>
        <v>212.75</v>
      </c>
      <c r="I101" s="1"/>
      <c r="J101" s="5">
        <f t="shared" ref="J101:J106" si="65">IF(H$12=0,0,H101/H$12)</f>
        <v>2.2264503558082202E-3</v>
      </c>
      <c r="K101" s="1"/>
      <c r="L101" s="1">
        <f t="shared" ref="L101:L106" si="66">+D101-H101</f>
        <v>170.45</v>
      </c>
      <c r="M101" s="1"/>
      <c r="N101" s="5">
        <f t="shared" ref="N101:N106" si="67">IF(H101=0,0,L101/H101)</f>
        <v>0.80117508813160987</v>
      </c>
      <c r="O101" s="12"/>
      <c r="P101" s="1">
        <f>SUM(OSRRefP22_11x_0)</f>
        <v>3260.75</v>
      </c>
      <c r="Q101" s="1"/>
      <c r="R101" s="5">
        <f t="shared" ref="R101:R106" si="68">IF(P$12=0,0,P101/P$12)</f>
        <v>1.2675095221130511E-3</v>
      </c>
      <c r="S101" s="1"/>
      <c r="T101" s="1">
        <f>SUM(OSRRefT22_11x_0)</f>
        <v>2725.2</v>
      </c>
      <c r="U101" s="1"/>
      <c r="V101" s="5">
        <f t="shared" ref="V101:V106" si="69">IF(T$12=0,0,T101/T$12)</f>
        <v>1.1180402089302562E-3</v>
      </c>
      <c r="W101" s="1"/>
      <c r="X101" s="1">
        <f t="shared" ref="X101:X106" si="70">+P101-T101</f>
        <v>535.55000000000018</v>
      </c>
      <c r="Y101" s="1"/>
      <c r="Z101" s="5">
        <f t="shared" ref="Z101:Z106" si="71">IF(T101=0,0,X101/T101)</f>
        <v>0.19651768677528264</v>
      </c>
    </row>
    <row r="102" spans="1:26" s="23" customFormat="1" hidden="1" outlineLevel="2" x14ac:dyDescent="0.25">
      <c r="A102" s="27"/>
      <c r="B102" s="10" t="str">
        <f>CONCATENATE("          ", "6309", " - ", "TELEPHONE")</f>
        <v xml:space="preserve">          6309 - TELEPHONE</v>
      </c>
      <c r="C102" s="10"/>
      <c r="D102" s="6">
        <v>383.2</v>
      </c>
      <c r="E102" s="2"/>
      <c r="F102" s="7">
        <f t="shared" si="64"/>
        <v>2.558408765888239E-3</v>
      </c>
      <c r="G102" s="2"/>
      <c r="H102" s="6">
        <v>212.75</v>
      </c>
      <c r="I102" s="2"/>
      <c r="J102" s="7">
        <f t="shared" si="65"/>
        <v>2.2264503558082202E-3</v>
      </c>
      <c r="K102" s="2"/>
      <c r="L102" s="6">
        <f t="shared" si="66"/>
        <v>170.45</v>
      </c>
      <c r="M102" s="2"/>
      <c r="N102" s="7">
        <f t="shared" si="67"/>
        <v>0.80117508813160987</v>
      </c>
      <c r="O102" s="10"/>
      <c r="P102" s="6">
        <v>3260.75</v>
      </c>
      <c r="Q102" s="2"/>
      <c r="R102" s="7">
        <f t="shared" si="68"/>
        <v>1.2675095221130511E-3</v>
      </c>
      <c r="S102" s="2"/>
      <c r="T102" s="6">
        <v>2725.2</v>
      </c>
      <c r="U102" s="2"/>
      <c r="V102" s="7">
        <f t="shared" si="69"/>
        <v>1.1180402089302562E-3</v>
      </c>
      <c r="W102" s="2"/>
      <c r="X102" s="6">
        <f t="shared" si="70"/>
        <v>535.55000000000018</v>
      </c>
      <c r="Y102" s="2"/>
      <c r="Z102" s="7">
        <f t="shared" si="71"/>
        <v>0.19651768677528264</v>
      </c>
    </row>
    <row r="103" spans="1:26" s="26" customFormat="1" outlineLevel="1" collapsed="1" x14ac:dyDescent="0.25">
      <c r="A103" s="25"/>
      <c r="B103" s="12" t="str">
        <f>CONCATENATE("     ","Training                                          ")</f>
        <v xml:space="preserve">     Training                                          </v>
      </c>
      <c r="C103" s="12"/>
      <c r="D103" s="1">
        <f>SUM(OSRRefD22_12x_0)</f>
        <v>0</v>
      </c>
      <c r="E103" s="1"/>
      <c r="F103" s="5">
        <f t="shared" si="64"/>
        <v>0</v>
      </c>
      <c r="G103" s="1"/>
      <c r="H103" s="1">
        <f>SUM(OSRRefH22_12x_0)</f>
        <v>0</v>
      </c>
      <c r="I103" s="1"/>
      <c r="J103" s="5">
        <f t="shared" si="65"/>
        <v>0</v>
      </c>
      <c r="K103" s="1"/>
      <c r="L103" s="1">
        <f t="shared" si="66"/>
        <v>0</v>
      </c>
      <c r="M103" s="1"/>
      <c r="N103" s="5">
        <f t="shared" si="67"/>
        <v>0</v>
      </c>
      <c r="O103" s="12"/>
      <c r="P103" s="1">
        <f>SUM(OSRRefP22_12x_0)</f>
        <v>100</v>
      </c>
      <c r="Q103" s="1"/>
      <c r="R103" s="5">
        <f t="shared" si="68"/>
        <v>3.8871717307768191E-5</v>
      </c>
      <c r="S103" s="1"/>
      <c r="T103" s="1">
        <f>SUM(OSRRefT22_12x_0)</f>
        <v>1875.75</v>
      </c>
      <c r="U103" s="1"/>
      <c r="V103" s="5">
        <f t="shared" si="69"/>
        <v>7.6954495886574488E-4</v>
      </c>
      <c r="W103" s="1"/>
      <c r="X103" s="1">
        <f t="shared" si="70"/>
        <v>-1775.75</v>
      </c>
      <c r="Y103" s="1"/>
      <c r="Z103" s="5">
        <f t="shared" si="71"/>
        <v>-0.94668799147007865</v>
      </c>
    </row>
    <row r="104" spans="1:26" s="23" customFormat="1" hidden="1" outlineLevel="2" x14ac:dyDescent="0.25">
      <c r="A104" s="27"/>
      <c r="B104" s="10" t="str">
        <f>CONCATENATE("          ", "6376", " - ", "TRAINING")</f>
        <v xml:space="preserve">          6376 - TRAINING</v>
      </c>
      <c r="C104" s="10"/>
      <c r="D104" s="6"/>
      <c r="E104" s="2"/>
      <c r="F104" s="7">
        <f t="shared" si="64"/>
        <v>0</v>
      </c>
      <c r="G104" s="2"/>
      <c r="H104" s="6"/>
      <c r="I104" s="2"/>
      <c r="J104" s="7">
        <f t="shared" si="65"/>
        <v>0</v>
      </c>
      <c r="K104" s="2"/>
      <c r="L104" s="6">
        <f t="shared" si="66"/>
        <v>0</v>
      </c>
      <c r="M104" s="2"/>
      <c r="N104" s="7">
        <f t="shared" si="67"/>
        <v>0</v>
      </c>
      <c r="O104" s="10"/>
      <c r="P104" s="6">
        <v>100</v>
      </c>
      <c r="Q104" s="2"/>
      <c r="R104" s="7">
        <f t="shared" si="68"/>
        <v>3.8871717307768191E-5</v>
      </c>
      <c r="S104" s="2"/>
      <c r="T104" s="6">
        <v>1875.75</v>
      </c>
      <c r="U104" s="2"/>
      <c r="V104" s="7">
        <f t="shared" si="69"/>
        <v>7.6954495886574488E-4</v>
      </c>
      <c r="W104" s="2"/>
      <c r="X104" s="6">
        <f t="shared" si="70"/>
        <v>-1775.75</v>
      </c>
      <c r="Y104" s="2"/>
      <c r="Z104" s="7">
        <f t="shared" si="71"/>
        <v>-0.94668799147007865</v>
      </c>
    </row>
    <row r="105" spans="1:26" s="26" customFormat="1" outlineLevel="1" collapsed="1" x14ac:dyDescent="0.25">
      <c r="A105" s="25"/>
      <c r="B105" s="12" t="str">
        <f>CONCATENATE("     ","Travel                                            ")</f>
        <v xml:space="preserve">     Travel                                            </v>
      </c>
      <c r="C105" s="12"/>
      <c r="D105" s="1">
        <f>SUM(OSRRefD22_13x_0)</f>
        <v>0</v>
      </c>
      <c r="E105" s="1"/>
      <c r="F105" s="5">
        <f t="shared" si="64"/>
        <v>0</v>
      </c>
      <c r="G105" s="1"/>
      <c r="H105" s="1">
        <f>SUM(OSRRefH22_13x_0)</f>
        <v>0</v>
      </c>
      <c r="I105" s="1"/>
      <c r="J105" s="5">
        <f t="shared" si="65"/>
        <v>0</v>
      </c>
      <c r="K105" s="1"/>
      <c r="L105" s="1">
        <f t="shared" si="66"/>
        <v>0</v>
      </c>
      <c r="M105" s="1"/>
      <c r="N105" s="5">
        <f t="shared" si="67"/>
        <v>0</v>
      </c>
      <c r="O105" s="12"/>
      <c r="P105" s="1">
        <f>SUM(OSRRefP22_13x_0)</f>
        <v>0</v>
      </c>
      <c r="Q105" s="1"/>
      <c r="R105" s="5">
        <f t="shared" si="68"/>
        <v>0</v>
      </c>
      <c r="S105" s="1"/>
      <c r="T105" s="1">
        <f>SUM(OSRRefT22_13x_0)</f>
        <v>-178.06</v>
      </c>
      <c r="U105" s="1"/>
      <c r="V105" s="5">
        <f t="shared" si="69"/>
        <v>-7.3050873184397997E-5</v>
      </c>
      <c r="W105" s="1"/>
      <c r="X105" s="1">
        <f t="shared" si="70"/>
        <v>178.06</v>
      </c>
      <c r="Y105" s="1"/>
      <c r="Z105" s="5">
        <f t="shared" si="71"/>
        <v>-1</v>
      </c>
    </row>
    <row r="106" spans="1:26" s="23" customFormat="1" hidden="1" outlineLevel="2" x14ac:dyDescent="0.25">
      <c r="A106" s="27"/>
      <c r="B106" s="10" t="str">
        <f>CONCATENATE("          ", "6292", " - ", "TRAVEL/CONFERENCE")</f>
        <v xml:space="preserve">          6292 - TRAVEL/CONFERENCE</v>
      </c>
      <c r="C106" s="10"/>
      <c r="D106" s="6"/>
      <c r="E106" s="2"/>
      <c r="F106" s="7">
        <f t="shared" si="64"/>
        <v>0</v>
      </c>
      <c r="G106" s="2"/>
      <c r="H106" s="6"/>
      <c r="I106" s="2"/>
      <c r="J106" s="7">
        <f t="shared" si="65"/>
        <v>0</v>
      </c>
      <c r="K106" s="2"/>
      <c r="L106" s="6">
        <f t="shared" si="66"/>
        <v>0</v>
      </c>
      <c r="M106" s="2"/>
      <c r="N106" s="7">
        <f t="shared" si="67"/>
        <v>0</v>
      </c>
      <c r="O106" s="10"/>
      <c r="P106" s="6"/>
      <c r="Q106" s="2"/>
      <c r="R106" s="7">
        <f t="shared" si="68"/>
        <v>0</v>
      </c>
      <c r="S106" s="2"/>
      <c r="T106" s="6">
        <v>-178.06</v>
      </c>
      <c r="U106" s="2"/>
      <c r="V106" s="7">
        <f t="shared" si="69"/>
        <v>-7.3050873184397997E-5</v>
      </c>
      <c r="W106" s="2"/>
      <c r="X106" s="6">
        <f t="shared" si="70"/>
        <v>178.06</v>
      </c>
      <c r="Y106" s="2"/>
      <c r="Z106" s="7">
        <f t="shared" si="71"/>
        <v>-1</v>
      </c>
    </row>
    <row r="107" spans="1:26" s="57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4" customFormat="1" collapsed="1" x14ac:dyDescent="0.25">
      <c r="A108" s="11"/>
      <c r="B108" s="29" t="s">
        <v>292</v>
      </c>
      <c r="C108" s="11"/>
      <c r="D108" s="4">
        <f>SUM(OSRRefD25x_0)</f>
        <v>296.52000000000004</v>
      </c>
      <c r="E108" s="4"/>
      <c r="F108" s="13">
        <f t="shared" ref="F108:F112" si="72">IF(D$12=0,0,D108/D$12)</f>
        <v>1.9796956348151901E-3</v>
      </c>
      <c r="G108" s="4"/>
      <c r="H108" s="4">
        <f>SUM(OSRRefH25x_0)</f>
        <v>-294.75</v>
      </c>
      <c r="I108" s="4"/>
      <c r="J108" s="13">
        <f t="shared" ref="J108:J112" si="73">IF(H$12=0,0,H108/H$12)</f>
        <v>-3.0845886833112709E-3</v>
      </c>
      <c r="K108" s="4"/>
      <c r="L108" s="4">
        <f t="shared" ref="L108:L112" si="74">+D108-H108</f>
        <v>591.27</v>
      </c>
      <c r="M108" s="4"/>
      <c r="N108" s="13">
        <f t="shared" ref="N108:N112" si="75">IF(H108=0,0,L108/H108)</f>
        <v>-2.0060050890585241</v>
      </c>
      <c r="O108" s="11"/>
      <c r="P108" s="4">
        <f>SUM(OSRRefP25x_0)</f>
        <v>4032.78</v>
      </c>
      <c r="Q108" s="4"/>
      <c r="R108" s="13">
        <f t="shared" ref="R108:R112" si="76">IF(P$12=0,0,P108/P$12)</f>
        <v>1.5676108412442141E-3</v>
      </c>
      <c r="S108" s="4"/>
      <c r="T108" s="4">
        <f>SUM(OSRRefT25x_0)</f>
        <v>13362.580000000002</v>
      </c>
      <c r="U108" s="4"/>
      <c r="V108" s="13">
        <f t="shared" ref="V108:V112" si="77">IF(T$12=0,0,T108/T$12)</f>
        <v>5.4821303886126759E-3</v>
      </c>
      <c r="W108" s="4"/>
      <c r="X108" s="4">
        <f t="shared" ref="X108:X112" si="78">+P108-T108</f>
        <v>-9329.8000000000011</v>
      </c>
      <c r="Y108" s="4"/>
      <c r="Z108" s="13">
        <f t="shared" ref="Z108:Z112" si="79">IF(T108=0,0,X108/T108)</f>
        <v>-0.69820349064327392</v>
      </c>
    </row>
    <row r="109" spans="1:26" s="23" customFormat="1" hidden="1" outlineLevel="1" x14ac:dyDescent="0.25">
      <c r="A109" s="44"/>
      <c r="B109" s="10" t="str">
        <f>CONCATENATE("          ", "4187", " - ", "NON-TAXABLE SALES-COMPUTER REP")</f>
        <v xml:space="preserve">          4187 - NON-TAXABLE SALES-COMPUTER REP</v>
      </c>
      <c r="C109" s="10"/>
      <c r="D109" s="2">
        <f>--264.48</f>
        <v>264.48</v>
      </c>
      <c r="E109" s="2"/>
      <c r="F109" s="19">
        <f t="shared" si="72"/>
        <v>1.7657827515712983E-3</v>
      </c>
      <c r="G109" s="2"/>
      <c r="H109" s="2">
        <f>--99.99</f>
        <v>99.99</v>
      </c>
      <c r="I109" s="2"/>
      <c r="J109" s="19">
        <f t="shared" si="73"/>
        <v>1.0464055044759762E-3</v>
      </c>
      <c r="K109" s="2"/>
      <c r="L109" s="2">
        <f t="shared" si="74"/>
        <v>164.49</v>
      </c>
      <c r="M109" s="2"/>
      <c r="N109" s="19">
        <f t="shared" si="75"/>
        <v>1.6450645064506453</v>
      </c>
      <c r="O109" s="10"/>
      <c r="P109" s="2">
        <f>--3580.44</f>
        <v>3580.44</v>
      </c>
      <c r="Q109" s="2"/>
      <c r="R109" s="19">
        <f t="shared" si="76"/>
        <v>1.3917785151742555E-3</v>
      </c>
      <c r="S109" s="2"/>
      <c r="T109" s="2">
        <f>--16283.19</f>
        <v>16283.19</v>
      </c>
      <c r="U109" s="2"/>
      <c r="V109" s="19">
        <f t="shared" si="77"/>
        <v>6.6803394795431738E-3</v>
      </c>
      <c r="W109" s="2"/>
      <c r="X109" s="2">
        <f t="shared" si="78"/>
        <v>-12702.75</v>
      </c>
      <c r="Y109" s="2"/>
      <c r="Z109" s="19">
        <f t="shared" si="79"/>
        <v>-0.78011433877514169</v>
      </c>
    </row>
    <row r="110" spans="1:26" s="23" customFormat="1" hidden="1" outlineLevel="1" x14ac:dyDescent="0.25">
      <c r="A110" s="44"/>
      <c r="B110" s="10" t="str">
        <f>CONCATENATE("          ", "4387", " - ", "SALES RETURN NON TAXABLE-COMPU")</f>
        <v xml:space="preserve">          4387 - SALES RETURN NON TAXABLE-COMPU</v>
      </c>
      <c r="C110" s="10"/>
      <c r="D110" s="2">
        <f t="shared" ref="D110:D111" si="80">0</f>
        <v>0</v>
      </c>
      <c r="E110" s="2"/>
      <c r="F110" s="19">
        <f t="shared" si="72"/>
        <v>0</v>
      </c>
      <c r="G110" s="2"/>
      <c r="H110" s="2">
        <f>0</f>
        <v>0</v>
      </c>
      <c r="I110" s="2"/>
      <c r="J110" s="19">
        <f t="shared" si="73"/>
        <v>0</v>
      </c>
      <c r="K110" s="2"/>
      <c r="L110" s="2">
        <f t="shared" si="74"/>
        <v>0</v>
      </c>
      <c r="M110" s="2"/>
      <c r="N110" s="19">
        <f t="shared" si="75"/>
        <v>0</v>
      </c>
      <c r="O110" s="10"/>
      <c r="P110" s="2">
        <f t="shared" ref="P110:P111" si="81">0</f>
        <v>0</v>
      </c>
      <c r="Q110" s="2"/>
      <c r="R110" s="19">
        <f t="shared" si="76"/>
        <v>0</v>
      </c>
      <c r="S110" s="2"/>
      <c r="T110" s="2">
        <f>-7889</f>
        <v>-7889</v>
      </c>
      <c r="U110" s="2"/>
      <c r="V110" s="19">
        <f t="shared" si="77"/>
        <v>-3.2365401468702447E-3</v>
      </c>
      <c r="W110" s="2"/>
      <c r="X110" s="2">
        <f t="shared" si="78"/>
        <v>7889</v>
      </c>
      <c r="Y110" s="2"/>
      <c r="Z110" s="19">
        <f t="shared" si="79"/>
        <v>-1</v>
      </c>
    </row>
    <row r="111" spans="1:26" s="23" customFormat="1" hidden="1" outlineLevel="1" x14ac:dyDescent="0.25">
      <c r="A111" s="44"/>
      <c r="B111" s="10" t="str">
        <f>CONCATENATE("          ", "5087", " - ", "PURCHASES @ COST-COMPUTER REPA")</f>
        <v xml:space="preserve">          5087 - PURCHASES @ COST-COMPUTER REPA</v>
      </c>
      <c r="C111" s="10"/>
      <c r="D111" s="2">
        <f t="shared" si="80"/>
        <v>0</v>
      </c>
      <c r="E111" s="2"/>
      <c r="F111" s="19">
        <f t="shared" si="72"/>
        <v>0</v>
      </c>
      <c r="G111" s="2"/>
      <c r="H111" s="2">
        <f>--32.7</f>
        <v>32.700000000000003</v>
      </c>
      <c r="I111" s="2"/>
      <c r="J111" s="19">
        <f t="shared" si="73"/>
        <v>3.4220882084572883E-4</v>
      </c>
      <c r="K111" s="2"/>
      <c r="L111" s="2">
        <f t="shared" si="74"/>
        <v>-32.700000000000003</v>
      </c>
      <c r="M111" s="2"/>
      <c r="N111" s="19">
        <f t="shared" si="75"/>
        <v>-1</v>
      </c>
      <c r="O111" s="10"/>
      <c r="P111" s="2">
        <f t="shared" si="81"/>
        <v>0</v>
      </c>
      <c r="Q111" s="2"/>
      <c r="R111" s="19">
        <f t="shared" si="76"/>
        <v>0</v>
      </c>
      <c r="S111" s="2"/>
      <c r="T111" s="2">
        <f>-72.06</f>
        <v>-72.06</v>
      </c>
      <c r="U111" s="2"/>
      <c r="V111" s="19">
        <f t="shared" si="77"/>
        <v>-2.95633265285169E-5</v>
      </c>
      <c r="W111" s="2"/>
      <c r="X111" s="2">
        <f t="shared" si="78"/>
        <v>72.06</v>
      </c>
      <c r="Y111" s="2"/>
      <c r="Z111" s="19">
        <f t="shared" si="79"/>
        <v>-1</v>
      </c>
    </row>
    <row r="112" spans="1:26" s="23" customFormat="1" hidden="1" outlineLevel="1" x14ac:dyDescent="0.25">
      <c r="A112" s="44"/>
      <c r="B112" s="10" t="str">
        <f>CONCATENATE("          ", "9150", " - ", "MISC. INCOME")</f>
        <v xml:space="preserve">          9150 - MISC. INCOME</v>
      </c>
      <c r="C112" s="10"/>
      <c r="D112" s="2">
        <f>--32.04</f>
        <v>32.04</v>
      </c>
      <c r="E112" s="2"/>
      <c r="F112" s="19">
        <f t="shared" si="72"/>
        <v>2.1391288324389138E-4</v>
      </c>
      <c r="G112" s="2"/>
      <c r="H112" s="2">
        <f>-427.44</f>
        <v>-427.44</v>
      </c>
      <c r="I112" s="2"/>
      <c r="J112" s="19">
        <f t="shared" si="73"/>
        <v>-4.4732030086329757E-3</v>
      </c>
      <c r="K112" s="2"/>
      <c r="L112" s="2">
        <f t="shared" si="74"/>
        <v>459.48</v>
      </c>
      <c r="M112" s="2"/>
      <c r="N112" s="19">
        <f t="shared" si="75"/>
        <v>-1.0749578888265021</v>
      </c>
      <c r="O112" s="10"/>
      <c r="P112" s="2">
        <f>--452.34</f>
        <v>452.34</v>
      </c>
      <c r="Q112" s="2"/>
      <c r="R112" s="19">
        <f t="shared" si="76"/>
        <v>1.7583232606995861E-4</v>
      </c>
      <c r="S112" s="2"/>
      <c r="T112" s="2">
        <f>--5040.45</f>
        <v>5040.45</v>
      </c>
      <c r="U112" s="2"/>
      <c r="V112" s="19">
        <f t="shared" si="77"/>
        <v>2.0678943824682626E-3</v>
      </c>
      <c r="W112" s="2"/>
      <c r="X112" s="2">
        <f t="shared" si="78"/>
        <v>-4588.1099999999997</v>
      </c>
      <c r="Y112" s="2"/>
      <c r="Z112" s="19">
        <f t="shared" si="79"/>
        <v>-0.91025801267743944</v>
      </c>
    </row>
    <row r="113" spans="1:26" x14ac:dyDescent="0.25">
      <c r="A113" s="9"/>
      <c r="B113" s="11"/>
      <c r="C113" s="11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1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x14ac:dyDescent="0.25">
      <c r="A114" s="11"/>
      <c r="B114" s="28" t="s">
        <v>276</v>
      </c>
      <c r="C114" s="28"/>
      <c r="D114" s="20">
        <f>+D57-D59+D108</f>
        <v>79773.48000000001</v>
      </c>
      <c r="E114" s="14"/>
      <c r="F114" s="21">
        <f>IF(D$12=0,0,D114/D$12)</f>
        <v>0.53260221951307452</v>
      </c>
      <c r="G114" s="14"/>
      <c r="H114" s="20">
        <f>+H57-H59+H108</f>
        <v>-6321.5500000000029</v>
      </c>
      <c r="I114" s="14"/>
      <c r="J114" s="21">
        <f>IF(H$12=0,0,H114/H$12)</f>
        <v>-6.6155662734474555E-2</v>
      </c>
      <c r="K114" s="15"/>
      <c r="L114" s="20">
        <f>+D114-H114</f>
        <v>86095.030000000013</v>
      </c>
      <c r="M114" s="15"/>
      <c r="N114" s="21">
        <f>IF(H114=0,0,L114/H114)</f>
        <v>-13.619291154859168</v>
      </c>
      <c r="O114" s="29"/>
      <c r="P114" s="20">
        <f>+P57-P59+P108</f>
        <v>134663.01999999923</v>
      </c>
      <c r="Q114" s="14"/>
      <c r="R114" s="21">
        <f>IF(P$12=0,0,P114/P$12)</f>
        <v>5.2345828452503039E-2</v>
      </c>
      <c r="S114" s="14"/>
      <c r="T114" s="20">
        <f>+T57-T59+T108</f>
        <v>118962.1100000007</v>
      </c>
      <c r="U114" s="14"/>
      <c r="V114" s="21">
        <f>IF(T$12=0,0,T114/T$12)</f>
        <v>4.8805380272708386E-2</v>
      </c>
      <c r="W114" s="15"/>
      <c r="X114" s="20">
        <f>+P114-T114</f>
        <v>15700.909999998534</v>
      </c>
      <c r="Y114" s="15"/>
      <c r="Z114" s="21">
        <f>IF(T114=0,0,X114/T114)</f>
        <v>0.13198244382180546</v>
      </c>
    </row>
    <row r="115" spans="1:26" x14ac:dyDescent="0.25">
      <c r="A115" s="9"/>
      <c r="B115" s="11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4" customFormat="1" x14ac:dyDescent="0.25">
      <c r="A116" s="51"/>
      <c r="B116" s="11" t="s">
        <v>127</v>
      </c>
      <c r="C116" s="11"/>
      <c r="D116" s="4">
        <v>42876.41</v>
      </c>
      <c r="E116" s="4"/>
      <c r="F116" s="13">
        <f>IF(D$12=0,0,D116/D$12)</f>
        <v>0.28626143839722901</v>
      </c>
      <c r="G116" s="4"/>
      <c r="H116" s="4">
        <v>22739.03</v>
      </c>
      <c r="I116" s="4"/>
      <c r="J116" s="13">
        <f>IF(H$12=0,0,H116/H$12)</f>
        <v>0.2379662582102646</v>
      </c>
      <c r="K116" s="4"/>
      <c r="L116" s="4">
        <f>+D116-H116</f>
        <v>20137.380000000005</v>
      </c>
      <c r="M116" s="4"/>
      <c r="N116" s="13">
        <f>IF(H116=0,0,L116/H116)</f>
        <v>0.88558658834611703</v>
      </c>
      <c r="O116" s="11"/>
      <c r="P116" s="4">
        <v>549732.64</v>
      </c>
      <c r="Q116" s="4"/>
      <c r="R116" s="13">
        <f>IF(P$12=0,0,P116/P$12)</f>
        <v>0.21369051776933098</v>
      </c>
      <c r="S116" s="4"/>
      <c r="T116" s="4">
        <v>288647.71000000002</v>
      </c>
      <c r="U116" s="4"/>
      <c r="V116" s="13">
        <f>IF(T$12=0,0,T116/T$12)</f>
        <v>0.11842057316734185</v>
      </c>
      <c r="W116" s="4"/>
      <c r="X116" s="4">
        <f>+P116-T116</f>
        <v>261084.93</v>
      </c>
      <c r="Y116" s="4"/>
      <c r="Z116" s="13">
        <f>IF(T116=0,0,X116/T116)</f>
        <v>0.90451065764561223</v>
      </c>
    </row>
    <row r="117" spans="1:26" x14ac:dyDescent="0.25">
      <c r="A117" s="9"/>
      <c r="B117" s="11"/>
      <c r="C117" s="11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1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4" customFormat="1" ht="15.75" thickBot="1" x14ac:dyDescent="0.3">
      <c r="A118" s="11"/>
      <c r="B118" s="28" t="s">
        <v>125</v>
      </c>
      <c r="C118" s="28"/>
      <c r="D118" s="35">
        <f>+D114-D116</f>
        <v>36897.070000000007</v>
      </c>
      <c r="E118" s="14"/>
      <c r="F118" s="36">
        <f>IF(D$12=0,0,D118/D$12)</f>
        <v>0.24634078111584548</v>
      </c>
      <c r="G118" s="14"/>
      <c r="H118" s="35">
        <f>+H114-H116</f>
        <v>-29060.58</v>
      </c>
      <c r="I118" s="14"/>
      <c r="J118" s="36">
        <f>IF(H$12=0,0,H118/H$12)</f>
        <v>-0.30412192094473917</v>
      </c>
      <c r="K118" s="15"/>
      <c r="L118" s="35">
        <f>D118-H118</f>
        <v>65957.650000000009</v>
      </c>
      <c r="M118" s="15"/>
      <c r="N118" s="36">
        <f>IF(H118=0,0,L118/H118)</f>
        <v>-2.2696604816559067</v>
      </c>
      <c r="O118" s="29"/>
      <c r="P118" s="35">
        <f>+P114-P116</f>
        <v>-415069.62000000081</v>
      </c>
      <c r="Q118" s="14"/>
      <c r="R118" s="36">
        <f>IF(P$12=0,0,P118/P$12)</f>
        <v>-0.16134468931682797</v>
      </c>
      <c r="S118" s="14"/>
      <c r="T118" s="35">
        <f>+T114-T116</f>
        <v>-169685.59999999934</v>
      </c>
      <c r="U118" s="14"/>
      <c r="V118" s="36">
        <f>IF(T$12=0,0,T118/T$12)</f>
        <v>-6.9615192894633471E-2</v>
      </c>
      <c r="W118" s="15"/>
      <c r="X118" s="35">
        <f>P118-T118</f>
        <v>-245384.02000000147</v>
      </c>
      <c r="Y118" s="15"/>
      <c r="Z118" s="36">
        <f>IF(T118=0,0,X118/T118)</f>
        <v>1.4461098643609265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ht="15.75" thickBot="1" x14ac:dyDescent="0.3">
      <c r="A121" s="11"/>
      <c r="B121" s="28" t="s">
        <v>293</v>
      </c>
      <c r="C121" s="28"/>
      <c r="D121" s="30">
        <f>SUM(D118:D120)</f>
        <v>36897.070000000007</v>
      </c>
      <c r="E121" s="14"/>
      <c r="F121" s="31">
        <f>IF(D$12=0,0,D121/D$12)</f>
        <v>0.24634078111584548</v>
      </c>
      <c r="G121" s="14"/>
      <c r="H121" s="30">
        <f>SUM(H118:H120)</f>
        <v>-29060.58</v>
      </c>
      <c r="I121" s="14"/>
      <c r="J121" s="31">
        <f>IF(H$12=0,0,H121/H$12)</f>
        <v>-0.30412192094473917</v>
      </c>
      <c r="K121" s="15"/>
      <c r="L121" s="30">
        <f>+D121-H121</f>
        <v>65957.650000000009</v>
      </c>
      <c r="M121" s="15"/>
      <c r="N121" s="31">
        <f>IF(H121=0,0,L121/H121)</f>
        <v>-2.2696604816559067</v>
      </c>
      <c r="O121" s="29"/>
      <c r="P121" s="30">
        <f>SUM(P118:P120)</f>
        <v>-415069.62000000081</v>
      </c>
      <c r="Q121" s="14"/>
      <c r="R121" s="31">
        <f>IF(P$12=0,0,P121/P$12)</f>
        <v>-0.16134468931682797</v>
      </c>
      <c r="S121" s="14"/>
      <c r="T121" s="30">
        <f>SUM(T118:T120)</f>
        <v>-169685.59999999934</v>
      </c>
      <c r="U121" s="14"/>
      <c r="V121" s="31">
        <f>IF(T$12=0,0,T121/T$12)</f>
        <v>-6.9615192894633471E-2</v>
      </c>
      <c r="W121" s="15"/>
      <c r="X121" s="30">
        <f>+P121-T121</f>
        <v>-245384.02000000147</v>
      </c>
      <c r="Y121" s="15"/>
      <c r="Z121" s="31">
        <f>IF(T121=0,0,X121/T121)</f>
        <v>1.4461098643609265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59">
        <v>44356.893348032405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2" t="s">
        <v>56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4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</v>
      </c>
      <c r="E12" s="4"/>
      <c r="F12" s="13"/>
      <c r="G12" s="4"/>
      <c r="H12" s="4">
        <f>SUM(OSRRefH13x_0)</f>
        <v>28.36</v>
      </c>
      <c r="I12" s="4"/>
      <c r="J12" s="13"/>
      <c r="K12" s="4"/>
      <c r="L12" s="4">
        <f t="shared" ref="L12:L22" si="0">+D12-H12</f>
        <v>-24.36</v>
      </c>
      <c r="M12" s="4"/>
      <c r="N12" s="13">
        <f t="shared" ref="N12:N22" si="1">IF(H12=0,0,L12/H12)</f>
        <v>-0.85895627644569816</v>
      </c>
      <c r="O12" s="11"/>
      <c r="P12" s="4">
        <f>SUM(OSRRefP13x_0)</f>
        <v>2876.92</v>
      </c>
      <c r="Q12" s="4"/>
      <c r="R12" s="13"/>
      <c r="S12" s="4"/>
      <c r="T12" s="4">
        <f>SUM(OSRRefT13x_0)</f>
        <v>2364609.25</v>
      </c>
      <c r="U12" s="4"/>
      <c r="V12" s="13"/>
      <c r="W12" s="4"/>
      <c r="X12" s="4">
        <f t="shared" ref="X12:X22" si="2">+P12-T12</f>
        <v>-2361732.33</v>
      </c>
      <c r="Y12" s="4"/>
      <c r="Z12" s="13">
        <f t="shared" ref="Z12:Z22" si="3">IF(T12=0,0,X12/T12)</f>
        <v>-0.99878334232178112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21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6" si="6"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--149404.53</f>
        <v>149404.53</v>
      </c>
      <c r="U15" s="2"/>
      <c r="V15" s="19"/>
      <c r="W15" s="2"/>
      <c r="X15" s="2">
        <f t="shared" si="2"/>
        <v>-149404.53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"4131", " - ", "NON-TAXABLE SALES-FOOD")</f>
        <v xml:space="preserve">          4131 - NON-TAXABLE SALES-FOOD</v>
      </c>
      <c r="C16" s="10"/>
      <c r="D16" s="2">
        <f t="shared" si="4"/>
        <v>0</v>
      </c>
      <c r="E16" s="2"/>
      <c r="F16" s="19"/>
      <c r="G16" s="2"/>
      <c r="H16" s="2">
        <f>--2.48</f>
        <v>2.48</v>
      </c>
      <c r="I16" s="2"/>
      <c r="J16" s="19"/>
      <c r="K16" s="2"/>
      <c r="L16" s="2">
        <f t="shared" si="0"/>
        <v>-2.48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--2.48</f>
        <v>2.48</v>
      </c>
      <c r="U16" s="2"/>
      <c r="V16" s="19"/>
      <c r="W16" s="2"/>
      <c r="X16" s="2">
        <f t="shared" si="2"/>
        <v>-2.48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"4132", " - ", "NON-TAXABLE SALES-JUICE")</f>
        <v xml:space="preserve">          4132 - NON-TAXABLE SALES-JUICE</v>
      </c>
      <c r="C17" s="10"/>
      <c r="D17" s="2">
        <f t="shared" si="4"/>
        <v>0</v>
      </c>
      <c r="E17" s="2"/>
      <c r="F17" s="19"/>
      <c r="G17" s="2"/>
      <c r="H17" s="2">
        <f t="shared" ref="H17:H18" si="7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--2031.88</f>
        <v>2031.88</v>
      </c>
      <c r="Q17" s="2"/>
      <c r="R17" s="19"/>
      <c r="S17" s="2"/>
      <c r="T17" s="2">
        <f>--1093778.15</f>
        <v>1093778.1499999999</v>
      </c>
      <c r="U17" s="2"/>
      <c r="V17" s="19"/>
      <c r="W17" s="2"/>
      <c r="X17" s="2">
        <f t="shared" si="2"/>
        <v>-1091746.27</v>
      </c>
      <c r="Y17" s="2"/>
      <c r="Z17" s="19">
        <f t="shared" si="3"/>
        <v>-0.99814232895400234</v>
      </c>
    </row>
    <row r="18" spans="1:26" s="23" customFormat="1" hidden="1" outlineLevel="1" x14ac:dyDescent="0.25">
      <c r="A18" s="44"/>
      <c r="B18" s="10" t="str">
        <f>CONCATENATE("          ", "4133", " - ", "NON-TAXABLE SALES-CANDY")</f>
        <v xml:space="preserve">          4133 - NON-TAXABLE SALES-CANDY</v>
      </c>
      <c r="C18" s="10"/>
      <c r="D18" s="2">
        <f t="shared" si="4"/>
        <v>0</v>
      </c>
      <c r="E18" s="2"/>
      <c r="F18" s="19"/>
      <c r="G18" s="2"/>
      <c r="H18" s="2">
        <f t="shared" si="7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ref="P18:P21" si="8">0</f>
        <v>0</v>
      </c>
      <c r="Q18" s="2"/>
      <c r="R18" s="19"/>
      <c r="S18" s="2"/>
      <c r="T18" s="2">
        <f>--1.59</f>
        <v>1.59</v>
      </c>
      <c r="U18" s="2"/>
      <c r="V18" s="19"/>
      <c r="W18" s="2"/>
      <c r="X18" s="2">
        <f t="shared" si="2"/>
        <v>-1.59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"4134", " - ", "NON-TAXABLE SALES-SODA")</f>
        <v xml:space="preserve">          4134 - NON-TAXABLE SALES-SODA</v>
      </c>
      <c r="C19" s="10"/>
      <c r="D19" s="2">
        <f t="shared" si="4"/>
        <v>0</v>
      </c>
      <c r="E19" s="2"/>
      <c r="F19" s="19"/>
      <c r="G19" s="2"/>
      <c r="H19" s="2">
        <f>--23.64</f>
        <v>23.64</v>
      </c>
      <c r="I19" s="2"/>
      <c r="J19" s="19"/>
      <c r="K19" s="2"/>
      <c r="L19" s="2">
        <f t="shared" si="0"/>
        <v>-23.64</v>
      </c>
      <c r="M19" s="2"/>
      <c r="N19" s="19">
        <f t="shared" si="1"/>
        <v>-1</v>
      </c>
      <c r="O19" s="10"/>
      <c r="P19" s="2">
        <f t="shared" si="8"/>
        <v>0</v>
      </c>
      <c r="Q19" s="2"/>
      <c r="R19" s="19"/>
      <c r="S19" s="2"/>
      <c r="T19" s="2">
        <f>--94.84</f>
        <v>94.84</v>
      </c>
      <c r="U19" s="2"/>
      <c r="V19" s="19"/>
      <c r="W19" s="2"/>
      <c r="X19" s="2">
        <f t="shared" si="2"/>
        <v>-94.84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"4137", " - ", "NON-TAXABLE SALES-WATER")</f>
        <v xml:space="preserve">          4137 - NON-TAXABLE SALES-WATER</v>
      </c>
      <c r="C20" s="10"/>
      <c r="D20" s="2">
        <f t="shared" si="4"/>
        <v>0</v>
      </c>
      <c r="E20" s="2"/>
      <c r="F20" s="19"/>
      <c r="G20" s="2"/>
      <c r="H20" s="2">
        <f>--2.24</f>
        <v>2.2400000000000002</v>
      </c>
      <c r="I20" s="2"/>
      <c r="J20" s="19"/>
      <c r="K20" s="2"/>
      <c r="L20" s="2">
        <f t="shared" si="0"/>
        <v>-2.2400000000000002</v>
      </c>
      <c r="M20" s="2"/>
      <c r="N20" s="19">
        <f t="shared" si="1"/>
        <v>-1</v>
      </c>
      <c r="O20" s="10"/>
      <c r="P20" s="2">
        <f t="shared" si="8"/>
        <v>0</v>
      </c>
      <c r="Q20" s="2"/>
      <c r="R20" s="19"/>
      <c r="S20" s="2"/>
      <c r="T20" s="2">
        <f>--1575.68</f>
        <v>1575.68</v>
      </c>
      <c r="U20" s="2"/>
      <c r="V20" s="19"/>
      <c r="W20" s="2"/>
      <c r="X20" s="2">
        <f t="shared" si="2"/>
        <v>-1575.68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"4151", " - ", "NON-TAXABLE SALES-FOOD")</f>
        <v xml:space="preserve">          4151 - NON-TAXABLE SALES-FOOD</v>
      </c>
      <c r="C21" s="10"/>
      <c r="D21" s="2">
        <f t="shared" si="4"/>
        <v>0</v>
      </c>
      <c r="E21" s="2"/>
      <c r="F21" s="19"/>
      <c r="G21" s="2"/>
      <c r="H21" s="2">
        <f t="shared" ref="H21:H22" si="9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8"/>
        <v>0</v>
      </c>
      <c r="Q21" s="2"/>
      <c r="R21" s="19"/>
      <c r="S21" s="2"/>
      <c r="T21" s="2">
        <f>--828068.07</f>
        <v>828068.07</v>
      </c>
      <c r="U21" s="2"/>
      <c r="V21" s="19"/>
      <c r="W21" s="2"/>
      <c r="X21" s="2">
        <f t="shared" si="2"/>
        <v>-828068.07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"4153", " - ", "NON-TAXABLE SALES-FOOD")</f>
        <v xml:space="preserve">          4153 - NON-TAXABLE SALES-FOOD</v>
      </c>
      <c r="C22" s="10"/>
      <c r="D22" s="2">
        <f>--4</f>
        <v>4</v>
      </c>
      <c r="E22" s="2"/>
      <c r="F22" s="19"/>
      <c r="G22" s="2"/>
      <c r="H22" s="2">
        <f t="shared" si="9"/>
        <v>0</v>
      </c>
      <c r="I22" s="2"/>
      <c r="J22" s="19"/>
      <c r="K22" s="2"/>
      <c r="L22" s="2">
        <f t="shared" si="0"/>
        <v>4</v>
      </c>
      <c r="M22" s="2"/>
      <c r="N22" s="19">
        <f t="shared" si="1"/>
        <v>0</v>
      </c>
      <c r="O22" s="10"/>
      <c r="P22" s="2">
        <f>--400.45</f>
        <v>400.45</v>
      </c>
      <c r="Q22" s="2"/>
      <c r="R22" s="19"/>
      <c r="S22" s="2"/>
      <c r="T22" s="2">
        <f>--12812.5</f>
        <v>12812.5</v>
      </c>
      <c r="U22" s="2"/>
      <c r="V22" s="19"/>
      <c r="W22" s="2"/>
      <c r="X22" s="2">
        <f t="shared" si="2"/>
        <v>-12412.05</v>
      </c>
      <c r="Y22" s="2"/>
      <c r="Z22" s="19">
        <f t="shared" si="3"/>
        <v>-0.96874536585365845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9" t="s">
        <v>256</v>
      </c>
      <c r="C24" s="11"/>
      <c r="D24" s="4">
        <f>SUM(OSRRefD16x_0)</f>
        <v>-29</v>
      </c>
      <c r="E24" s="4"/>
      <c r="F24" s="13">
        <f t="shared" ref="F24:F26" si="10">IF(D$12=0,0,D24/D$12)</f>
        <v>-7.25</v>
      </c>
      <c r="G24" s="4"/>
      <c r="H24" s="4">
        <f>SUM(OSRRefH16x_0)</f>
        <v>-1756.38</v>
      </c>
      <c r="I24" s="4"/>
      <c r="J24" s="13">
        <f t="shared" ref="J24:J26" si="11">IF(H$12=0,0,H24/H$12)</f>
        <v>-61.931593794076171</v>
      </c>
      <c r="K24" s="4"/>
      <c r="L24" s="4">
        <f t="shared" ref="L24:L26" si="12">+D24-H24</f>
        <v>1727.38</v>
      </c>
      <c r="M24" s="4"/>
      <c r="N24" s="13">
        <f t="shared" ref="N24:N26" si="13">IF(H24=0,0,L24/H24)</f>
        <v>-0.98348876666780538</v>
      </c>
      <c r="O24" s="11"/>
      <c r="P24" s="4">
        <f>SUM(OSRRefP16x_0)</f>
        <v>28390.84</v>
      </c>
      <c r="Q24" s="4"/>
      <c r="R24" s="13">
        <f t="shared" ref="R24:R26" si="14">IF(P$12=0,0,P24/P$12)</f>
        <v>9.868484351320161</v>
      </c>
      <c r="S24" s="4"/>
      <c r="T24" s="4">
        <f>SUM(OSRRefT16x_0)</f>
        <v>1232330.8400000001</v>
      </c>
      <c r="U24" s="4"/>
      <c r="V24" s="13">
        <f t="shared" ref="V24:V26" si="15">IF(T$12=0,0,T24/T$12)</f>
        <v>0.52115622908943626</v>
      </c>
      <c r="W24" s="4"/>
      <c r="X24" s="4">
        <f t="shared" ref="X24:X26" si="16">+P24-T24</f>
        <v>-1203940</v>
      </c>
      <c r="Y24" s="4"/>
      <c r="Z24" s="13">
        <f t="shared" ref="Z24:Z26" si="17">IF(T24=0,0,X24/T24)</f>
        <v>-0.97696167370119535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-29</v>
      </c>
      <c r="E25" s="2"/>
      <c r="F25" s="19">
        <f t="shared" si="10"/>
        <v>-7.25</v>
      </c>
      <c r="G25" s="2"/>
      <c r="H25" s="2">
        <v>-1756.38</v>
      </c>
      <c r="I25" s="2"/>
      <c r="J25" s="19">
        <f t="shared" si="11"/>
        <v>-61.931593794076171</v>
      </c>
      <c r="K25" s="2"/>
      <c r="L25" s="2">
        <f t="shared" si="12"/>
        <v>1727.38</v>
      </c>
      <c r="M25" s="2"/>
      <c r="N25" s="19">
        <f t="shared" si="13"/>
        <v>-0.98348876666780538</v>
      </c>
      <c r="O25" s="10"/>
      <c r="P25" s="2">
        <v>-2499.15</v>
      </c>
      <c r="Q25" s="2"/>
      <c r="R25" s="19">
        <f t="shared" si="14"/>
        <v>-0.86868943175340296</v>
      </c>
      <c r="S25" s="2"/>
      <c r="T25" s="2">
        <v>1158504.04</v>
      </c>
      <c r="U25" s="2"/>
      <c r="V25" s="19">
        <f t="shared" si="15"/>
        <v>0.48993466468085584</v>
      </c>
      <c r="W25" s="2"/>
      <c r="X25" s="2">
        <f t="shared" si="16"/>
        <v>-1161003.19</v>
      </c>
      <c r="Y25" s="2"/>
      <c r="Z25" s="19">
        <f t="shared" si="17"/>
        <v>-1.002157221652848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/>
      <c r="E26" s="2"/>
      <c r="F26" s="19">
        <f t="shared" si="10"/>
        <v>0</v>
      </c>
      <c r="G26" s="2"/>
      <c r="H26" s="2"/>
      <c r="I26" s="2"/>
      <c r="J26" s="19">
        <f t="shared" si="11"/>
        <v>0</v>
      </c>
      <c r="K26" s="2"/>
      <c r="L26" s="2">
        <f t="shared" si="12"/>
        <v>0</v>
      </c>
      <c r="M26" s="2"/>
      <c r="N26" s="19">
        <f t="shared" si="13"/>
        <v>0</v>
      </c>
      <c r="O26" s="10"/>
      <c r="P26" s="2">
        <v>30889.99</v>
      </c>
      <c r="Q26" s="2"/>
      <c r="R26" s="19">
        <f t="shared" si="14"/>
        <v>10.737173783073565</v>
      </c>
      <c r="S26" s="2"/>
      <c r="T26" s="2">
        <v>73826.8</v>
      </c>
      <c r="U26" s="2"/>
      <c r="V26" s="19">
        <f t="shared" si="15"/>
        <v>3.1221564408580402E-2</v>
      </c>
      <c r="W26" s="2"/>
      <c r="X26" s="2">
        <f t="shared" si="16"/>
        <v>-42936.81</v>
      </c>
      <c r="Y26" s="2"/>
      <c r="Z26" s="19">
        <f t="shared" si="17"/>
        <v>-0.58158839337476353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8" t="s">
        <v>107</v>
      </c>
      <c r="C28" s="28"/>
      <c r="D28" s="20">
        <f>D12-D24</f>
        <v>33</v>
      </c>
      <c r="E28" s="14"/>
      <c r="F28" s="21">
        <f>IF(D$12=0,0,D28/D$12)</f>
        <v>8.25</v>
      </c>
      <c r="G28" s="14"/>
      <c r="H28" s="20">
        <f>H12-H24</f>
        <v>1784.74</v>
      </c>
      <c r="I28" s="14"/>
      <c r="J28" s="21">
        <f>IF(H$12=0,0,H28/H$12)</f>
        <v>62.931593794076164</v>
      </c>
      <c r="K28" s="15"/>
      <c r="L28" s="20">
        <f>+D28-H28</f>
        <v>-1751.74</v>
      </c>
      <c r="M28" s="15"/>
      <c r="N28" s="21">
        <f>IF(H28=0,0,L28/H28)</f>
        <v>-0.98150991180788238</v>
      </c>
      <c r="O28" s="29"/>
      <c r="P28" s="20">
        <f>P12-P24</f>
        <v>-25513.919999999998</v>
      </c>
      <c r="Q28" s="14"/>
      <c r="R28" s="21">
        <f>IF(P$12=0,0,P28/P$12)</f>
        <v>-8.868484351320161</v>
      </c>
      <c r="S28" s="14"/>
      <c r="T28" s="20">
        <f>T12-T24</f>
        <v>1132278.4099999999</v>
      </c>
      <c r="U28" s="14"/>
      <c r="V28" s="21">
        <f>IF(T$12=0,0,T28/T$12)</f>
        <v>0.47884377091056374</v>
      </c>
      <c r="W28" s="15"/>
      <c r="X28" s="20">
        <f>+P28-T28</f>
        <v>-1157792.3299999998</v>
      </c>
      <c r="Y28" s="15"/>
      <c r="Z28" s="21">
        <f>IF(T28=0,0,X28/T28)</f>
        <v>-1.0225332566395926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9" t="s">
        <v>294</v>
      </c>
      <c r="C30" s="11"/>
      <c r="D30" s="22">
        <f>SUM(OSRRefD22x_0)</f>
        <v>14923.33</v>
      </c>
      <c r="E30" s="22"/>
      <c r="F30" s="32">
        <f t="shared" ref="F30:F39" si="18">IF(D$12=0,0,D30/D$12)</f>
        <v>3730.8325</v>
      </c>
      <c r="G30" s="22"/>
      <c r="H30" s="22">
        <f>SUM(OSRRefH22x_0)</f>
        <v>35469.49</v>
      </c>
      <c r="I30" s="22"/>
      <c r="J30" s="32">
        <f t="shared" ref="J30:J39" si="19">IF(H$12=0,0,H30/H$12)</f>
        <v>1250.6872355430182</v>
      </c>
      <c r="K30" s="4"/>
      <c r="L30" s="22">
        <f t="shared" ref="L30:L39" si="20">+D30-H30</f>
        <v>-20546.159999999996</v>
      </c>
      <c r="M30" s="4"/>
      <c r="N30" s="32">
        <f t="shared" ref="N30:N39" si="21">IF(H30=0,0,L30/H30)</f>
        <v>-0.57926291017998843</v>
      </c>
      <c r="O30" s="11"/>
      <c r="P30" s="22">
        <f>SUM(OSRRefP22x_0)</f>
        <v>248028.43000000002</v>
      </c>
      <c r="Q30" s="22"/>
      <c r="R30" s="32">
        <f t="shared" ref="R30:R39" si="22">IF(P$12=0,0,P30/P$12)</f>
        <v>86.21318284832391</v>
      </c>
      <c r="S30" s="22"/>
      <c r="T30" s="22">
        <f>SUM(OSRRefT22x_0)</f>
        <v>1031678.3099999999</v>
      </c>
      <c r="U30" s="22"/>
      <c r="V30" s="32">
        <f t="shared" ref="V30:V39" si="23">IF(T$12=0,0,T30/T$12)</f>
        <v>0.43629970152573833</v>
      </c>
      <c r="W30" s="4"/>
      <c r="X30" s="22">
        <f t="shared" ref="X30:X39" si="24">+P30-T30</f>
        <v>-783649.87999999989</v>
      </c>
      <c r="Y30" s="4"/>
      <c r="Z30" s="32">
        <f t="shared" ref="Z30:Z39" si="25">IF(T30=0,0,X30/T30)</f>
        <v>-0.75958743379997973</v>
      </c>
    </row>
    <row r="31" spans="1:26" s="26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0</v>
      </c>
      <c r="E31" s="1"/>
      <c r="F31" s="5">
        <f t="shared" si="18"/>
        <v>0</v>
      </c>
      <c r="G31" s="1"/>
      <c r="H31" s="1">
        <f>SUM(OSRRefH22_0x_0)</f>
        <v>8924.130000000001</v>
      </c>
      <c r="I31" s="1"/>
      <c r="J31" s="5">
        <f t="shared" si="19"/>
        <v>314.67313117066294</v>
      </c>
      <c r="K31" s="1"/>
      <c r="L31" s="1">
        <f t="shared" si="20"/>
        <v>-8924.130000000001</v>
      </c>
      <c r="M31" s="1"/>
      <c r="N31" s="5">
        <f t="shared" si="21"/>
        <v>-1</v>
      </c>
      <c r="O31" s="12"/>
      <c r="P31" s="1">
        <f>SUM(OSRRefP22_0x_0)</f>
        <v>35025.26</v>
      </c>
      <c r="Q31" s="1"/>
      <c r="R31" s="5">
        <f t="shared" si="22"/>
        <v>12.174568635902284</v>
      </c>
      <c r="S31" s="1"/>
      <c r="T31" s="1">
        <f>SUM(OSRRefT22_0x_0)</f>
        <v>137348.59</v>
      </c>
      <c r="U31" s="1"/>
      <c r="V31" s="5">
        <f t="shared" si="23"/>
        <v>5.8085110679491757E-2</v>
      </c>
      <c r="W31" s="1"/>
      <c r="X31" s="1">
        <f t="shared" si="24"/>
        <v>-102323.32999999999</v>
      </c>
      <c r="Y31" s="1"/>
      <c r="Z31" s="5">
        <f t="shared" si="25"/>
        <v>-0.7449900286562825</v>
      </c>
    </row>
    <row r="32" spans="1:26" s="23" customFormat="1" hidden="1" outlineLevel="2" x14ac:dyDescent="0.25">
      <c r="A32" s="27"/>
      <c r="B32" s="10" t="str">
        <f>CONCATENATE("          ", "6111", " - ", "F.I.C.A.")</f>
        <v xml:space="preserve">          6111 - F.I.C.A.</v>
      </c>
      <c r="C32" s="10"/>
      <c r="D32" s="6"/>
      <c r="E32" s="2"/>
      <c r="F32" s="7">
        <f t="shared" si="18"/>
        <v>0</v>
      </c>
      <c r="G32" s="2"/>
      <c r="H32" s="6">
        <v>994.16</v>
      </c>
      <c r="I32" s="2"/>
      <c r="J32" s="7">
        <f t="shared" si="19"/>
        <v>35.055007052186177</v>
      </c>
      <c r="K32" s="2"/>
      <c r="L32" s="6">
        <f t="shared" si="20"/>
        <v>-994.16</v>
      </c>
      <c r="M32" s="2"/>
      <c r="N32" s="7">
        <f t="shared" si="21"/>
        <v>-1</v>
      </c>
      <c r="O32" s="10"/>
      <c r="P32" s="6">
        <v>3909.68</v>
      </c>
      <c r="Q32" s="2"/>
      <c r="R32" s="7">
        <f t="shared" si="22"/>
        <v>1.3589811326001418</v>
      </c>
      <c r="S32" s="2"/>
      <c r="T32" s="6">
        <v>23050.880000000001</v>
      </c>
      <c r="U32" s="2"/>
      <c r="V32" s="7">
        <f t="shared" si="23"/>
        <v>9.7482829351191961E-3</v>
      </c>
      <c r="W32" s="2"/>
      <c r="X32" s="6">
        <f t="shared" si="24"/>
        <v>-19141.2</v>
      </c>
      <c r="Y32" s="2"/>
      <c r="Z32" s="7">
        <f t="shared" si="25"/>
        <v>-0.8303891218035927</v>
      </c>
    </row>
    <row r="33" spans="1:26" s="23" customFormat="1" hidden="1" outlineLevel="2" x14ac:dyDescent="0.25">
      <c r="A33" s="27"/>
      <c r="B33" s="10" t="str">
        <f>CONCATENATE("          ", "6112", " - ", "COMPENSATION INSURANCE")</f>
        <v xml:space="preserve">          6112 - COMPENSATION INSURANCE</v>
      </c>
      <c r="C33" s="10"/>
      <c r="D33" s="6"/>
      <c r="E33" s="2"/>
      <c r="F33" s="7">
        <f t="shared" si="18"/>
        <v>0</v>
      </c>
      <c r="G33" s="2"/>
      <c r="H33" s="6">
        <v>370.37</v>
      </c>
      <c r="I33" s="2"/>
      <c r="J33" s="7">
        <f t="shared" si="19"/>
        <v>13.059590973201693</v>
      </c>
      <c r="K33" s="2"/>
      <c r="L33" s="6">
        <f t="shared" si="20"/>
        <v>-370.37</v>
      </c>
      <c r="M33" s="2"/>
      <c r="N33" s="7">
        <f t="shared" si="21"/>
        <v>-1</v>
      </c>
      <c r="O33" s="10"/>
      <c r="P33" s="6">
        <v>830.67</v>
      </c>
      <c r="Q33" s="2"/>
      <c r="R33" s="7">
        <f t="shared" si="22"/>
        <v>0.2887358703057436</v>
      </c>
      <c r="S33" s="2"/>
      <c r="T33" s="6">
        <v>9269.2900000000009</v>
      </c>
      <c r="U33" s="2"/>
      <c r="V33" s="7">
        <f t="shared" si="23"/>
        <v>3.9200091939080427E-3</v>
      </c>
      <c r="W33" s="2"/>
      <c r="X33" s="6">
        <f t="shared" si="24"/>
        <v>-8438.6200000000008</v>
      </c>
      <c r="Y33" s="2"/>
      <c r="Z33" s="7">
        <f t="shared" si="25"/>
        <v>-0.91038472202293808</v>
      </c>
    </row>
    <row r="34" spans="1:26" s="23" customFormat="1" hidden="1" outlineLevel="2" x14ac:dyDescent="0.25">
      <c r="A34" s="27"/>
      <c r="B34" s="10" t="str">
        <f>CONCATENATE("          ", "6113", " - ", "GROUP INSURANCE")</f>
        <v xml:space="preserve">          6113 - GROUP INSURANCE</v>
      </c>
      <c r="C34" s="10"/>
      <c r="D34" s="6"/>
      <c r="E34" s="2"/>
      <c r="F34" s="7">
        <f t="shared" si="18"/>
        <v>0</v>
      </c>
      <c r="G34" s="2"/>
      <c r="H34" s="6">
        <v>4620.57</v>
      </c>
      <c r="I34" s="2"/>
      <c r="J34" s="7">
        <f t="shared" si="19"/>
        <v>162.92559943582509</v>
      </c>
      <c r="K34" s="2"/>
      <c r="L34" s="6">
        <f t="shared" si="20"/>
        <v>-4620.57</v>
      </c>
      <c r="M34" s="2"/>
      <c r="N34" s="7">
        <f t="shared" si="21"/>
        <v>-1</v>
      </c>
      <c r="O34" s="10"/>
      <c r="P34" s="6">
        <v>18067.72</v>
      </c>
      <c r="Q34" s="2"/>
      <c r="R34" s="7">
        <f t="shared" si="22"/>
        <v>6.2802302462355577</v>
      </c>
      <c r="S34" s="2"/>
      <c r="T34" s="6">
        <v>59938.28</v>
      </c>
      <c r="U34" s="2"/>
      <c r="V34" s="7">
        <f t="shared" si="23"/>
        <v>2.5348069665210013E-2</v>
      </c>
      <c r="W34" s="2"/>
      <c r="X34" s="6">
        <f t="shared" si="24"/>
        <v>-41870.559999999998</v>
      </c>
      <c r="Y34" s="2"/>
      <c r="Z34" s="7">
        <f t="shared" si="25"/>
        <v>-0.6985612533426051</v>
      </c>
    </row>
    <row r="35" spans="1:26" s="23" customFormat="1" hidden="1" outlineLevel="2" x14ac:dyDescent="0.25">
      <c r="A35" s="27"/>
      <c r="B35" s="10" t="str">
        <f>CONCATENATE("          ", "6114", " - ", "STATE UNEMPLOYMENT INSURANCE")</f>
        <v xml:space="preserve">          6114 - STATE UNEMPLOYMENT INSURANCE</v>
      </c>
      <c r="C35" s="10"/>
      <c r="D35" s="6"/>
      <c r="E35" s="2"/>
      <c r="F35" s="7">
        <f t="shared" si="18"/>
        <v>0</v>
      </c>
      <c r="G35" s="2"/>
      <c r="H35" s="6">
        <v>50.67</v>
      </c>
      <c r="I35" s="2"/>
      <c r="J35" s="7">
        <f t="shared" si="19"/>
        <v>1.7866713681241186</v>
      </c>
      <c r="K35" s="2"/>
      <c r="L35" s="6">
        <f t="shared" si="20"/>
        <v>-50.67</v>
      </c>
      <c r="M35" s="2"/>
      <c r="N35" s="7">
        <f t="shared" si="21"/>
        <v>-1</v>
      </c>
      <c r="O35" s="10"/>
      <c r="P35" s="6">
        <v>132.15</v>
      </c>
      <c r="Q35" s="2"/>
      <c r="R35" s="7">
        <f t="shared" si="22"/>
        <v>4.5934541106461078E-2</v>
      </c>
      <c r="S35" s="2"/>
      <c r="T35" s="6">
        <v>1401.68</v>
      </c>
      <c r="U35" s="2"/>
      <c r="V35" s="7">
        <f t="shared" si="23"/>
        <v>5.9277447214587363E-4</v>
      </c>
      <c r="W35" s="2"/>
      <c r="X35" s="6">
        <f t="shared" si="24"/>
        <v>-1269.53</v>
      </c>
      <c r="Y35" s="2"/>
      <c r="Z35" s="7">
        <f t="shared" si="25"/>
        <v>-0.90572027852291526</v>
      </c>
    </row>
    <row r="36" spans="1:26" s="23" customFormat="1" hidden="1" outlineLevel="2" x14ac:dyDescent="0.25">
      <c r="A36" s="27"/>
      <c r="B36" s="10" t="str">
        <f>CONCATENATE("          ", "6115", " - ", "P.E.R.S.")</f>
        <v xml:space="preserve">          6115 - P.E.R.S.</v>
      </c>
      <c r="C36" s="10"/>
      <c r="D36" s="6"/>
      <c r="E36" s="2"/>
      <c r="F36" s="7">
        <f t="shared" si="18"/>
        <v>0</v>
      </c>
      <c r="G36" s="2"/>
      <c r="H36" s="6">
        <v>1284.74</v>
      </c>
      <c r="I36" s="2"/>
      <c r="J36" s="7">
        <f t="shared" si="19"/>
        <v>45.301128349788435</v>
      </c>
      <c r="K36" s="2"/>
      <c r="L36" s="6">
        <f t="shared" si="20"/>
        <v>-1284.74</v>
      </c>
      <c r="M36" s="2"/>
      <c r="N36" s="7">
        <f t="shared" si="21"/>
        <v>-1</v>
      </c>
      <c r="O36" s="10"/>
      <c r="P36" s="6">
        <v>5525.49</v>
      </c>
      <c r="Q36" s="2"/>
      <c r="R36" s="7">
        <f t="shared" si="22"/>
        <v>1.9206269204565993</v>
      </c>
      <c r="S36" s="2"/>
      <c r="T36" s="6">
        <v>16690.21</v>
      </c>
      <c r="U36" s="2"/>
      <c r="V36" s="7">
        <f t="shared" si="23"/>
        <v>7.0583374398962527E-3</v>
      </c>
      <c r="W36" s="2"/>
      <c r="X36" s="6">
        <f t="shared" si="24"/>
        <v>-11164.72</v>
      </c>
      <c r="Y36" s="2"/>
      <c r="Z36" s="7">
        <f t="shared" si="25"/>
        <v>-0.66893825781700766</v>
      </c>
    </row>
    <row r="37" spans="1:26" s="23" customFormat="1" hidden="1" outlineLevel="2" x14ac:dyDescent="0.25">
      <c r="A37" s="27"/>
      <c r="B37" s="10" t="str">
        <f>CONCATENATE("          ", "6118", " - ", "VACATION")</f>
        <v xml:space="preserve">          6118 - VACATION</v>
      </c>
      <c r="C37" s="10"/>
      <c r="D37" s="6"/>
      <c r="E37" s="2"/>
      <c r="F37" s="7">
        <f t="shared" si="18"/>
        <v>0</v>
      </c>
      <c r="G37" s="2"/>
      <c r="H37" s="6">
        <v>950.98</v>
      </c>
      <c r="I37" s="2"/>
      <c r="J37" s="7">
        <f t="shared" si="19"/>
        <v>33.532440056417492</v>
      </c>
      <c r="K37" s="2"/>
      <c r="L37" s="6">
        <f t="shared" si="20"/>
        <v>-950.98</v>
      </c>
      <c r="M37" s="2"/>
      <c r="N37" s="7">
        <f t="shared" si="21"/>
        <v>-1</v>
      </c>
      <c r="O37" s="10"/>
      <c r="P37" s="6">
        <v>3386</v>
      </c>
      <c r="Q37" s="2"/>
      <c r="R37" s="7">
        <f t="shared" si="22"/>
        <v>1.1769531304311556</v>
      </c>
      <c r="S37" s="2"/>
      <c r="T37" s="6">
        <v>13027.97</v>
      </c>
      <c r="U37" s="2"/>
      <c r="V37" s="7">
        <f t="shared" si="23"/>
        <v>5.5095656925134668E-3</v>
      </c>
      <c r="W37" s="2"/>
      <c r="X37" s="6">
        <f t="shared" si="24"/>
        <v>-9641.9699999999993</v>
      </c>
      <c r="Y37" s="2"/>
      <c r="Z37" s="7">
        <f t="shared" si="25"/>
        <v>-0.74009765143763762</v>
      </c>
    </row>
    <row r="38" spans="1:26" s="23" customFormat="1" hidden="1" outlineLevel="2" x14ac:dyDescent="0.25">
      <c r="A38" s="27"/>
      <c r="B38" s="10" t="str">
        <f>CONCATENATE("          ", "6119", " - ", "SICK LEAVE")</f>
        <v xml:space="preserve">          6119 - SICK LEAVE</v>
      </c>
      <c r="C38" s="10"/>
      <c r="D38" s="6"/>
      <c r="E38" s="2"/>
      <c r="F38" s="7">
        <f t="shared" si="18"/>
        <v>0</v>
      </c>
      <c r="G38" s="2"/>
      <c r="H38" s="6">
        <v>640.52</v>
      </c>
      <c r="I38" s="2"/>
      <c r="J38" s="7">
        <f t="shared" si="19"/>
        <v>22.585331452750353</v>
      </c>
      <c r="K38" s="2"/>
      <c r="L38" s="6">
        <f t="shared" si="20"/>
        <v>-640.52</v>
      </c>
      <c r="M38" s="2"/>
      <c r="N38" s="7">
        <f t="shared" si="21"/>
        <v>-1</v>
      </c>
      <c r="O38" s="10"/>
      <c r="P38" s="6">
        <v>2447.1799999999998</v>
      </c>
      <c r="Q38" s="2"/>
      <c r="R38" s="7">
        <f t="shared" si="22"/>
        <v>0.85062497393045333</v>
      </c>
      <c r="S38" s="2"/>
      <c r="T38" s="6">
        <v>8872.94</v>
      </c>
      <c r="U38" s="2"/>
      <c r="V38" s="7">
        <f t="shared" si="23"/>
        <v>3.7523916477955081E-3</v>
      </c>
      <c r="W38" s="2"/>
      <c r="X38" s="6">
        <f t="shared" si="24"/>
        <v>-6425.76</v>
      </c>
      <c r="Y38" s="2"/>
      <c r="Z38" s="7">
        <f t="shared" si="25"/>
        <v>-0.7241973911691052</v>
      </c>
    </row>
    <row r="39" spans="1:26" s="23" customFormat="1" hidden="1" outlineLevel="2" x14ac:dyDescent="0.25">
      <c r="A39" s="27"/>
      <c r="B39" s="10" t="str">
        <f>CONCATENATE("          ", "6156", " - ", "EMPLOYEE MEALS")</f>
        <v xml:space="preserve">          6156 - EMPLOYEE MEALS</v>
      </c>
      <c r="C39" s="10"/>
      <c r="D39" s="6"/>
      <c r="E39" s="2"/>
      <c r="F39" s="7">
        <f t="shared" si="18"/>
        <v>0</v>
      </c>
      <c r="G39" s="2"/>
      <c r="H39" s="6">
        <v>12.12</v>
      </c>
      <c r="I39" s="2"/>
      <c r="J39" s="7">
        <f t="shared" si="19"/>
        <v>0.42736248236953456</v>
      </c>
      <c r="K39" s="2"/>
      <c r="L39" s="6">
        <f t="shared" si="20"/>
        <v>-12.12</v>
      </c>
      <c r="M39" s="2"/>
      <c r="N39" s="7">
        <f t="shared" si="21"/>
        <v>-1</v>
      </c>
      <c r="O39" s="10"/>
      <c r="P39" s="6">
        <v>726.37</v>
      </c>
      <c r="Q39" s="2"/>
      <c r="R39" s="7">
        <f t="shared" si="22"/>
        <v>0.25248182083617199</v>
      </c>
      <c r="S39" s="2"/>
      <c r="T39" s="6">
        <v>5097.34</v>
      </c>
      <c r="U39" s="2"/>
      <c r="V39" s="7">
        <f t="shared" si="23"/>
        <v>2.155679632903407E-3</v>
      </c>
      <c r="W39" s="2"/>
      <c r="X39" s="6">
        <f t="shared" si="24"/>
        <v>-4370.97</v>
      </c>
      <c r="Y39" s="2"/>
      <c r="Z39" s="7">
        <f t="shared" si="25"/>
        <v>-0.85750018637171543</v>
      </c>
    </row>
    <row r="40" spans="1:26" s="26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0</v>
      </c>
      <c r="E40" s="1"/>
      <c r="F40" s="5">
        <f t="shared" ref="F40:F46" si="26">IF(D$12=0,0,D40/D$12)</f>
        <v>0</v>
      </c>
      <c r="G40" s="1"/>
      <c r="H40" s="1">
        <f>SUM(OSRRefH22_1x_0)</f>
        <v>8818.33</v>
      </c>
      <c r="I40" s="1"/>
      <c r="J40" s="5">
        <f t="shared" ref="J40:J46" si="27">IF(H$12=0,0,H40/H$12)</f>
        <v>310.94252468265165</v>
      </c>
      <c r="K40" s="1"/>
      <c r="L40" s="1">
        <f t="shared" ref="L40:L46" si="28">+D40-H40</f>
        <v>-8818.33</v>
      </c>
      <c r="M40" s="1"/>
      <c r="N40" s="5">
        <f t="shared" ref="N40:N46" si="29">IF(H40=0,0,L40/H40)</f>
        <v>-1</v>
      </c>
      <c r="O40" s="12"/>
      <c r="P40" s="1">
        <f>SUM(OSRRefP22_1x_0)</f>
        <v>41960.38</v>
      </c>
      <c r="Q40" s="1"/>
      <c r="R40" s="5">
        <f t="shared" ref="R40:R46" si="30">IF(P$12=0,0,P40/P$12)</f>
        <v>14.585174422646441</v>
      </c>
      <c r="S40" s="1"/>
      <c r="T40" s="1">
        <f>SUM(OSRRefT22_1x_0)</f>
        <v>507809.64</v>
      </c>
      <c r="U40" s="1"/>
      <c r="V40" s="5">
        <f t="shared" ref="V40:V46" si="31">IF(T$12=0,0,T40/T$12)</f>
        <v>0.21475414595455888</v>
      </c>
      <c r="W40" s="1"/>
      <c r="X40" s="1">
        <f t="shared" ref="X40:X46" si="32">+P40-T40</f>
        <v>-465849.26</v>
      </c>
      <c r="Y40" s="1"/>
      <c r="Z40" s="5">
        <f t="shared" ref="Z40:Z46" si="33">IF(T40=0,0,X40/T40)</f>
        <v>-0.9173698632424544</v>
      </c>
    </row>
    <row r="41" spans="1:26" s="23" customFormat="1" hidden="1" outlineLevel="2" x14ac:dyDescent="0.25">
      <c r="A41" s="27"/>
      <c r="B41" s="10" t="str">
        <f>CONCATENATE("          ", "6002", " - ", "STAFF SALARIES")</f>
        <v xml:space="preserve">          6002 - STAFF SALARIES</v>
      </c>
      <c r="C41" s="10"/>
      <c r="D41" s="6"/>
      <c r="E41" s="2"/>
      <c r="F41" s="7">
        <f t="shared" si="26"/>
        <v>0</v>
      </c>
      <c r="G41" s="2"/>
      <c r="H41" s="6">
        <v>8818.33</v>
      </c>
      <c r="I41" s="2"/>
      <c r="J41" s="7">
        <f t="shared" si="27"/>
        <v>310.94252468265165</v>
      </c>
      <c r="K41" s="2"/>
      <c r="L41" s="6">
        <f t="shared" si="28"/>
        <v>-8818.33</v>
      </c>
      <c r="M41" s="2"/>
      <c r="N41" s="7">
        <f t="shared" si="29"/>
        <v>-1</v>
      </c>
      <c r="O41" s="10"/>
      <c r="P41" s="6">
        <v>39828.42</v>
      </c>
      <c r="Q41" s="2"/>
      <c r="R41" s="7">
        <f t="shared" si="30"/>
        <v>13.844118015099481</v>
      </c>
      <c r="S41" s="2"/>
      <c r="T41" s="6">
        <v>161213.56</v>
      </c>
      <c r="U41" s="2"/>
      <c r="V41" s="7">
        <f t="shared" si="31"/>
        <v>6.8177674598879287E-2</v>
      </c>
      <c r="W41" s="2"/>
      <c r="X41" s="6">
        <f t="shared" si="32"/>
        <v>-121385.14</v>
      </c>
      <c r="Y41" s="2"/>
      <c r="Z41" s="7">
        <f t="shared" si="33"/>
        <v>-0.75294621618677737</v>
      </c>
    </row>
    <row r="42" spans="1:26" s="23" customFormat="1" hidden="1" outlineLevel="2" x14ac:dyDescent="0.25">
      <c r="A42" s="27"/>
      <c r="B42" s="10" t="str">
        <f>CONCATENATE("          ", "6004", " - ", "STAFF HOURLY")</f>
        <v xml:space="preserve">          6004 - STAFF HOURLY</v>
      </c>
      <c r="C42" s="10"/>
      <c r="D42" s="6"/>
      <c r="E42" s="2"/>
      <c r="F42" s="7">
        <f t="shared" si="26"/>
        <v>0</v>
      </c>
      <c r="G42" s="2"/>
      <c r="H42" s="6"/>
      <c r="I42" s="2"/>
      <c r="J42" s="7">
        <f t="shared" si="27"/>
        <v>0</v>
      </c>
      <c r="K42" s="2"/>
      <c r="L42" s="6">
        <f t="shared" si="28"/>
        <v>0</v>
      </c>
      <c r="M42" s="2"/>
      <c r="N42" s="7">
        <f t="shared" si="29"/>
        <v>0</v>
      </c>
      <c r="O42" s="10"/>
      <c r="P42" s="6"/>
      <c r="Q42" s="2"/>
      <c r="R42" s="7">
        <f t="shared" si="30"/>
        <v>0</v>
      </c>
      <c r="S42" s="2"/>
      <c r="T42" s="6">
        <v>-3363.69</v>
      </c>
      <c r="U42" s="2"/>
      <c r="V42" s="7">
        <f t="shared" si="31"/>
        <v>-1.4225141003740894E-3</v>
      </c>
      <c r="W42" s="2"/>
      <c r="X42" s="6">
        <f t="shared" si="32"/>
        <v>3363.69</v>
      </c>
      <c r="Y42" s="2"/>
      <c r="Z42" s="7">
        <f t="shared" si="33"/>
        <v>-1</v>
      </c>
    </row>
    <row r="43" spans="1:26" s="23" customFormat="1" hidden="1" outlineLevel="2" x14ac:dyDescent="0.25">
      <c r="A43" s="27"/>
      <c r="B43" s="10" t="str">
        <f>CONCATENATE("          ", "6005", " - ", "TEMPORARY WAGES-HOURLY")</f>
        <v xml:space="preserve">          6005 - TEMPORARY WAGES-HOURLY</v>
      </c>
      <c r="C43" s="10"/>
      <c r="D43" s="6"/>
      <c r="E43" s="2"/>
      <c r="F43" s="7">
        <f t="shared" si="26"/>
        <v>0</v>
      </c>
      <c r="G43" s="2"/>
      <c r="H43" s="6"/>
      <c r="I43" s="2"/>
      <c r="J43" s="7">
        <f t="shared" si="27"/>
        <v>0</v>
      </c>
      <c r="K43" s="2"/>
      <c r="L43" s="6">
        <f t="shared" si="28"/>
        <v>0</v>
      </c>
      <c r="M43" s="2"/>
      <c r="N43" s="7">
        <f t="shared" si="29"/>
        <v>0</v>
      </c>
      <c r="O43" s="10"/>
      <c r="P43" s="6">
        <v>2131.96</v>
      </c>
      <c r="Q43" s="2"/>
      <c r="R43" s="7">
        <f t="shared" si="30"/>
        <v>0.74105640754695989</v>
      </c>
      <c r="S43" s="2"/>
      <c r="T43" s="6">
        <v>67287.22</v>
      </c>
      <c r="U43" s="2"/>
      <c r="V43" s="7">
        <f t="shared" si="31"/>
        <v>2.8455957363780083E-2</v>
      </c>
      <c r="W43" s="2"/>
      <c r="X43" s="6">
        <f t="shared" si="32"/>
        <v>-65155.26</v>
      </c>
      <c r="Y43" s="2"/>
      <c r="Z43" s="7">
        <f t="shared" si="33"/>
        <v>-0.96831552856545422</v>
      </c>
    </row>
    <row r="44" spans="1:26" s="23" customFormat="1" hidden="1" outlineLevel="2" x14ac:dyDescent="0.25">
      <c r="A44" s="27"/>
      <c r="B44" s="10" t="str">
        <f>CONCATENATE("          ", "6006", " - ", "TEMPORARY PART TIME")</f>
        <v xml:space="preserve">          6006 - TEMPORARY PART TIME</v>
      </c>
      <c r="C44" s="10"/>
      <c r="D44" s="6"/>
      <c r="E44" s="2"/>
      <c r="F44" s="7">
        <f t="shared" si="26"/>
        <v>0</v>
      </c>
      <c r="G44" s="2"/>
      <c r="H44" s="6"/>
      <c r="I44" s="2"/>
      <c r="J44" s="7">
        <f t="shared" si="27"/>
        <v>0</v>
      </c>
      <c r="K44" s="2"/>
      <c r="L44" s="6">
        <f t="shared" si="28"/>
        <v>0</v>
      </c>
      <c r="M44" s="2"/>
      <c r="N44" s="7">
        <f t="shared" si="29"/>
        <v>0</v>
      </c>
      <c r="O44" s="10"/>
      <c r="P44" s="6"/>
      <c r="Q44" s="2"/>
      <c r="R44" s="7">
        <f t="shared" si="30"/>
        <v>0</v>
      </c>
      <c r="S44" s="2"/>
      <c r="T44" s="6">
        <v>21785.59</v>
      </c>
      <c r="U44" s="2"/>
      <c r="V44" s="7">
        <f t="shared" si="31"/>
        <v>9.2131881832061679E-3</v>
      </c>
      <c r="W44" s="2"/>
      <c r="X44" s="6">
        <f t="shared" si="32"/>
        <v>-21785.59</v>
      </c>
      <c r="Y44" s="2"/>
      <c r="Z44" s="7">
        <f t="shared" si="33"/>
        <v>-1</v>
      </c>
    </row>
    <row r="45" spans="1:26" s="23" customFormat="1" hidden="1" outlineLevel="2" x14ac:dyDescent="0.25">
      <c r="A45" s="27"/>
      <c r="B45" s="10" t="str">
        <f>CONCATENATE("          ", "6007", " - ", "STUDENT HOURLY")</f>
        <v xml:space="preserve">          6007 - STUDENT HOURLY</v>
      </c>
      <c r="C45" s="10"/>
      <c r="D45" s="6"/>
      <c r="E45" s="2"/>
      <c r="F45" s="7">
        <f t="shared" si="26"/>
        <v>0</v>
      </c>
      <c r="G45" s="2"/>
      <c r="H45" s="6"/>
      <c r="I45" s="2"/>
      <c r="J45" s="7">
        <f t="shared" si="27"/>
        <v>0</v>
      </c>
      <c r="K45" s="2"/>
      <c r="L45" s="6">
        <f t="shared" si="28"/>
        <v>0</v>
      </c>
      <c r="M45" s="2"/>
      <c r="N45" s="7">
        <f t="shared" si="29"/>
        <v>0</v>
      </c>
      <c r="O45" s="10"/>
      <c r="P45" s="6">
        <v>0</v>
      </c>
      <c r="Q45" s="2"/>
      <c r="R45" s="7">
        <f t="shared" si="30"/>
        <v>0</v>
      </c>
      <c r="S45" s="2"/>
      <c r="T45" s="6">
        <v>250050.07</v>
      </c>
      <c r="U45" s="2"/>
      <c r="V45" s="7">
        <f t="shared" si="31"/>
        <v>0.10574688820150729</v>
      </c>
      <c r="W45" s="2"/>
      <c r="X45" s="6">
        <f t="shared" si="32"/>
        <v>-250050.07</v>
      </c>
      <c r="Y45" s="2"/>
      <c r="Z45" s="7">
        <f t="shared" si="33"/>
        <v>-1</v>
      </c>
    </row>
    <row r="46" spans="1:26" s="23" customFormat="1" hidden="1" outlineLevel="2" x14ac:dyDescent="0.25">
      <c r="A46" s="27"/>
      <c r="B46" s="10" t="str">
        <f>CONCATENATE("          ", "6008", " - ", "STUDENT HOURLY-FICA EXEMPT")</f>
        <v xml:space="preserve">          6008 - STUDENT HOURLY-FICA EXEMPT</v>
      </c>
      <c r="C46" s="10"/>
      <c r="D46" s="6"/>
      <c r="E46" s="2"/>
      <c r="F46" s="7">
        <f t="shared" si="26"/>
        <v>0</v>
      </c>
      <c r="G46" s="2"/>
      <c r="H46" s="6"/>
      <c r="I46" s="2"/>
      <c r="J46" s="7">
        <f t="shared" si="27"/>
        <v>0</v>
      </c>
      <c r="K46" s="2"/>
      <c r="L46" s="6">
        <f t="shared" si="28"/>
        <v>0</v>
      </c>
      <c r="M46" s="2"/>
      <c r="N46" s="7">
        <f t="shared" si="29"/>
        <v>0</v>
      </c>
      <c r="O46" s="10"/>
      <c r="P46" s="6"/>
      <c r="Q46" s="2"/>
      <c r="R46" s="7">
        <f t="shared" si="30"/>
        <v>0</v>
      </c>
      <c r="S46" s="2"/>
      <c r="T46" s="6">
        <v>10836.89</v>
      </c>
      <c r="U46" s="2"/>
      <c r="V46" s="7">
        <f t="shared" si="31"/>
        <v>4.582951707560139E-3</v>
      </c>
      <c r="W46" s="2"/>
      <c r="X46" s="6">
        <f t="shared" si="32"/>
        <v>-10836.89</v>
      </c>
      <c r="Y46" s="2"/>
      <c r="Z46" s="7">
        <f t="shared" si="33"/>
        <v>-1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5" si="34">IF(D$12=0,0,D47/D$12)</f>
        <v>0</v>
      </c>
      <c r="G47" s="1"/>
      <c r="H47" s="1">
        <f>SUM(OSRRefH22_2x_0)</f>
        <v>0</v>
      </c>
      <c r="I47" s="1"/>
      <c r="J47" s="5">
        <f t="shared" ref="J47:J55" si="35">IF(H$12=0,0,H47/H$12)</f>
        <v>0</v>
      </c>
      <c r="K47" s="1"/>
      <c r="L47" s="1">
        <f t="shared" ref="L47:L55" si="36">+D47-H47</f>
        <v>0</v>
      </c>
      <c r="M47" s="1"/>
      <c r="N47" s="5">
        <f t="shared" ref="N47:N55" si="37">IF(H47=0,0,L47/H47)</f>
        <v>0</v>
      </c>
      <c r="O47" s="12"/>
      <c r="P47" s="1">
        <f>SUM(OSRRefP22_2x_0)</f>
        <v>0</v>
      </c>
      <c r="Q47" s="1"/>
      <c r="R47" s="5">
        <f t="shared" ref="R47:R55" si="38">IF(P$12=0,0,P47/P$12)</f>
        <v>0</v>
      </c>
      <c r="S47" s="1"/>
      <c r="T47" s="1">
        <f>SUM(OSRRefT22_2x_0)</f>
        <v>3607.19</v>
      </c>
      <c r="U47" s="1"/>
      <c r="V47" s="5">
        <f t="shared" ref="V47:V55" si="39">IF(T$12=0,0,T47/T$12)</f>
        <v>1.5254909452798596E-3</v>
      </c>
      <c r="W47" s="1"/>
      <c r="X47" s="1">
        <f t="shared" ref="X47:X55" si="40">+P47-T47</f>
        <v>-3607.19</v>
      </c>
      <c r="Y47" s="1"/>
      <c r="Z47" s="5">
        <f t="shared" ref="Z47:Z55" si="41">IF(T47=0,0,X47/T47)</f>
        <v>-1</v>
      </c>
    </row>
    <row r="48" spans="1:26" s="23" customFormat="1" hidden="1" outlineLevel="2" x14ac:dyDescent="0.25">
      <c r="A48" s="27"/>
      <c r="B48" s="10" t="str">
        <f>CONCATENATE("          ", "6362", " - ", "ADVERTISING EXPENSE")</f>
        <v xml:space="preserve">          6362 - ADVERTISING EXPENSE</v>
      </c>
      <c r="C48" s="10"/>
      <c r="D48" s="6"/>
      <c r="E48" s="2"/>
      <c r="F48" s="7">
        <f t="shared" si="34"/>
        <v>0</v>
      </c>
      <c r="G48" s="2"/>
      <c r="H48" s="6"/>
      <c r="I48" s="2"/>
      <c r="J48" s="7">
        <f t="shared" si="35"/>
        <v>0</v>
      </c>
      <c r="K48" s="2"/>
      <c r="L48" s="6">
        <f t="shared" si="36"/>
        <v>0</v>
      </c>
      <c r="M48" s="2"/>
      <c r="N48" s="7">
        <f t="shared" si="37"/>
        <v>0</v>
      </c>
      <c r="O48" s="10"/>
      <c r="P48" s="6"/>
      <c r="Q48" s="2"/>
      <c r="R48" s="7">
        <f t="shared" si="38"/>
        <v>0</v>
      </c>
      <c r="S48" s="2"/>
      <c r="T48" s="6">
        <v>3607.19</v>
      </c>
      <c r="U48" s="2"/>
      <c r="V48" s="7">
        <f t="shared" si="39"/>
        <v>1.5254909452798596E-3</v>
      </c>
      <c r="W48" s="2"/>
      <c r="X48" s="6">
        <f t="shared" si="40"/>
        <v>-3607.19</v>
      </c>
      <c r="Y48" s="2"/>
      <c r="Z48" s="7">
        <f t="shared" si="41"/>
        <v>-1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34"/>
        <v>0</v>
      </c>
      <c r="G49" s="1"/>
      <c r="H49" s="1">
        <f>SUM(OSRRefH22_3x_0)</f>
        <v>0</v>
      </c>
      <c r="I49" s="1"/>
      <c r="J49" s="5">
        <f t="shared" si="35"/>
        <v>0</v>
      </c>
      <c r="K49" s="1"/>
      <c r="L49" s="1">
        <f t="shared" si="36"/>
        <v>0</v>
      </c>
      <c r="M49" s="1"/>
      <c r="N49" s="5">
        <f t="shared" si="37"/>
        <v>0</v>
      </c>
      <c r="O49" s="12"/>
      <c r="P49" s="1">
        <f>SUM(OSRRefP22_3x_0)</f>
        <v>3.31</v>
      </c>
      <c r="Q49" s="1"/>
      <c r="R49" s="5">
        <f t="shared" si="38"/>
        <v>1.1505359898780641E-3</v>
      </c>
      <c r="S49" s="1"/>
      <c r="T49" s="1">
        <f>SUM(OSRRefT22_3x_0)</f>
        <v>-428.92</v>
      </c>
      <c r="U49" s="1"/>
      <c r="V49" s="5">
        <f t="shared" si="39"/>
        <v>-1.8139149206153194E-4</v>
      </c>
      <c r="W49" s="1"/>
      <c r="X49" s="1">
        <f t="shared" si="40"/>
        <v>432.23</v>
      </c>
      <c r="Y49" s="1"/>
      <c r="Z49" s="5">
        <f t="shared" si="41"/>
        <v>-1.0077170567938076</v>
      </c>
    </row>
    <row r="50" spans="1:26" s="23" customFormat="1" hidden="1" outlineLevel="2" x14ac:dyDescent="0.25">
      <c r="A50" s="27"/>
      <c r="B50" s="10" t="str">
        <f>CONCATENATE("          ", "6272", " - ", "CASH (OVER/SHORT)")</f>
        <v xml:space="preserve">          6272 - CASH (OVER/SHORT)</v>
      </c>
      <c r="C50" s="10"/>
      <c r="D50" s="6"/>
      <c r="E50" s="2"/>
      <c r="F50" s="7">
        <f t="shared" si="34"/>
        <v>0</v>
      </c>
      <c r="G50" s="2"/>
      <c r="H50" s="6"/>
      <c r="I50" s="2"/>
      <c r="J50" s="7">
        <f t="shared" si="35"/>
        <v>0</v>
      </c>
      <c r="K50" s="2"/>
      <c r="L50" s="6">
        <f t="shared" si="36"/>
        <v>0</v>
      </c>
      <c r="M50" s="2"/>
      <c r="N50" s="7">
        <f t="shared" si="37"/>
        <v>0</v>
      </c>
      <c r="O50" s="10"/>
      <c r="P50" s="6">
        <v>3.31</v>
      </c>
      <c r="Q50" s="2"/>
      <c r="R50" s="7">
        <f t="shared" si="38"/>
        <v>1.1505359898780641E-3</v>
      </c>
      <c r="S50" s="2"/>
      <c r="T50" s="6">
        <v>-428.92</v>
      </c>
      <c r="U50" s="2"/>
      <c r="V50" s="7">
        <f t="shared" si="39"/>
        <v>-1.8139149206153194E-4</v>
      </c>
      <c r="W50" s="2"/>
      <c r="X50" s="6">
        <f t="shared" si="40"/>
        <v>432.23</v>
      </c>
      <c r="Y50" s="2"/>
      <c r="Z50" s="7">
        <f t="shared" si="41"/>
        <v>-1.0077170567938076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142.99</v>
      </c>
      <c r="E51" s="1"/>
      <c r="F51" s="5">
        <f t="shared" si="34"/>
        <v>35.747500000000002</v>
      </c>
      <c r="G51" s="1"/>
      <c r="H51" s="1">
        <f>SUM(OSRRefH22_4x_0)</f>
        <v>60</v>
      </c>
      <c r="I51" s="1"/>
      <c r="J51" s="5">
        <f t="shared" si="35"/>
        <v>2.1156558533145278</v>
      </c>
      <c r="K51" s="1"/>
      <c r="L51" s="1">
        <f t="shared" si="36"/>
        <v>82.990000000000009</v>
      </c>
      <c r="M51" s="1"/>
      <c r="N51" s="5">
        <f t="shared" si="37"/>
        <v>1.3831666666666669</v>
      </c>
      <c r="O51" s="12"/>
      <c r="P51" s="1">
        <f>SUM(OSRRefP22_4x_0)</f>
        <v>2467.71</v>
      </c>
      <c r="Q51" s="1"/>
      <c r="R51" s="5">
        <f t="shared" si="38"/>
        <v>0.85776107781933453</v>
      </c>
      <c r="S51" s="1"/>
      <c r="T51" s="1">
        <f>SUM(OSRRefT22_4x_0)</f>
        <v>89220.63</v>
      </c>
      <c r="U51" s="1"/>
      <c r="V51" s="5">
        <f t="shared" si="39"/>
        <v>3.7731659046838291E-2</v>
      </c>
      <c r="W51" s="1"/>
      <c r="X51" s="1">
        <f t="shared" si="40"/>
        <v>-86752.92</v>
      </c>
      <c r="Y51" s="1"/>
      <c r="Z51" s="5">
        <f t="shared" si="41"/>
        <v>-0.97234148649252972</v>
      </c>
    </row>
    <row r="52" spans="1:26" s="23" customFormat="1" hidden="1" outlineLevel="2" x14ac:dyDescent="0.25">
      <c r="A52" s="27"/>
      <c r="B52" s="10" t="str">
        <f>CONCATENATE("          ", "6381", " - ", "BANK/CREDIT CARD FEES")</f>
        <v xml:space="preserve">          6381 - BANK/CREDIT CARD FEES</v>
      </c>
      <c r="C52" s="10"/>
      <c r="D52" s="6">
        <v>142.99</v>
      </c>
      <c r="E52" s="2"/>
      <c r="F52" s="7">
        <f t="shared" si="34"/>
        <v>35.747500000000002</v>
      </c>
      <c r="G52" s="2"/>
      <c r="H52" s="6">
        <v>60</v>
      </c>
      <c r="I52" s="2"/>
      <c r="J52" s="7">
        <f t="shared" si="35"/>
        <v>2.1156558533145278</v>
      </c>
      <c r="K52" s="2"/>
      <c r="L52" s="6">
        <f t="shared" si="36"/>
        <v>82.990000000000009</v>
      </c>
      <c r="M52" s="2"/>
      <c r="N52" s="7">
        <f t="shared" si="37"/>
        <v>1.3831666666666669</v>
      </c>
      <c r="O52" s="10"/>
      <c r="P52" s="6">
        <v>2467.71</v>
      </c>
      <c r="Q52" s="2"/>
      <c r="R52" s="7">
        <f t="shared" si="38"/>
        <v>0.85776107781933453</v>
      </c>
      <c r="S52" s="2"/>
      <c r="T52" s="6">
        <v>89220.63</v>
      </c>
      <c r="U52" s="2"/>
      <c r="V52" s="7">
        <f t="shared" si="39"/>
        <v>3.7731659046838291E-2</v>
      </c>
      <c r="W52" s="2"/>
      <c r="X52" s="6">
        <f t="shared" si="40"/>
        <v>-86752.92</v>
      </c>
      <c r="Y52" s="2"/>
      <c r="Z52" s="7">
        <f t="shared" si="41"/>
        <v>-0.97234148649252972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9152.09</v>
      </c>
      <c r="E53" s="1"/>
      <c r="F53" s="5">
        <f t="shared" si="34"/>
        <v>2288.0225</v>
      </c>
      <c r="G53" s="1"/>
      <c r="H53" s="1">
        <f>SUM(OSRRefH22_5x_0)</f>
        <v>8990.73</v>
      </c>
      <c r="I53" s="1"/>
      <c r="J53" s="5">
        <f t="shared" si="35"/>
        <v>317.021509167842</v>
      </c>
      <c r="K53" s="1"/>
      <c r="L53" s="1">
        <f t="shared" si="36"/>
        <v>161.36000000000058</v>
      </c>
      <c r="M53" s="1"/>
      <c r="N53" s="5">
        <f t="shared" si="37"/>
        <v>1.7947374684814311E-2</v>
      </c>
      <c r="O53" s="12"/>
      <c r="P53" s="1">
        <f>SUM(OSRRefP22_5x_0)</f>
        <v>100854.27</v>
      </c>
      <c r="Q53" s="1"/>
      <c r="R53" s="5">
        <f t="shared" si="38"/>
        <v>35.056334552229465</v>
      </c>
      <c r="S53" s="1"/>
      <c r="T53" s="1">
        <f>SUM(OSRRefT22_5x_0)</f>
        <v>94718.959999999992</v>
      </c>
      <c r="U53" s="1"/>
      <c r="V53" s="5">
        <f t="shared" si="39"/>
        <v>4.0056918495095961E-2</v>
      </c>
      <c r="W53" s="1"/>
      <c r="X53" s="1">
        <f t="shared" si="40"/>
        <v>6135.3100000000122</v>
      </c>
      <c r="Y53" s="1"/>
      <c r="Z53" s="5">
        <f t="shared" si="41"/>
        <v>6.4773831976195823E-2</v>
      </c>
    </row>
    <row r="54" spans="1:26" s="23" customFormat="1" hidden="1" outlineLevel="2" x14ac:dyDescent="0.25">
      <c r="A54" s="27"/>
      <c r="B54" s="10" t="str">
        <f>CONCATENATE("          ", "6321", " - ", "BUILDING DEPRECIATION")</f>
        <v xml:space="preserve">          6321 - BUILDING DEPRECIATION</v>
      </c>
      <c r="C54" s="10"/>
      <c r="D54" s="6">
        <v>5080.51</v>
      </c>
      <c r="E54" s="2"/>
      <c r="F54" s="7">
        <f t="shared" si="34"/>
        <v>1270.1275000000001</v>
      </c>
      <c r="G54" s="2"/>
      <c r="H54" s="6">
        <v>5080.51</v>
      </c>
      <c r="I54" s="2"/>
      <c r="J54" s="7">
        <f t="shared" si="35"/>
        <v>179.14351198871651</v>
      </c>
      <c r="K54" s="2"/>
      <c r="L54" s="6">
        <f t="shared" si="36"/>
        <v>0</v>
      </c>
      <c r="M54" s="2"/>
      <c r="N54" s="7">
        <f t="shared" si="37"/>
        <v>0</v>
      </c>
      <c r="O54" s="10"/>
      <c r="P54" s="6">
        <v>55885.61</v>
      </c>
      <c r="Q54" s="2"/>
      <c r="R54" s="7">
        <f t="shared" si="38"/>
        <v>19.425500187700735</v>
      </c>
      <c r="S54" s="2"/>
      <c r="T54" s="6">
        <v>55885.61</v>
      </c>
      <c r="U54" s="2"/>
      <c r="V54" s="7">
        <f t="shared" si="39"/>
        <v>2.3634183956609323E-2</v>
      </c>
      <c r="W54" s="2"/>
      <c r="X54" s="6">
        <f t="shared" si="40"/>
        <v>0</v>
      </c>
      <c r="Y54" s="2"/>
      <c r="Z54" s="7">
        <f t="shared" si="41"/>
        <v>0</v>
      </c>
    </row>
    <row r="55" spans="1:26" s="23" customFormat="1" hidden="1" outlineLevel="2" x14ac:dyDescent="0.25">
      <c r="A55" s="27"/>
      <c r="B55" s="10" t="str">
        <f>CONCATENATE("          ", "6322", " - ", "EQUIPMENT DEPRECIATION EXPENSE")</f>
        <v xml:space="preserve">          6322 - EQUIPMENT DEPRECIATION EXPENSE</v>
      </c>
      <c r="C55" s="10"/>
      <c r="D55" s="6">
        <v>4071.58</v>
      </c>
      <c r="E55" s="2"/>
      <c r="F55" s="7">
        <f t="shared" si="34"/>
        <v>1017.895</v>
      </c>
      <c r="G55" s="2"/>
      <c r="H55" s="6">
        <v>3910.22</v>
      </c>
      <c r="I55" s="2"/>
      <c r="J55" s="7">
        <f t="shared" si="35"/>
        <v>137.87799717912552</v>
      </c>
      <c r="K55" s="2"/>
      <c r="L55" s="6">
        <f t="shared" si="36"/>
        <v>161.36000000000013</v>
      </c>
      <c r="M55" s="2"/>
      <c r="N55" s="7">
        <f t="shared" si="37"/>
        <v>4.1266220314969522E-2</v>
      </c>
      <c r="O55" s="10"/>
      <c r="P55" s="6">
        <v>44968.66</v>
      </c>
      <c r="Q55" s="2"/>
      <c r="R55" s="7">
        <f t="shared" si="38"/>
        <v>15.630834364528733</v>
      </c>
      <c r="S55" s="2"/>
      <c r="T55" s="6">
        <v>38833.35</v>
      </c>
      <c r="U55" s="2"/>
      <c r="V55" s="7">
        <f t="shared" si="39"/>
        <v>1.6422734538486642E-2</v>
      </c>
      <c r="W55" s="2"/>
      <c r="X55" s="6">
        <f t="shared" si="40"/>
        <v>6135.3100000000049</v>
      </c>
      <c r="Y55" s="2"/>
      <c r="Z55" s="7">
        <f t="shared" si="41"/>
        <v>0.15799074764345608</v>
      </c>
    </row>
    <row r="56" spans="1:26" s="26" customFormat="1" outlineLevel="1" collapsed="1" x14ac:dyDescent="0.25">
      <c r="A56" s="25"/>
      <c r="B56" s="12" t="str">
        <f>CONCATENATE("     ","Discounts and Markdowns                           ")</f>
        <v xml:space="preserve">     Discounts and Markdowns                           </v>
      </c>
      <c r="C56" s="12"/>
      <c r="D56" s="1">
        <f>SUM(OSRRefD22_6x_0)</f>
        <v>0</v>
      </c>
      <c r="E56" s="1"/>
      <c r="F56" s="5">
        <f t="shared" ref="F56:F75" si="42">IF(D$12=0,0,D56/D$12)</f>
        <v>0</v>
      </c>
      <c r="G56" s="1"/>
      <c r="H56" s="1">
        <f>SUM(OSRRefH22_6x_0)</f>
        <v>0</v>
      </c>
      <c r="I56" s="1"/>
      <c r="J56" s="5">
        <f t="shared" ref="J56:J75" si="43">IF(H$12=0,0,H56/H$12)</f>
        <v>0</v>
      </c>
      <c r="K56" s="1"/>
      <c r="L56" s="1">
        <f t="shared" ref="L56:L75" si="44">+D56-H56</f>
        <v>0</v>
      </c>
      <c r="M56" s="1"/>
      <c r="N56" s="5">
        <f t="shared" ref="N56:N75" si="45">IF(H56=0,0,L56/H56)</f>
        <v>0</v>
      </c>
      <c r="O56" s="12"/>
      <c r="P56" s="1">
        <f>SUM(OSRRefP22_6x_0)</f>
        <v>0</v>
      </c>
      <c r="Q56" s="1"/>
      <c r="R56" s="5">
        <f t="shared" ref="R56:R75" si="46">IF(P$12=0,0,P56/P$12)</f>
        <v>0</v>
      </c>
      <c r="S56" s="1"/>
      <c r="T56" s="1">
        <f>SUM(OSRRefT22_6x_0)</f>
        <v>125.87</v>
      </c>
      <c r="U56" s="1"/>
      <c r="V56" s="5">
        <f t="shared" ref="V56:V75" si="47">IF(T$12=0,0,T56/T$12)</f>
        <v>5.3230782210633746E-5</v>
      </c>
      <c r="W56" s="1"/>
      <c r="X56" s="1">
        <f t="shared" ref="X56:X75" si="48">+P56-T56</f>
        <v>-125.87</v>
      </c>
      <c r="Y56" s="1"/>
      <c r="Z56" s="5">
        <f t="shared" ref="Z56:Z75" si="49">IF(T56=0,0,X56/T56)</f>
        <v>-1</v>
      </c>
    </row>
    <row r="57" spans="1:26" s="23" customFormat="1" hidden="1" outlineLevel="2" x14ac:dyDescent="0.25">
      <c r="A57" s="27"/>
      <c r="B57" s="10" t="str">
        <f>CONCATENATE("          ", "6382", " - ", "DISCOUNTS/MARK DOWNS")</f>
        <v xml:space="preserve">          6382 - DISCOUNTS/MARK DOWNS</v>
      </c>
      <c r="C57" s="10"/>
      <c r="D57" s="6"/>
      <c r="E57" s="2"/>
      <c r="F57" s="7">
        <f t="shared" si="42"/>
        <v>0</v>
      </c>
      <c r="G57" s="2"/>
      <c r="H57" s="6"/>
      <c r="I57" s="2"/>
      <c r="J57" s="7">
        <f t="shared" si="43"/>
        <v>0</v>
      </c>
      <c r="K57" s="2"/>
      <c r="L57" s="6">
        <f t="shared" si="44"/>
        <v>0</v>
      </c>
      <c r="M57" s="2"/>
      <c r="N57" s="7">
        <f t="shared" si="45"/>
        <v>0</v>
      </c>
      <c r="O57" s="10"/>
      <c r="P57" s="6"/>
      <c r="Q57" s="2"/>
      <c r="R57" s="7">
        <f t="shared" si="46"/>
        <v>0</v>
      </c>
      <c r="S57" s="2"/>
      <c r="T57" s="6">
        <v>125.87</v>
      </c>
      <c r="U57" s="2"/>
      <c r="V57" s="7">
        <f t="shared" si="47"/>
        <v>5.3230782210633746E-5</v>
      </c>
      <c r="W57" s="2"/>
      <c r="X57" s="6">
        <f t="shared" si="48"/>
        <v>-125.87</v>
      </c>
      <c r="Y57" s="2"/>
      <c r="Z57" s="7">
        <f t="shared" si="49"/>
        <v>-1</v>
      </c>
    </row>
    <row r="58" spans="1:26" s="26" customFormat="1" outlineLevel="1" collapsed="1" x14ac:dyDescent="0.25">
      <c r="A58" s="25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SUM(OSRRefD22_7x_0)</f>
        <v>0</v>
      </c>
      <c r="E58" s="1"/>
      <c r="F58" s="5">
        <f t="shared" si="42"/>
        <v>0</v>
      </c>
      <c r="G58" s="1"/>
      <c r="H58" s="1">
        <f>SUM(OSRRefH22_7x_0)</f>
        <v>0</v>
      </c>
      <c r="I58" s="1"/>
      <c r="J58" s="5">
        <f t="shared" si="43"/>
        <v>0</v>
      </c>
      <c r="K58" s="1"/>
      <c r="L58" s="1">
        <f t="shared" si="44"/>
        <v>0</v>
      </c>
      <c r="M58" s="1"/>
      <c r="N58" s="5">
        <f t="shared" si="45"/>
        <v>0</v>
      </c>
      <c r="O58" s="12"/>
      <c r="P58" s="1">
        <f>SUM(OSRRefP22_7x_0)</f>
        <v>0</v>
      </c>
      <c r="Q58" s="1"/>
      <c r="R58" s="5">
        <f t="shared" si="46"/>
        <v>0</v>
      </c>
      <c r="S58" s="1"/>
      <c r="T58" s="1">
        <f>SUM(OSRRefT22_7x_0)</f>
        <v>163.84</v>
      </c>
      <c r="U58" s="1"/>
      <c r="V58" s="5">
        <f t="shared" si="47"/>
        <v>6.9288403570272759E-5</v>
      </c>
      <c r="W58" s="1"/>
      <c r="X58" s="1">
        <f t="shared" si="48"/>
        <v>-163.84</v>
      </c>
      <c r="Y58" s="1"/>
      <c r="Z58" s="5">
        <f t="shared" si="49"/>
        <v>-1</v>
      </c>
    </row>
    <row r="59" spans="1:26" s="23" customFormat="1" hidden="1" outlineLevel="2" x14ac:dyDescent="0.25">
      <c r="A59" s="27"/>
      <c r="B59" s="10" t="str">
        <f>CONCATENATE("          ", "6277", " - ", "EMPLOYEE APPRECIATION")</f>
        <v xml:space="preserve">          6277 - EMPLOYEE APPRECIATION</v>
      </c>
      <c r="C59" s="10"/>
      <c r="D59" s="6"/>
      <c r="E59" s="2"/>
      <c r="F59" s="7">
        <f t="shared" si="42"/>
        <v>0</v>
      </c>
      <c r="G59" s="2"/>
      <c r="H59" s="6"/>
      <c r="I59" s="2"/>
      <c r="J59" s="7">
        <f t="shared" si="43"/>
        <v>0</v>
      </c>
      <c r="K59" s="2"/>
      <c r="L59" s="6">
        <f t="shared" si="44"/>
        <v>0</v>
      </c>
      <c r="M59" s="2"/>
      <c r="N59" s="7">
        <f t="shared" si="45"/>
        <v>0</v>
      </c>
      <c r="O59" s="10"/>
      <c r="P59" s="6"/>
      <c r="Q59" s="2"/>
      <c r="R59" s="7">
        <f t="shared" si="46"/>
        <v>0</v>
      </c>
      <c r="S59" s="2"/>
      <c r="T59" s="6">
        <v>163.84</v>
      </c>
      <c r="U59" s="2"/>
      <c r="V59" s="7">
        <f t="shared" si="47"/>
        <v>6.9288403570272759E-5</v>
      </c>
      <c r="W59" s="2"/>
      <c r="X59" s="6">
        <f t="shared" si="48"/>
        <v>-163.84</v>
      </c>
      <c r="Y59" s="2"/>
      <c r="Z59" s="7">
        <f t="shared" si="49"/>
        <v>-1</v>
      </c>
    </row>
    <row r="60" spans="1:26" s="26" customFormat="1" outlineLevel="1" collapsed="1" x14ac:dyDescent="0.25">
      <c r="A60" s="25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SUM(OSRRefD22_8x_0)</f>
        <v>0</v>
      </c>
      <c r="E60" s="1"/>
      <c r="F60" s="5">
        <f t="shared" si="42"/>
        <v>0</v>
      </c>
      <c r="G60" s="1"/>
      <c r="H60" s="1">
        <f>SUM(OSRRefH22_8x_0)</f>
        <v>36.270000000000003</v>
      </c>
      <c r="I60" s="1"/>
      <c r="J60" s="5">
        <f t="shared" si="43"/>
        <v>1.2789139633286319</v>
      </c>
      <c r="K60" s="1"/>
      <c r="L60" s="1">
        <f t="shared" si="44"/>
        <v>-36.270000000000003</v>
      </c>
      <c r="M60" s="1"/>
      <c r="N60" s="5">
        <f t="shared" si="45"/>
        <v>-1</v>
      </c>
      <c r="O60" s="12"/>
      <c r="P60" s="1">
        <f>SUM(OSRRefP22_8x_0)</f>
        <v>617.35</v>
      </c>
      <c r="Q60" s="1"/>
      <c r="R60" s="5">
        <f t="shared" si="46"/>
        <v>0.21458712790067155</v>
      </c>
      <c r="S60" s="1"/>
      <c r="T60" s="1">
        <f>SUM(OSRRefT22_8x_0)</f>
        <v>986.12</v>
      </c>
      <c r="U60" s="1"/>
      <c r="V60" s="5">
        <f t="shared" si="47"/>
        <v>4.1703296221140979E-4</v>
      </c>
      <c r="W60" s="1"/>
      <c r="X60" s="1">
        <f t="shared" si="48"/>
        <v>-368.77</v>
      </c>
      <c r="Y60" s="1"/>
      <c r="Z60" s="5">
        <f t="shared" si="49"/>
        <v>-0.37396057274976674</v>
      </c>
    </row>
    <row r="61" spans="1:26" s="23" customFormat="1" hidden="1" outlineLevel="2" x14ac:dyDescent="0.25">
      <c r="A61" s="27"/>
      <c r="B61" s="10" t="str">
        <f>CONCATENATE("          ", "6351", " - ", "EQUIPMENT RENTAL")</f>
        <v xml:space="preserve">          6351 - EQUIPMENT RENTAL</v>
      </c>
      <c r="C61" s="10"/>
      <c r="D61" s="6"/>
      <c r="E61" s="2"/>
      <c r="F61" s="7">
        <f t="shared" si="42"/>
        <v>0</v>
      </c>
      <c r="G61" s="2"/>
      <c r="H61" s="6">
        <v>36.270000000000003</v>
      </c>
      <c r="I61" s="2"/>
      <c r="J61" s="7">
        <f t="shared" si="43"/>
        <v>1.2789139633286319</v>
      </c>
      <c r="K61" s="2"/>
      <c r="L61" s="6">
        <f t="shared" si="44"/>
        <v>-36.270000000000003</v>
      </c>
      <c r="M61" s="2"/>
      <c r="N61" s="7">
        <f t="shared" si="45"/>
        <v>-1</v>
      </c>
      <c r="O61" s="10"/>
      <c r="P61" s="6">
        <v>617.35</v>
      </c>
      <c r="Q61" s="2"/>
      <c r="R61" s="7">
        <f t="shared" si="46"/>
        <v>0.21458712790067155</v>
      </c>
      <c r="S61" s="2"/>
      <c r="T61" s="6">
        <v>986.12</v>
      </c>
      <c r="U61" s="2"/>
      <c r="V61" s="7">
        <f t="shared" si="47"/>
        <v>4.1703296221140979E-4</v>
      </c>
      <c r="W61" s="2"/>
      <c r="X61" s="6">
        <f t="shared" si="48"/>
        <v>-368.77</v>
      </c>
      <c r="Y61" s="2"/>
      <c r="Z61" s="7">
        <f t="shared" si="49"/>
        <v>-0.37396057274976674</v>
      </c>
    </row>
    <row r="62" spans="1:26" s="26" customFormat="1" outlineLevel="1" collapsed="1" x14ac:dyDescent="0.25">
      <c r="A62" s="25"/>
      <c r="B62" s="12" t="str">
        <f>CONCATENATE("     ","Freight out/Postage                               ")</f>
        <v xml:space="preserve">     Freight out/Postage                               </v>
      </c>
      <c r="C62" s="12"/>
      <c r="D62" s="1">
        <f>SUM(OSRRefD22_9x_0)</f>
        <v>0</v>
      </c>
      <c r="E62" s="1"/>
      <c r="F62" s="5">
        <f t="shared" si="42"/>
        <v>0</v>
      </c>
      <c r="G62" s="1"/>
      <c r="H62" s="1">
        <f>SUM(OSRRefH22_9x_0)</f>
        <v>0</v>
      </c>
      <c r="I62" s="1"/>
      <c r="J62" s="5">
        <f t="shared" si="43"/>
        <v>0</v>
      </c>
      <c r="K62" s="1"/>
      <c r="L62" s="1">
        <f t="shared" si="44"/>
        <v>0</v>
      </c>
      <c r="M62" s="1"/>
      <c r="N62" s="5">
        <f t="shared" si="45"/>
        <v>0</v>
      </c>
      <c r="O62" s="12"/>
      <c r="P62" s="1">
        <f>SUM(OSRRefP22_9x_0)</f>
        <v>280.10000000000002</v>
      </c>
      <c r="Q62" s="1"/>
      <c r="R62" s="5">
        <f t="shared" si="46"/>
        <v>9.7361066696328019E-2</v>
      </c>
      <c r="S62" s="1"/>
      <c r="T62" s="1">
        <f>SUM(OSRRefT22_9x_0)</f>
        <v>331.18</v>
      </c>
      <c r="U62" s="1"/>
      <c r="V62" s="5">
        <f t="shared" si="47"/>
        <v>1.4005696712892415E-4</v>
      </c>
      <c r="W62" s="1"/>
      <c r="X62" s="1">
        <f t="shared" si="48"/>
        <v>-51.079999999999984</v>
      </c>
      <c r="Y62" s="1"/>
      <c r="Z62" s="5">
        <f t="shared" si="49"/>
        <v>-0.15423636693037013</v>
      </c>
    </row>
    <row r="63" spans="1:26" s="23" customFormat="1" hidden="1" outlineLevel="2" x14ac:dyDescent="0.25">
      <c r="A63" s="27"/>
      <c r="B63" s="10" t="str">
        <f>CONCATENATE("          ", "6305", " - ", "FREIGHT OUT")</f>
        <v xml:space="preserve">          6305 - FREIGHT OUT</v>
      </c>
      <c r="C63" s="10"/>
      <c r="D63" s="6"/>
      <c r="E63" s="2"/>
      <c r="F63" s="7">
        <f t="shared" si="42"/>
        <v>0</v>
      </c>
      <c r="G63" s="2"/>
      <c r="H63" s="6"/>
      <c r="I63" s="2"/>
      <c r="J63" s="7">
        <f t="shared" si="43"/>
        <v>0</v>
      </c>
      <c r="K63" s="2"/>
      <c r="L63" s="6">
        <f t="shared" si="44"/>
        <v>0</v>
      </c>
      <c r="M63" s="2"/>
      <c r="N63" s="7">
        <f t="shared" si="45"/>
        <v>0</v>
      </c>
      <c r="O63" s="10"/>
      <c r="P63" s="6">
        <v>280.10000000000002</v>
      </c>
      <c r="Q63" s="2"/>
      <c r="R63" s="7">
        <f t="shared" si="46"/>
        <v>9.7361066696328019E-2</v>
      </c>
      <c r="S63" s="2"/>
      <c r="T63" s="6">
        <v>331.18</v>
      </c>
      <c r="U63" s="2"/>
      <c r="V63" s="7">
        <f t="shared" si="47"/>
        <v>1.4005696712892415E-4</v>
      </c>
      <c r="W63" s="2"/>
      <c r="X63" s="6">
        <f t="shared" si="48"/>
        <v>-51.079999999999984</v>
      </c>
      <c r="Y63" s="2"/>
      <c r="Z63" s="7">
        <f t="shared" si="49"/>
        <v>-0.15423636693037013</v>
      </c>
    </row>
    <row r="64" spans="1:26" s="26" customFormat="1" outlineLevel="1" collapsed="1" x14ac:dyDescent="0.25">
      <c r="A64" s="25"/>
      <c r="B64" s="12" t="str">
        <f>CONCATENATE("     ","General                                           ")</f>
        <v xml:space="preserve">     General                                           </v>
      </c>
      <c r="C64" s="12"/>
      <c r="D64" s="1">
        <f>SUM(OSRRefD22_10x_0)</f>
        <v>-646.37</v>
      </c>
      <c r="E64" s="1"/>
      <c r="F64" s="5">
        <f t="shared" si="42"/>
        <v>-161.5925</v>
      </c>
      <c r="G64" s="1"/>
      <c r="H64" s="1">
        <f>SUM(OSRRefH22_10x_0)</f>
        <v>0</v>
      </c>
      <c r="I64" s="1"/>
      <c r="J64" s="5">
        <f t="shared" si="43"/>
        <v>0</v>
      </c>
      <c r="K64" s="1"/>
      <c r="L64" s="1">
        <f t="shared" si="44"/>
        <v>-646.37</v>
      </c>
      <c r="M64" s="1"/>
      <c r="N64" s="5">
        <f t="shared" si="45"/>
        <v>0</v>
      </c>
      <c r="O64" s="12"/>
      <c r="P64" s="1">
        <f>SUM(OSRRefP22_10x_0)</f>
        <v>2908.49</v>
      </c>
      <c r="Q64" s="1"/>
      <c r="R64" s="5">
        <f t="shared" si="46"/>
        <v>1.0109735411481722</v>
      </c>
      <c r="S64" s="1"/>
      <c r="T64" s="1">
        <f>SUM(OSRRefT22_10x_0)</f>
        <v>10781.14</v>
      </c>
      <c r="U64" s="1"/>
      <c r="V64" s="5">
        <f t="shared" si="47"/>
        <v>4.5593748734595362E-3</v>
      </c>
      <c r="W64" s="1"/>
      <c r="X64" s="1">
        <f t="shared" si="48"/>
        <v>-7872.65</v>
      </c>
      <c r="Y64" s="1"/>
      <c r="Z64" s="5">
        <f t="shared" si="49"/>
        <v>-0.7302242619982674</v>
      </c>
    </row>
    <row r="65" spans="1:26" s="23" customFormat="1" hidden="1" outlineLevel="2" x14ac:dyDescent="0.25">
      <c r="A65" s="27"/>
      <c r="B65" s="10" t="str">
        <f>CONCATENATE("          ", "6279", " - ", "GENERAL EXPENSE")</f>
        <v xml:space="preserve">          6279 - GENERAL EXPENSE</v>
      </c>
      <c r="C65" s="10"/>
      <c r="D65" s="6">
        <v>-646.37</v>
      </c>
      <c r="E65" s="2"/>
      <c r="F65" s="7">
        <f t="shared" si="42"/>
        <v>-161.5925</v>
      </c>
      <c r="G65" s="2"/>
      <c r="H65" s="6"/>
      <c r="I65" s="2"/>
      <c r="J65" s="7">
        <f t="shared" si="43"/>
        <v>0</v>
      </c>
      <c r="K65" s="2"/>
      <c r="L65" s="6">
        <f t="shared" si="44"/>
        <v>-646.37</v>
      </c>
      <c r="M65" s="2"/>
      <c r="N65" s="7">
        <f t="shared" si="45"/>
        <v>0</v>
      </c>
      <c r="O65" s="10"/>
      <c r="P65" s="6">
        <v>2908.49</v>
      </c>
      <c r="Q65" s="2"/>
      <c r="R65" s="7">
        <f t="shared" si="46"/>
        <v>1.0109735411481722</v>
      </c>
      <c r="S65" s="2"/>
      <c r="T65" s="6">
        <v>10781.14</v>
      </c>
      <c r="U65" s="2"/>
      <c r="V65" s="7">
        <f t="shared" si="47"/>
        <v>4.5593748734595362E-3</v>
      </c>
      <c r="W65" s="2"/>
      <c r="X65" s="6">
        <f t="shared" si="48"/>
        <v>-7872.65</v>
      </c>
      <c r="Y65" s="2"/>
      <c r="Z65" s="7">
        <f t="shared" si="49"/>
        <v>-0.7302242619982674</v>
      </c>
    </row>
    <row r="66" spans="1:26" s="26" customFormat="1" outlineLevel="1" collapsed="1" x14ac:dyDescent="0.25">
      <c r="A66" s="25"/>
      <c r="B66" s="12" t="str">
        <f>CONCATENATE("     ","Insurance                                         ")</f>
        <v xml:space="preserve">     Insurance                                         </v>
      </c>
      <c r="C66" s="12"/>
      <c r="D66" s="1">
        <f>SUM(OSRRefD22_11x_0)</f>
        <v>243.54</v>
      </c>
      <c r="E66" s="1"/>
      <c r="F66" s="5">
        <f t="shared" si="42"/>
        <v>60.884999999999998</v>
      </c>
      <c r="G66" s="1"/>
      <c r="H66" s="1">
        <f>SUM(OSRRefH22_11x_0)</f>
        <v>243.54</v>
      </c>
      <c r="I66" s="1"/>
      <c r="J66" s="5">
        <f t="shared" si="43"/>
        <v>8.5874471086036674</v>
      </c>
      <c r="K66" s="1"/>
      <c r="L66" s="1">
        <f t="shared" si="44"/>
        <v>0</v>
      </c>
      <c r="M66" s="1"/>
      <c r="N66" s="5">
        <f t="shared" si="45"/>
        <v>0</v>
      </c>
      <c r="O66" s="12"/>
      <c r="P66" s="1">
        <f>SUM(OSRRefP22_11x_0)</f>
        <v>2678.94</v>
      </c>
      <c r="Q66" s="1"/>
      <c r="R66" s="5">
        <f t="shared" si="46"/>
        <v>0.93118334885919662</v>
      </c>
      <c r="S66" s="1"/>
      <c r="T66" s="1">
        <f>SUM(OSRRefT22_11x_0)</f>
        <v>2678.94</v>
      </c>
      <c r="U66" s="1"/>
      <c r="V66" s="5">
        <f t="shared" si="47"/>
        <v>1.1329313712191561E-3</v>
      </c>
      <c r="W66" s="1"/>
      <c r="X66" s="1">
        <f t="shared" si="48"/>
        <v>0</v>
      </c>
      <c r="Y66" s="1"/>
      <c r="Z66" s="5">
        <f t="shared" si="49"/>
        <v>0</v>
      </c>
    </row>
    <row r="67" spans="1:26" s="23" customFormat="1" hidden="1" outlineLevel="2" x14ac:dyDescent="0.25">
      <c r="A67" s="27"/>
      <c r="B67" s="10" t="str">
        <f>CONCATENATE("          ", "6314", " - ", "LIABILITY INSURANCE")</f>
        <v xml:space="preserve">          6314 - LIABILITY INSURANCE</v>
      </c>
      <c r="C67" s="10"/>
      <c r="D67" s="6">
        <v>243.54</v>
      </c>
      <c r="E67" s="2"/>
      <c r="F67" s="7">
        <f t="shared" si="42"/>
        <v>60.884999999999998</v>
      </c>
      <c r="G67" s="2"/>
      <c r="H67" s="6">
        <v>243.54</v>
      </c>
      <c r="I67" s="2"/>
      <c r="J67" s="7">
        <f t="shared" si="43"/>
        <v>8.5874471086036674</v>
      </c>
      <c r="K67" s="2"/>
      <c r="L67" s="6">
        <f t="shared" si="44"/>
        <v>0</v>
      </c>
      <c r="M67" s="2"/>
      <c r="N67" s="7">
        <f t="shared" si="45"/>
        <v>0</v>
      </c>
      <c r="O67" s="10"/>
      <c r="P67" s="6">
        <v>2678.94</v>
      </c>
      <c r="Q67" s="2"/>
      <c r="R67" s="7">
        <f t="shared" si="46"/>
        <v>0.93118334885919662</v>
      </c>
      <c r="S67" s="2"/>
      <c r="T67" s="6">
        <v>2678.94</v>
      </c>
      <c r="U67" s="2"/>
      <c r="V67" s="7">
        <f t="shared" si="47"/>
        <v>1.1329313712191561E-3</v>
      </c>
      <c r="W67" s="2"/>
      <c r="X67" s="6">
        <f t="shared" si="48"/>
        <v>0</v>
      </c>
      <c r="Y67" s="2"/>
      <c r="Z67" s="7">
        <f t="shared" si="49"/>
        <v>0</v>
      </c>
    </row>
    <row r="68" spans="1:26" s="26" customFormat="1" outlineLevel="1" collapsed="1" x14ac:dyDescent="0.25">
      <c r="A68" s="25"/>
      <c r="B68" s="12" t="str">
        <f>CONCATENATE("     ","Interest                                          ")</f>
        <v xml:space="preserve">     Interest                                          </v>
      </c>
      <c r="C68" s="12"/>
      <c r="D68" s="1">
        <f>SUM(OSRRefD22_12x_0)</f>
        <v>4044</v>
      </c>
      <c r="E68" s="1"/>
      <c r="F68" s="5">
        <f t="shared" si="42"/>
        <v>1011</v>
      </c>
      <c r="G68" s="1"/>
      <c r="H68" s="1">
        <f>SUM(OSRRefH22_12x_0)</f>
        <v>4175</v>
      </c>
      <c r="I68" s="1"/>
      <c r="J68" s="5">
        <f t="shared" si="43"/>
        <v>147.21438645980254</v>
      </c>
      <c r="K68" s="1"/>
      <c r="L68" s="1">
        <f t="shared" si="44"/>
        <v>-131</v>
      </c>
      <c r="M68" s="1"/>
      <c r="N68" s="5">
        <f t="shared" si="45"/>
        <v>-3.1377245508982035E-2</v>
      </c>
      <c r="O68" s="12"/>
      <c r="P68" s="1">
        <f>SUM(OSRRefP22_12x_0)</f>
        <v>43390.85</v>
      </c>
      <c r="Q68" s="1"/>
      <c r="R68" s="5">
        <f t="shared" si="46"/>
        <v>15.08239714694882</v>
      </c>
      <c r="S68" s="1"/>
      <c r="T68" s="1">
        <f>SUM(OSRRefT22_12x_0)</f>
        <v>44668.77</v>
      </c>
      <c r="U68" s="1"/>
      <c r="V68" s="5">
        <f t="shared" si="47"/>
        <v>1.8890550309739334E-2</v>
      </c>
      <c r="W68" s="1"/>
      <c r="X68" s="1">
        <f t="shared" si="48"/>
        <v>-1277.9199999999983</v>
      </c>
      <c r="Y68" s="1"/>
      <c r="Z68" s="5">
        <f t="shared" si="49"/>
        <v>-2.8608802078051363E-2</v>
      </c>
    </row>
    <row r="69" spans="1:26" s="23" customFormat="1" hidden="1" outlineLevel="2" x14ac:dyDescent="0.25">
      <c r="A69" s="27"/>
      <c r="B69" s="10" t="str">
        <f>CONCATENATE("          ", "6401", " - ", "INTEREST EXPENSE")</f>
        <v xml:space="preserve">          6401 - INTEREST EXPENSE</v>
      </c>
      <c r="C69" s="10"/>
      <c r="D69" s="6">
        <v>4044</v>
      </c>
      <c r="E69" s="2"/>
      <c r="F69" s="7">
        <f t="shared" si="42"/>
        <v>1011</v>
      </c>
      <c r="G69" s="2"/>
      <c r="H69" s="6">
        <v>4175</v>
      </c>
      <c r="I69" s="2"/>
      <c r="J69" s="7">
        <f t="shared" si="43"/>
        <v>147.21438645980254</v>
      </c>
      <c r="K69" s="2"/>
      <c r="L69" s="6">
        <f t="shared" si="44"/>
        <v>-131</v>
      </c>
      <c r="M69" s="2"/>
      <c r="N69" s="7">
        <f t="shared" si="45"/>
        <v>-3.1377245508982035E-2</v>
      </c>
      <c r="O69" s="10"/>
      <c r="P69" s="6">
        <v>43390.85</v>
      </c>
      <c r="Q69" s="2"/>
      <c r="R69" s="7">
        <f t="shared" si="46"/>
        <v>15.08239714694882</v>
      </c>
      <c r="S69" s="2"/>
      <c r="T69" s="6">
        <v>44668.77</v>
      </c>
      <c r="U69" s="2"/>
      <c r="V69" s="7">
        <f t="shared" si="47"/>
        <v>1.8890550309739334E-2</v>
      </c>
      <c r="W69" s="2"/>
      <c r="X69" s="6">
        <f t="shared" si="48"/>
        <v>-1277.9199999999983</v>
      </c>
      <c r="Y69" s="2"/>
      <c r="Z69" s="7">
        <f t="shared" si="49"/>
        <v>-2.8608802078051363E-2</v>
      </c>
    </row>
    <row r="70" spans="1:26" s="26" customFormat="1" outlineLevel="1" collapsed="1" x14ac:dyDescent="0.25">
      <c r="A70" s="25"/>
      <c r="B70" s="12" t="str">
        <f>CONCATENATE("     ","Rent                                              ")</f>
        <v xml:space="preserve">     Rent                                              </v>
      </c>
      <c r="C70" s="12"/>
      <c r="D70" s="1">
        <f>SUM(OSRRefD22_13x_0)</f>
        <v>0</v>
      </c>
      <c r="E70" s="1"/>
      <c r="F70" s="5">
        <f t="shared" si="42"/>
        <v>0</v>
      </c>
      <c r="G70" s="1"/>
      <c r="H70" s="1">
        <f>SUM(OSRRefH22_13x_0)</f>
        <v>1150</v>
      </c>
      <c r="I70" s="1"/>
      <c r="J70" s="5">
        <f t="shared" si="43"/>
        <v>40.550070521861777</v>
      </c>
      <c r="K70" s="1"/>
      <c r="L70" s="1">
        <f t="shared" si="44"/>
        <v>-1150</v>
      </c>
      <c r="M70" s="1"/>
      <c r="N70" s="5">
        <f t="shared" si="45"/>
        <v>-1</v>
      </c>
      <c r="O70" s="12"/>
      <c r="P70" s="1">
        <f>SUM(OSRRefP22_13x_0)</f>
        <v>0</v>
      </c>
      <c r="Q70" s="1"/>
      <c r="R70" s="5">
        <f t="shared" si="46"/>
        <v>0</v>
      </c>
      <c r="S70" s="1"/>
      <c r="T70" s="1">
        <f>SUM(OSRRefT22_13x_0)</f>
        <v>12650</v>
      </c>
      <c r="U70" s="1"/>
      <c r="V70" s="5">
        <f t="shared" si="47"/>
        <v>5.3497211008541896E-3</v>
      </c>
      <c r="W70" s="1"/>
      <c r="X70" s="1">
        <f t="shared" si="48"/>
        <v>-12650</v>
      </c>
      <c r="Y70" s="1"/>
      <c r="Z70" s="5">
        <f t="shared" si="49"/>
        <v>-1</v>
      </c>
    </row>
    <row r="71" spans="1:26" s="23" customFormat="1" hidden="1" outlineLevel="2" x14ac:dyDescent="0.25">
      <c r="A71" s="27"/>
      <c r="B71" s="10" t="str">
        <f>CONCATENATE("          ", "6273", " - ", "RENT")</f>
        <v xml:space="preserve">          6273 - RENT</v>
      </c>
      <c r="C71" s="10"/>
      <c r="D71" s="6"/>
      <c r="E71" s="2"/>
      <c r="F71" s="7">
        <f t="shared" si="42"/>
        <v>0</v>
      </c>
      <c r="G71" s="2"/>
      <c r="H71" s="6">
        <v>1150</v>
      </c>
      <c r="I71" s="2"/>
      <c r="J71" s="7">
        <f t="shared" si="43"/>
        <v>40.550070521861777</v>
      </c>
      <c r="K71" s="2"/>
      <c r="L71" s="6">
        <f t="shared" si="44"/>
        <v>-1150</v>
      </c>
      <c r="M71" s="2"/>
      <c r="N71" s="7">
        <f t="shared" si="45"/>
        <v>-1</v>
      </c>
      <c r="O71" s="10"/>
      <c r="P71" s="6"/>
      <c r="Q71" s="2"/>
      <c r="R71" s="7">
        <f t="shared" si="46"/>
        <v>0</v>
      </c>
      <c r="S71" s="2"/>
      <c r="T71" s="6">
        <v>12650</v>
      </c>
      <c r="U71" s="2"/>
      <c r="V71" s="7">
        <f t="shared" si="47"/>
        <v>5.3497211008541896E-3</v>
      </c>
      <c r="W71" s="2"/>
      <c r="X71" s="6">
        <f t="shared" si="48"/>
        <v>-12650</v>
      </c>
      <c r="Y71" s="2"/>
      <c r="Z71" s="7">
        <f t="shared" si="49"/>
        <v>-1</v>
      </c>
    </row>
    <row r="72" spans="1:26" s="26" customFormat="1" outlineLevel="1" collapsed="1" x14ac:dyDescent="0.25">
      <c r="A72" s="25"/>
      <c r="B72" s="12" t="str">
        <f>CONCATENATE("     ","Repair and Maintenance                            ")</f>
        <v xml:space="preserve">     Repair and Maintenance                            </v>
      </c>
      <c r="C72" s="12"/>
      <c r="D72" s="1">
        <f>SUM(OSRRefD22_14x_0)</f>
        <v>205.13</v>
      </c>
      <c r="E72" s="1"/>
      <c r="F72" s="5">
        <f t="shared" si="42"/>
        <v>51.282499999999999</v>
      </c>
      <c r="G72" s="1"/>
      <c r="H72" s="1">
        <f>SUM(OSRRefH22_14x_0)</f>
        <v>102.5</v>
      </c>
      <c r="I72" s="1"/>
      <c r="J72" s="5">
        <f t="shared" si="43"/>
        <v>3.6142454160789845</v>
      </c>
      <c r="K72" s="1"/>
      <c r="L72" s="1">
        <f t="shared" si="44"/>
        <v>102.63</v>
      </c>
      <c r="M72" s="1"/>
      <c r="N72" s="5">
        <f t="shared" si="45"/>
        <v>1.0012682926829268</v>
      </c>
      <c r="O72" s="12"/>
      <c r="P72" s="1">
        <f>SUM(OSRRefP22_14x_0)</f>
        <v>3031.4300000000003</v>
      </c>
      <c r="Q72" s="1"/>
      <c r="R72" s="5">
        <f t="shared" si="46"/>
        <v>1.0537067419323445</v>
      </c>
      <c r="S72" s="1"/>
      <c r="T72" s="1">
        <f>SUM(OSRRefT22_14x_0)</f>
        <v>17615.41</v>
      </c>
      <c r="U72" s="1"/>
      <c r="V72" s="5">
        <f t="shared" si="47"/>
        <v>7.4496071602527985E-3</v>
      </c>
      <c r="W72" s="1"/>
      <c r="X72" s="1">
        <f t="shared" si="48"/>
        <v>-14583.98</v>
      </c>
      <c r="Y72" s="1"/>
      <c r="Z72" s="5">
        <f t="shared" si="49"/>
        <v>-0.82791033532571767</v>
      </c>
    </row>
    <row r="73" spans="1:26" s="23" customFormat="1" hidden="1" outlineLevel="2" x14ac:dyDescent="0.25">
      <c r="A73" s="27"/>
      <c r="B73" s="10" t="str">
        <f>CONCATENATE("          ", "6371", " - ", "COMPUTER SOFTWARE MAINTENANCE")</f>
        <v xml:space="preserve">          6371 - COMPUTER SOFTWARE MAINTENANCE</v>
      </c>
      <c r="C73" s="10"/>
      <c r="D73" s="6"/>
      <c r="E73" s="2"/>
      <c r="F73" s="7">
        <f t="shared" si="42"/>
        <v>0</v>
      </c>
      <c r="G73" s="2"/>
      <c r="H73" s="6"/>
      <c r="I73" s="2"/>
      <c r="J73" s="7">
        <f t="shared" si="43"/>
        <v>0</v>
      </c>
      <c r="K73" s="2"/>
      <c r="L73" s="6">
        <f t="shared" si="44"/>
        <v>0</v>
      </c>
      <c r="M73" s="2"/>
      <c r="N73" s="7">
        <f t="shared" si="45"/>
        <v>0</v>
      </c>
      <c r="O73" s="10"/>
      <c r="P73" s="6"/>
      <c r="Q73" s="2"/>
      <c r="R73" s="7">
        <f t="shared" si="46"/>
        <v>0</v>
      </c>
      <c r="S73" s="2"/>
      <c r="T73" s="6">
        <v>1311.93</v>
      </c>
      <c r="U73" s="2"/>
      <c r="V73" s="7">
        <f t="shared" si="47"/>
        <v>5.5481894101530734E-4</v>
      </c>
      <c r="W73" s="2"/>
      <c r="X73" s="6">
        <f t="shared" si="48"/>
        <v>-1311.93</v>
      </c>
      <c r="Y73" s="2"/>
      <c r="Z73" s="7">
        <f t="shared" si="49"/>
        <v>-1</v>
      </c>
    </row>
    <row r="74" spans="1:26" s="23" customFormat="1" hidden="1" outlineLevel="2" x14ac:dyDescent="0.25">
      <c r="A74" s="27"/>
      <c r="B74" s="10" t="str">
        <f>CONCATENATE("          ", "6373", " - ", "MAINTENANCE CONTRACTS")</f>
        <v xml:space="preserve">          6373 - MAINTENANCE CONTRACTS</v>
      </c>
      <c r="C74" s="10"/>
      <c r="D74" s="6"/>
      <c r="E74" s="2"/>
      <c r="F74" s="7">
        <f t="shared" si="42"/>
        <v>0</v>
      </c>
      <c r="G74" s="2"/>
      <c r="H74" s="6"/>
      <c r="I74" s="2"/>
      <c r="J74" s="7">
        <f t="shared" si="43"/>
        <v>0</v>
      </c>
      <c r="K74" s="2"/>
      <c r="L74" s="6">
        <f t="shared" si="44"/>
        <v>0</v>
      </c>
      <c r="M74" s="2"/>
      <c r="N74" s="7">
        <f t="shared" si="45"/>
        <v>0</v>
      </c>
      <c r="O74" s="10"/>
      <c r="P74" s="6">
        <v>1258.05</v>
      </c>
      <c r="Q74" s="2"/>
      <c r="R74" s="7">
        <f t="shared" si="46"/>
        <v>0.43729057464232579</v>
      </c>
      <c r="S74" s="2"/>
      <c r="T74" s="6">
        <v>884.07</v>
      </c>
      <c r="U74" s="2"/>
      <c r="V74" s="7">
        <f t="shared" si="47"/>
        <v>3.7387572597882721E-4</v>
      </c>
      <c r="W74" s="2"/>
      <c r="X74" s="6">
        <f t="shared" si="48"/>
        <v>373.9799999999999</v>
      </c>
      <c r="Y74" s="2"/>
      <c r="Z74" s="7">
        <f t="shared" si="49"/>
        <v>0.42302080152024146</v>
      </c>
    </row>
    <row r="75" spans="1:26" s="23" customFormat="1" hidden="1" outlineLevel="2" x14ac:dyDescent="0.25">
      <c r="A75" s="27"/>
      <c r="B75" s="10" t="str">
        <f>CONCATENATE("          ", "6375", " - ", "OUTSIDE REPAIRS &amp; MAINTENANCE")</f>
        <v xml:space="preserve">          6375 - OUTSIDE REPAIRS &amp; MAINTENANCE</v>
      </c>
      <c r="C75" s="10"/>
      <c r="D75" s="6">
        <v>205.13</v>
      </c>
      <c r="E75" s="2"/>
      <c r="F75" s="7">
        <f t="shared" si="42"/>
        <v>51.282499999999999</v>
      </c>
      <c r="G75" s="2"/>
      <c r="H75" s="6">
        <v>102.5</v>
      </c>
      <c r="I75" s="2"/>
      <c r="J75" s="7">
        <f t="shared" si="43"/>
        <v>3.6142454160789845</v>
      </c>
      <c r="K75" s="2"/>
      <c r="L75" s="6">
        <f t="shared" si="44"/>
        <v>102.63</v>
      </c>
      <c r="M75" s="2"/>
      <c r="N75" s="7">
        <f t="shared" si="45"/>
        <v>1.0012682926829268</v>
      </c>
      <c r="O75" s="10"/>
      <c r="P75" s="6">
        <v>1773.38</v>
      </c>
      <c r="Q75" s="2"/>
      <c r="R75" s="7">
        <f t="shared" si="46"/>
        <v>0.61641616729001847</v>
      </c>
      <c r="S75" s="2"/>
      <c r="T75" s="6">
        <v>15419.41</v>
      </c>
      <c r="U75" s="2"/>
      <c r="V75" s="7">
        <f t="shared" si="47"/>
        <v>6.5209124932586642E-3</v>
      </c>
      <c r="W75" s="2"/>
      <c r="X75" s="6">
        <f t="shared" si="48"/>
        <v>-13646.029999999999</v>
      </c>
      <c r="Y75" s="2"/>
      <c r="Z75" s="7">
        <f t="shared" si="49"/>
        <v>-0.88499041143597579</v>
      </c>
    </row>
    <row r="76" spans="1:26" s="26" customFormat="1" outlineLevel="1" collapsed="1" x14ac:dyDescent="0.25">
      <c r="A76" s="25"/>
      <c r="B76" s="12" t="str">
        <f>CONCATENATE("     ","Royalty &amp; Commissions                             ")</f>
        <v xml:space="preserve">     Royalty &amp; Commissions                             </v>
      </c>
      <c r="C76" s="12"/>
      <c r="D76" s="1">
        <f>SUM(OSRRefD22_15x_0)</f>
        <v>0</v>
      </c>
      <c r="E76" s="1"/>
      <c r="F76" s="5">
        <f t="shared" ref="F76:F82" si="50">IF(D$12=0,0,D76/D$12)</f>
        <v>0</v>
      </c>
      <c r="G76" s="1"/>
      <c r="H76" s="1">
        <f>SUM(OSRRefH22_15x_0)</f>
        <v>0</v>
      </c>
      <c r="I76" s="1"/>
      <c r="J76" s="5">
        <f t="shared" ref="J76:J82" si="51">IF(H$12=0,0,H76/H$12)</f>
        <v>0</v>
      </c>
      <c r="K76" s="1"/>
      <c r="L76" s="1">
        <f t="shared" ref="L76:L82" si="52">+D76-H76</f>
        <v>0</v>
      </c>
      <c r="M76" s="1"/>
      <c r="N76" s="5">
        <f t="shared" ref="N76:N82" si="53">IF(H76=0,0,L76/H76)</f>
        <v>0</v>
      </c>
      <c r="O76" s="12"/>
      <c r="P76" s="1">
        <f>SUM(OSRRefP22_15x_0)</f>
        <v>185.7</v>
      </c>
      <c r="Q76" s="1"/>
      <c r="R76" s="5">
        <f t="shared" ref="R76:R82" si="54">IF(P$12=0,0,P76/P$12)</f>
        <v>6.4548197377751207E-2</v>
      </c>
      <c r="S76" s="1"/>
      <c r="T76" s="1">
        <f>SUM(OSRRefT22_15x_0)</f>
        <v>24556.14</v>
      </c>
      <c r="U76" s="1"/>
      <c r="V76" s="5">
        <f t="shared" ref="V76:V82" si="55">IF(T$12=0,0,T76/T$12)</f>
        <v>1.0384861684863999E-2</v>
      </c>
      <c r="W76" s="1"/>
      <c r="X76" s="1">
        <f t="shared" ref="X76:X82" si="56">+P76-T76</f>
        <v>-24370.44</v>
      </c>
      <c r="Y76" s="1"/>
      <c r="Z76" s="5">
        <f t="shared" ref="Z76:Z82" si="57">IF(T76=0,0,X76/T76)</f>
        <v>-0.99243773654979972</v>
      </c>
    </row>
    <row r="77" spans="1:26" s="23" customFormat="1" hidden="1" outlineLevel="2" x14ac:dyDescent="0.25">
      <c r="A77" s="27"/>
      <c r="B77" s="10" t="str">
        <f>CONCATENATE("          ", "6254", " - ", "ROYALTY &amp; COMMISSIONS")</f>
        <v xml:space="preserve">          6254 - ROYALTY &amp; COMMISSIONS</v>
      </c>
      <c r="C77" s="10"/>
      <c r="D77" s="6"/>
      <c r="E77" s="2"/>
      <c r="F77" s="7">
        <f t="shared" si="50"/>
        <v>0</v>
      </c>
      <c r="G77" s="2"/>
      <c r="H77" s="6"/>
      <c r="I77" s="2"/>
      <c r="J77" s="7">
        <f t="shared" si="51"/>
        <v>0</v>
      </c>
      <c r="K77" s="2"/>
      <c r="L77" s="6">
        <f t="shared" si="52"/>
        <v>0</v>
      </c>
      <c r="M77" s="2"/>
      <c r="N77" s="7">
        <f t="shared" si="53"/>
        <v>0</v>
      </c>
      <c r="O77" s="10"/>
      <c r="P77" s="6">
        <v>185.7</v>
      </c>
      <c r="Q77" s="2"/>
      <c r="R77" s="7">
        <f t="shared" si="54"/>
        <v>6.4548197377751207E-2</v>
      </c>
      <c r="S77" s="2"/>
      <c r="T77" s="6">
        <v>24556.14</v>
      </c>
      <c r="U77" s="2"/>
      <c r="V77" s="7">
        <f t="shared" si="55"/>
        <v>1.0384861684863999E-2</v>
      </c>
      <c r="W77" s="2"/>
      <c r="X77" s="6">
        <f t="shared" si="56"/>
        <v>-24370.44</v>
      </c>
      <c r="Y77" s="2"/>
      <c r="Z77" s="7">
        <f t="shared" si="57"/>
        <v>-0.99243773654979972</v>
      </c>
    </row>
    <row r="78" spans="1:26" s="26" customFormat="1" outlineLevel="1" collapsed="1" x14ac:dyDescent="0.25">
      <c r="A78" s="25"/>
      <c r="B78" s="12" t="str">
        <f>CONCATENATE("     ","Services                                          ")</f>
        <v xml:space="preserve">     Services                                          </v>
      </c>
      <c r="C78" s="12"/>
      <c r="D78" s="1">
        <f>SUM(OSRRefD22_16x_0)</f>
        <v>609.25</v>
      </c>
      <c r="E78" s="1"/>
      <c r="F78" s="5">
        <f t="shared" si="50"/>
        <v>152.3125</v>
      </c>
      <c r="G78" s="1"/>
      <c r="H78" s="1">
        <f>SUM(OSRRefH22_16x_0)</f>
        <v>924.63</v>
      </c>
      <c r="I78" s="1"/>
      <c r="J78" s="5">
        <f t="shared" si="51"/>
        <v>32.603314527503528</v>
      </c>
      <c r="K78" s="1"/>
      <c r="L78" s="1">
        <f t="shared" si="52"/>
        <v>-315.38</v>
      </c>
      <c r="M78" s="1"/>
      <c r="N78" s="5">
        <f t="shared" si="53"/>
        <v>-0.34108778646593774</v>
      </c>
      <c r="O78" s="12"/>
      <c r="P78" s="1">
        <f>SUM(OSRRefP22_16x_0)</f>
        <v>3055.46</v>
      </c>
      <c r="Q78" s="1"/>
      <c r="R78" s="5">
        <f t="shared" si="54"/>
        <v>1.0620594246624862</v>
      </c>
      <c r="S78" s="1"/>
      <c r="T78" s="1">
        <f>SUM(OSRRefT22_16x_0)</f>
        <v>17105.14</v>
      </c>
      <c r="U78" s="1"/>
      <c r="V78" s="5">
        <f t="shared" si="55"/>
        <v>7.233812521032809E-3</v>
      </c>
      <c r="W78" s="1"/>
      <c r="X78" s="1">
        <f t="shared" si="56"/>
        <v>-14049.68</v>
      </c>
      <c r="Y78" s="1"/>
      <c r="Z78" s="5">
        <f t="shared" si="57"/>
        <v>-0.82137182156942301</v>
      </c>
    </row>
    <row r="79" spans="1:26" s="23" customFormat="1" hidden="1" outlineLevel="2" x14ac:dyDescent="0.25">
      <c r="A79" s="27"/>
      <c r="B79" s="10" t="str">
        <f>CONCATENATE("          ", "6282", " - ", "JANITORIAL/EXTERMINATOR EXPENS")</f>
        <v xml:space="preserve">          6282 - JANITORIAL/EXTERMINATOR EXPENS</v>
      </c>
      <c r="C79" s="10"/>
      <c r="D79" s="6">
        <v>320.25</v>
      </c>
      <c r="E79" s="2"/>
      <c r="F79" s="7">
        <f t="shared" si="50"/>
        <v>80.0625</v>
      </c>
      <c r="G79" s="2"/>
      <c r="H79" s="6">
        <v>372</v>
      </c>
      <c r="I79" s="2"/>
      <c r="J79" s="7">
        <f t="shared" si="51"/>
        <v>13.117066290550071</v>
      </c>
      <c r="K79" s="2"/>
      <c r="L79" s="6">
        <f t="shared" si="52"/>
        <v>-51.75</v>
      </c>
      <c r="M79" s="2"/>
      <c r="N79" s="7">
        <f t="shared" si="53"/>
        <v>-0.13911290322580644</v>
      </c>
      <c r="O79" s="10"/>
      <c r="P79" s="6">
        <v>2407.06</v>
      </c>
      <c r="Q79" s="2"/>
      <c r="R79" s="7">
        <f t="shared" si="54"/>
        <v>0.83667950447005823</v>
      </c>
      <c r="S79" s="2"/>
      <c r="T79" s="6">
        <v>6418.09</v>
      </c>
      <c r="U79" s="2"/>
      <c r="V79" s="7">
        <f t="shared" si="55"/>
        <v>2.7142285770894283E-3</v>
      </c>
      <c r="W79" s="2"/>
      <c r="X79" s="6">
        <f t="shared" si="56"/>
        <v>-4011.03</v>
      </c>
      <c r="Y79" s="2"/>
      <c r="Z79" s="7">
        <f t="shared" si="57"/>
        <v>-0.62495695759953507</v>
      </c>
    </row>
    <row r="80" spans="1:26" s="23" customFormat="1" hidden="1" outlineLevel="2" x14ac:dyDescent="0.25">
      <c r="A80" s="27"/>
      <c r="B80" s="10" t="str">
        <f>CONCATENATE("          ", "6284", " - ", "TRASH REMOVAL EXPENSE")</f>
        <v xml:space="preserve">          6284 - TRASH REMOVAL EXPENSE</v>
      </c>
      <c r="C80" s="10"/>
      <c r="D80" s="6">
        <v>289</v>
      </c>
      <c r="E80" s="2"/>
      <c r="F80" s="7">
        <f t="shared" si="50"/>
        <v>72.25</v>
      </c>
      <c r="G80" s="2"/>
      <c r="H80" s="6">
        <v>289</v>
      </c>
      <c r="I80" s="2"/>
      <c r="J80" s="7">
        <f t="shared" si="51"/>
        <v>10.190409026798308</v>
      </c>
      <c r="K80" s="2"/>
      <c r="L80" s="6">
        <f t="shared" si="52"/>
        <v>0</v>
      </c>
      <c r="M80" s="2"/>
      <c r="N80" s="7">
        <f t="shared" si="53"/>
        <v>0</v>
      </c>
      <c r="O80" s="10"/>
      <c r="P80" s="6">
        <v>1453</v>
      </c>
      <c r="Q80" s="2"/>
      <c r="R80" s="7">
        <f t="shared" si="54"/>
        <v>0.50505401610055201</v>
      </c>
      <c r="S80" s="2"/>
      <c r="T80" s="6">
        <v>3178</v>
      </c>
      <c r="U80" s="2"/>
      <c r="V80" s="7">
        <f t="shared" si="55"/>
        <v>1.3439852694477957E-3</v>
      </c>
      <c r="W80" s="2"/>
      <c r="X80" s="6">
        <f t="shared" si="56"/>
        <v>-1725</v>
      </c>
      <c r="Y80" s="2"/>
      <c r="Z80" s="7">
        <f t="shared" si="57"/>
        <v>-0.54279421019509122</v>
      </c>
    </row>
    <row r="81" spans="1:26" s="23" customFormat="1" hidden="1" outlineLevel="2" x14ac:dyDescent="0.25">
      <c r="A81" s="27"/>
      <c r="B81" s="10" t="str">
        <f>CONCATENATE("          ", "6285", " - ", "JANITORIAL SERVICES")</f>
        <v xml:space="preserve">          6285 - JANITORIAL SERVICES</v>
      </c>
      <c r="C81" s="10"/>
      <c r="D81" s="6"/>
      <c r="E81" s="2"/>
      <c r="F81" s="7">
        <f t="shared" si="50"/>
        <v>0</v>
      </c>
      <c r="G81" s="2"/>
      <c r="H81" s="6">
        <v>134.1</v>
      </c>
      <c r="I81" s="2"/>
      <c r="J81" s="7">
        <f t="shared" si="51"/>
        <v>4.7284908321579691</v>
      </c>
      <c r="K81" s="2"/>
      <c r="L81" s="6">
        <f t="shared" si="52"/>
        <v>-134.1</v>
      </c>
      <c r="M81" s="2"/>
      <c r="N81" s="7">
        <f t="shared" si="53"/>
        <v>-1</v>
      </c>
      <c r="O81" s="10"/>
      <c r="P81" s="6">
        <v>-804.6</v>
      </c>
      <c r="Q81" s="2"/>
      <c r="R81" s="7">
        <f t="shared" si="54"/>
        <v>-0.27967409590812398</v>
      </c>
      <c r="S81" s="2"/>
      <c r="T81" s="6">
        <v>1321.88</v>
      </c>
      <c r="U81" s="2"/>
      <c r="V81" s="7">
        <f t="shared" si="55"/>
        <v>5.5902682441084082E-4</v>
      </c>
      <c r="W81" s="2"/>
      <c r="X81" s="6">
        <f t="shared" si="56"/>
        <v>-2126.48</v>
      </c>
      <c r="Y81" s="2"/>
      <c r="Z81" s="7">
        <f t="shared" si="57"/>
        <v>-1.6086785487336217</v>
      </c>
    </row>
    <row r="82" spans="1:26" s="23" customFormat="1" hidden="1" outlineLevel="2" x14ac:dyDescent="0.25">
      <c r="A82" s="27"/>
      <c r="B82" s="10" t="str">
        <f>CONCATENATE("          ", "6286", " - ", "LAUNDRY EXPENSE")</f>
        <v xml:space="preserve">          6286 - LAUNDRY EXPENSE</v>
      </c>
      <c r="C82" s="10"/>
      <c r="D82" s="6"/>
      <c r="E82" s="2"/>
      <c r="F82" s="7">
        <f t="shared" si="50"/>
        <v>0</v>
      </c>
      <c r="G82" s="2"/>
      <c r="H82" s="6">
        <v>129.53</v>
      </c>
      <c r="I82" s="2"/>
      <c r="J82" s="7">
        <f t="shared" si="51"/>
        <v>4.5673483779971793</v>
      </c>
      <c r="K82" s="2"/>
      <c r="L82" s="6">
        <f t="shared" si="52"/>
        <v>-129.53</v>
      </c>
      <c r="M82" s="2"/>
      <c r="N82" s="7">
        <f t="shared" si="53"/>
        <v>-1</v>
      </c>
      <c r="O82" s="10"/>
      <c r="P82" s="6"/>
      <c r="Q82" s="2"/>
      <c r="R82" s="7">
        <f t="shared" si="54"/>
        <v>0</v>
      </c>
      <c r="S82" s="2"/>
      <c r="T82" s="6">
        <v>6187.17</v>
      </c>
      <c r="U82" s="2"/>
      <c r="V82" s="7">
        <f t="shared" si="55"/>
        <v>2.6165718500847446E-3</v>
      </c>
      <c r="W82" s="2"/>
      <c r="X82" s="6">
        <f t="shared" si="56"/>
        <v>-6187.17</v>
      </c>
      <c r="Y82" s="2"/>
      <c r="Z82" s="7">
        <f t="shared" si="57"/>
        <v>-1</v>
      </c>
    </row>
    <row r="83" spans="1:26" s="26" customFormat="1" outlineLevel="1" collapsed="1" x14ac:dyDescent="0.25">
      <c r="A83" s="25"/>
      <c r="B83" s="12" t="str">
        <f>CONCATENATE("     ","Subscriptions &amp; Dues                              ")</f>
        <v xml:space="preserve">     Subscriptions &amp; Dues                              </v>
      </c>
      <c r="C83" s="12"/>
      <c r="D83" s="1">
        <f>SUM(OSRRefD22_17x_0)</f>
        <v>0</v>
      </c>
      <c r="E83" s="1"/>
      <c r="F83" s="5">
        <f t="shared" ref="F83:F94" si="58">IF(D$12=0,0,D83/D$12)</f>
        <v>0</v>
      </c>
      <c r="G83" s="1"/>
      <c r="H83" s="1">
        <f>SUM(OSRRefH22_17x_0)</f>
        <v>0</v>
      </c>
      <c r="I83" s="1"/>
      <c r="J83" s="5">
        <f t="shared" ref="J83:J94" si="59">IF(H$12=0,0,H83/H$12)</f>
        <v>0</v>
      </c>
      <c r="K83" s="1"/>
      <c r="L83" s="1">
        <f t="shared" ref="L83:L94" si="60">+D83-H83</f>
        <v>0</v>
      </c>
      <c r="M83" s="1"/>
      <c r="N83" s="5">
        <f t="shared" ref="N83:N94" si="61">IF(H83=0,0,L83/H83)</f>
        <v>0</v>
      </c>
      <c r="O83" s="12"/>
      <c r="P83" s="1">
        <f>SUM(OSRRefP22_17x_0)</f>
        <v>0</v>
      </c>
      <c r="Q83" s="1"/>
      <c r="R83" s="5">
        <f t="shared" ref="R83:R94" si="62">IF(P$12=0,0,P83/P$12)</f>
        <v>0</v>
      </c>
      <c r="S83" s="1"/>
      <c r="T83" s="1">
        <f>SUM(OSRRefT22_17x_0)</f>
        <v>1411.2</v>
      </c>
      <c r="U83" s="1"/>
      <c r="V83" s="5">
        <f t="shared" ref="V83:V94" si="63">IF(T$12=0,0,T83/T$12)</f>
        <v>5.9680050731426349E-4</v>
      </c>
      <c r="W83" s="1"/>
      <c r="X83" s="1">
        <f t="shared" ref="X83:X94" si="64">+P83-T83</f>
        <v>-1411.2</v>
      </c>
      <c r="Y83" s="1"/>
      <c r="Z83" s="5">
        <f t="shared" ref="Z83:Z94" si="65">IF(T83=0,0,X83/T83)</f>
        <v>-1</v>
      </c>
    </row>
    <row r="84" spans="1:26" s="23" customFormat="1" hidden="1" outlineLevel="2" x14ac:dyDescent="0.25">
      <c r="A84" s="27"/>
      <c r="B84" s="10" t="str">
        <f>CONCATENATE("          ", "6275", " - ", "SUBSCRIPTIONS")</f>
        <v xml:space="preserve">          6275 - SUBSCRIPTIONS</v>
      </c>
      <c r="C84" s="10"/>
      <c r="D84" s="6"/>
      <c r="E84" s="2"/>
      <c r="F84" s="7">
        <f t="shared" si="58"/>
        <v>0</v>
      </c>
      <c r="G84" s="2"/>
      <c r="H84" s="6"/>
      <c r="I84" s="2"/>
      <c r="J84" s="7">
        <f t="shared" si="59"/>
        <v>0</v>
      </c>
      <c r="K84" s="2"/>
      <c r="L84" s="6">
        <f t="shared" si="60"/>
        <v>0</v>
      </c>
      <c r="M84" s="2"/>
      <c r="N84" s="7">
        <f t="shared" si="61"/>
        <v>0</v>
      </c>
      <c r="O84" s="10"/>
      <c r="P84" s="6"/>
      <c r="Q84" s="2"/>
      <c r="R84" s="7">
        <f t="shared" si="62"/>
        <v>0</v>
      </c>
      <c r="S84" s="2"/>
      <c r="T84" s="6">
        <v>1411.2</v>
      </c>
      <c r="U84" s="2"/>
      <c r="V84" s="7">
        <f t="shared" si="63"/>
        <v>5.9680050731426349E-4</v>
      </c>
      <c r="W84" s="2"/>
      <c r="X84" s="6">
        <f t="shared" si="64"/>
        <v>-1411.2</v>
      </c>
      <c r="Y84" s="2"/>
      <c r="Z84" s="7">
        <f t="shared" si="65"/>
        <v>-1</v>
      </c>
    </row>
    <row r="85" spans="1:26" s="26" customFormat="1" outlineLevel="1" collapsed="1" x14ac:dyDescent="0.25">
      <c r="A85" s="25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SUM(OSRRefD22_18x_0)</f>
        <v>0</v>
      </c>
      <c r="E85" s="1"/>
      <c r="F85" s="5">
        <f t="shared" si="58"/>
        <v>0</v>
      </c>
      <c r="G85" s="1"/>
      <c r="H85" s="1">
        <f>SUM(OSRRefH22_18x_0)</f>
        <v>534.56000000000006</v>
      </c>
      <c r="I85" s="1"/>
      <c r="J85" s="5">
        <f t="shared" si="59"/>
        <v>18.849083215796899</v>
      </c>
      <c r="K85" s="1"/>
      <c r="L85" s="1">
        <f t="shared" si="60"/>
        <v>-534.56000000000006</v>
      </c>
      <c r="M85" s="1"/>
      <c r="N85" s="5">
        <f t="shared" si="61"/>
        <v>-1</v>
      </c>
      <c r="O85" s="12"/>
      <c r="P85" s="1">
        <f>SUM(OSRRefP22_18x_0)</f>
        <v>1094.0899999999999</v>
      </c>
      <c r="Q85" s="1"/>
      <c r="R85" s="5">
        <f t="shared" si="62"/>
        <v>0.38029906983857731</v>
      </c>
      <c r="S85" s="1"/>
      <c r="T85" s="1">
        <f>SUM(OSRRefT22_18x_0)</f>
        <v>50172.06</v>
      </c>
      <c r="U85" s="1"/>
      <c r="V85" s="5">
        <f t="shared" si="63"/>
        <v>2.1217907356151974E-2</v>
      </c>
      <c r="W85" s="1"/>
      <c r="X85" s="1">
        <f t="shared" si="64"/>
        <v>-49077.97</v>
      </c>
      <c r="Y85" s="1"/>
      <c r="Z85" s="5">
        <f t="shared" si="65"/>
        <v>-0.97819324141763375</v>
      </c>
    </row>
    <row r="86" spans="1:26" s="23" customFormat="1" hidden="1" outlineLevel="2" x14ac:dyDescent="0.25">
      <c r="A86" s="27"/>
      <c r="B86" s="10" t="str">
        <f>CONCATENATE("          ", "6234", " - ", "EXPENDABLE SUPPLIES &amp; EQUIPMEN")</f>
        <v xml:space="preserve">          6234 - EXPENDABLE SUPPLIES &amp; EQUIPMEN</v>
      </c>
      <c r="C86" s="10"/>
      <c r="D86" s="6"/>
      <c r="E86" s="2"/>
      <c r="F86" s="7">
        <f t="shared" si="58"/>
        <v>0</v>
      </c>
      <c r="G86" s="2"/>
      <c r="H86" s="6"/>
      <c r="I86" s="2"/>
      <c r="J86" s="7">
        <f t="shared" si="59"/>
        <v>0</v>
      </c>
      <c r="K86" s="2"/>
      <c r="L86" s="6">
        <f t="shared" si="60"/>
        <v>0</v>
      </c>
      <c r="M86" s="2"/>
      <c r="N86" s="7">
        <f t="shared" si="61"/>
        <v>0</v>
      </c>
      <c r="O86" s="10"/>
      <c r="P86" s="6">
        <v>316.67</v>
      </c>
      <c r="Q86" s="2"/>
      <c r="R86" s="7">
        <f t="shared" si="62"/>
        <v>0.11007257761773008</v>
      </c>
      <c r="S86" s="2"/>
      <c r="T86" s="6">
        <v>1092.46</v>
      </c>
      <c r="U86" s="2"/>
      <c r="V86" s="7">
        <f t="shared" si="63"/>
        <v>4.6200445168689076E-4</v>
      </c>
      <c r="W86" s="2"/>
      <c r="X86" s="6">
        <f t="shared" si="64"/>
        <v>-775.79</v>
      </c>
      <c r="Y86" s="2"/>
      <c r="Z86" s="7">
        <f t="shared" si="65"/>
        <v>-0.71013126338721777</v>
      </c>
    </row>
    <row r="87" spans="1:26" s="23" customFormat="1" hidden="1" outlineLevel="2" x14ac:dyDescent="0.25">
      <c r="A87" s="27"/>
      <c r="B87" s="10" t="str">
        <f>CONCATENATE("          ", "6235", " - ", "COVID-19 EXPENSES")</f>
        <v xml:space="preserve">          6235 - COVID-19 EXPENSES</v>
      </c>
      <c r="C87" s="10"/>
      <c r="D87" s="6"/>
      <c r="E87" s="2"/>
      <c r="F87" s="7">
        <f t="shared" si="58"/>
        <v>0</v>
      </c>
      <c r="G87" s="2"/>
      <c r="H87" s="6"/>
      <c r="I87" s="2"/>
      <c r="J87" s="7">
        <f t="shared" si="59"/>
        <v>0</v>
      </c>
      <c r="K87" s="2"/>
      <c r="L87" s="6">
        <f t="shared" si="60"/>
        <v>0</v>
      </c>
      <c r="M87" s="2"/>
      <c r="N87" s="7">
        <f t="shared" si="61"/>
        <v>0</v>
      </c>
      <c r="O87" s="10"/>
      <c r="P87" s="6">
        <v>207.27</v>
      </c>
      <c r="Q87" s="2"/>
      <c r="R87" s="7">
        <f t="shared" si="62"/>
        <v>7.2045798979464157E-2</v>
      </c>
      <c r="S87" s="2"/>
      <c r="T87" s="6"/>
      <c r="U87" s="2"/>
      <c r="V87" s="7">
        <f t="shared" si="63"/>
        <v>0</v>
      </c>
      <c r="W87" s="2"/>
      <c r="X87" s="6">
        <f t="shared" si="64"/>
        <v>207.27</v>
      </c>
      <c r="Y87" s="2"/>
      <c r="Z87" s="7">
        <f t="shared" si="65"/>
        <v>0</v>
      </c>
    </row>
    <row r="88" spans="1:26" s="23" customFormat="1" hidden="1" outlineLevel="2" x14ac:dyDescent="0.25">
      <c r="A88" s="27"/>
      <c r="B88" s="10" t="str">
        <f>CONCATENATE("          ", "6237", " - ", "JANITORIAL SUPPLIES")</f>
        <v xml:space="preserve">          6237 - JANITORIAL SUPPLIES</v>
      </c>
      <c r="C88" s="10"/>
      <c r="D88" s="6"/>
      <c r="E88" s="2"/>
      <c r="F88" s="7">
        <f t="shared" si="58"/>
        <v>0</v>
      </c>
      <c r="G88" s="2"/>
      <c r="H88" s="6"/>
      <c r="I88" s="2"/>
      <c r="J88" s="7">
        <f t="shared" si="59"/>
        <v>0</v>
      </c>
      <c r="K88" s="2"/>
      <c r="L88" s="6">
        <f t="shared" si="60"/>
        <v>0</v>
      </c>
      <c r="M88" s="2"/>
      <c r="N88" s="7">
        <f t="shared" si="61"/>
        <v>0</v>
      </c>
      <c r="O88" s="10"/>
      <c r="P88" s="6">
        <v>317.57</v>
      </c>
      <c r="Q88" s="2"/>
      <c r="R88" s="7">
        <f t="shared" si="62"/>
        <v>0.11038541217691142</v>
      </c>
      <c r="S88" s="2"/>
      <c r="T88" s="6">
        <v>4418.97</v>
      </c>
      <c r="U88" s="2"/>
      <c r="V88" s="7">
        <f t="shared" si="63"/>
        <v>1.8687950239558609E-3</v>
      </c>
      <c r="W88" s="2"/>
      <c r="X88" s="6">
        <f t="shared" si="64"/>
        <v>-4101.4000000000005</v>
      </c>
      <c r="Y88" s="2"/>
      <c r="Z88" s="7">
        <f t="shared" si="65"/>
        <v>-0.92813483685112153</v>
      </c>
    </row>
    <row r="89" spans="1:26" s="23" customFormat="1" hidden="1" outlineLevel="2" x14ac:dyDescent="0.25">
      <c r="A89" s="27"/>
      <c r="B89" s="10" t="str">
        <f>CONCATENATE("          ", "6239", " - ", "KITCHEN SUPPLIES")</f>
        <v xml:space="preserve">          6239 - KITCHEN SUPPLIES</v>
      </c>
      <c r="C89" s="10"/>
      <c r="D89" s="6"/>
      <c r="E89" s="2"/>
      <c r="F89" s="7">
        <f t="shared" si="58"/>
        <v>0</v>
      </c>
      <c r="G89" s="2"/>
      <c r="H89" s="6"/>
      <c r="I89" s="2"/>
      <c r="J89" s="7">
        <f t="shared" si="59"/>
        <v>0</v>
      </c>
      <c r="K89" s="2"/>
      <c r="L89" s="6">
        <f t="shared" si="60"/>
        <v>0</v>
      </c>
      <c r="M89" s="2"/>
      <c r="N89" s="7">
        <f t="shared" si="61"/>
        <v>0</v>
      </c>
      <c r="O89" s="10"/>
      <c r="P89" s="6"/>
      <c r="Q89" s="2"/>
      <c r="R89" s="7">
        <f t="shared" si="62"/>
        <v>0</v>
      </c>
      <c r="S89" s="2"/>
      <c r="T89" s="6">
        <v>441.2</v>
      </c>
      <c r="U89" s="2"/>
      <c r="V89" s="7">
        <f t="shared" si="63"/>
        <v>1.8658473910647183E-4</v>
      </c>
      <c r="W89" s="2"/>
      <c r="X89" s="6">
        <f t="shared" si="64"/>
        <v>-441.2</v>
      </c>
      <c r="Y89" s="2"/>
      <c r="Z89" s="7">
        <f t="shared" si="65"/>
        <v>-1</v>
      </c>
    </row>
    <row r="90" spans="1:26" s="23" customFormat="1" hidden="1" outlineLevel="2" x14ac:dyDescent="0.25">
      <c r="A90" s="27"/>
      <c r="B90" s="10" t="str">
        <f>CONCATENATE("          ", "6241", " - ", "OFFICE EXPENSE")</f>
        <v xml:space="preserve">          6241 - OFFICE EXPENSE</v>
      </c>
      <c r="C90" s="10"/>
      <c r="D90" s="6"/>
      <c r="E90" s="2"/>
      <c r="F90" s="7">
        <f t="shared" si="58"/>
        <v>0</v>
      </c>
      <c r="G90" s="2"/>
      <c r="H90" s="6"/>
      <c r="I90" s="2"/>
      <c r="J90" s="7">
        <f t="shared" si="59"/>
        <v>0</v>
      </c>
      <c r="K90" s="2"/>
      <c r="L90" s="6">
        <f t="shared" si="60"/>
        <v>0</v>
      </c>
      <c r="M90" s="2"/>
      <c r="N90" s="7">
        <f t="shared" si="61"/>
        <v>0</v>
      </c>
      <c r="O90" s="10"/>
      <c r="P90" s="6">
        <v>131.30000000000001</v>
      </c>
      <c r="Q90" s="2"/>
      <c r="R90" s="7">
        <f t="shared" si="62"/>
        <v>4.5639086245012027E-2</v>
      </c>
      <c r="S90" s="2"/>
      <c r="T90" s="6">
        <v>2377.21</v>
      </c>
      <c r="U90" s="2"/>
      <c r="V90" s="7">
        <f t="shared" si="63"/>
        <v>1.0053288931353036E-3</v>
      </c>
      <c r="W90" s="2"/>
      <c r="X90" s="6">
        <f t="shared" si="64"/>
        <v>-2245.91</v>
      </c>
      <c r="Y90" s="2"/>
      <c r="Z90" s="7">
        <f t="shared" si="65"/>
        <v>-0.94476718506147961</v>
      </c>
    </row>
    <row r="91" spans="1:26" s="23" customFormat="1" hidden="1" outlineLevel="2" x14ac:dyDescent="0.25">
      <c r="A91" s="27"/>
      <c r="B91" s="10" t="str">
        <f>CONCATENATE("          ", "6243", " - ", "PAPER SUPPLIES")</f>
        <v xml:space="preserve">          6243 - PAPER SUPPLIES</v>
      </c>
      <c r="C91" s="10"/>
      <c r="D91" s="6"/>
      <c r="E91" s="2"/>
      <c r="F91" s="7">
        <f t="shared" si="58"/>
        <v>0</v>
      </c>
      <c r="G91" s="2"/>
      <c r="H91" s="6"/>
      <c r="I91" s="2"/>
      <c r="J91" s="7">
        <f t="shared" si="59"/>
        <v>0</v>
      </c>
      <c r="K91" s="2"/>
      <c r="L91" s="6">
        <f t="shared" si="60"/>
        <v>0</v>
      </c>
      <c r="M91" s="2"/>
      <c r="N91" s="7">
        <f t="shared" si="61"/>
        <v>0</v>
      </c>
      <c r="O91" s="10"/>
      <c r="P91" s="6"/>
      <c r="Q91" s="2"/>
      <c r="R91" s="7">
        <f t="shared" si="62"/>
        <v>0</v>
      </c>
      <c r="S91" s="2"/>
      <c r="T91" s="6">
        <v>4964.92</v>
      </c>
      <c r="U91" s="2"/>
      <c r="V91" s="7">
        <f t="shared" si="63"/>
        <v>2.0996788370002358E-3</v>
      </c>
      <c r="W91" s="2"/>
      <c r="X91" s="6">
        <f t="shared" si="64"/>
        <v>-4964.92</v>
      </c>
      <c r="Y91" s="2"/>
      <c r="Z91" s="7">
        <f t="shared" si="65"/>
        <v>-1</v>
      </c>
    </row>
    <row r="92" spans="1:26" s="23" customFormat="1" hidden="1" outlineLevel="2" x14ac:dyDescent="0.25">
      <c r="A92" s="27"/>
      <c r="B92" s="10" t="str">
        <f>CONCATENATE("          ", "6245", " - ", "PRINTING")</f>
        <v xml:space="preserve">          6245 - PRINTING</v>
      </c>
      <c r="C92" s="10"/>
      <c r="D92" s="6"/>
      <c r="E92" s="2"/>
      <c r="F92" s="7">
        <f t="shared" si="58"/>
        <v>0</v>
      </c>
      <c r="G92" s="2"/>
      <c r="H92" s="6"/>
      <c r="I92" s="2"/>
      <c r="J92" s="7">
        <f t="shared" si="59"/>
        <v>0</v>
      </c>
      <c r="K92" s="2"/>
      <c r="L92" s="6">
        <f t="shared" si="60"/>
        <v>0</v>
      </c>
      <c r="M92" s="2"/>
      <c r="N92" s="7">
        <f t="shared" si="61"/>
        <v>0</v>
      </c>
      <c r="O92" s="10"/>
      <c r="P92" s="6"/>
      <c r="Q92" s="2"/>
      <c r="R92" s="7">
        <f t="shared" si="62"/>
        <v>0</v>
      </c>
      <c r="S92" s="2"/>
      <c r="T92" s="6">
        <v>81.739999999999995</v>
      </c>
      <c r="U92" s="2"/>
      <c r="V92" s="7">
        <f t="shared" si="63"/>
        <v>3.4568079271448338E-5</v>
      </c>
      <c r="W92" s="2"/>
      <c r="X92" s="6">
        <f t="shared" si="64"/>
        <v>-81.739999999999995</v>
      </c>
      <c r="Y92" s="2"/>
      <c r="Z92" s="7">
        <f t="shared" si="65"/>
        <v>-1</v>
      </c>
    </row>
    <row r="93" spans="1:26" s="23" customFormat="1" hidden="1" outlineLevel="2" x14ac:dyDescent="0.25">
      <c r="A93" s="27"/>
      <c r="B93" s="10" t="str">
        <f>CONCATENATE("          ", "6247", " - ", "STORE SUPPLIES")</f>
        <v xml:space="preserve">          6247 - STORE SUPPLIES</v>
      </c>
      <c r="C93" s="10"/>
      <c r="D93" s="6"/>
      <c r="E93" s="2"/>
      <c r="F93" s="7">
        <f t="shared" si="58"/>
        <v>0</v>
      </c>
      <c r="G93" s="2"/>
      <c r="H93" s="6">
        <v>493.49</v>
      </c>
      <c r="I93" s="2"/>
      <c r="J93" s="7">
        <f t="shared" si="59"/>
        <v>17.400916784203105</v>
      </c>
      <c r="K93" s="2"/>
      <c r="L93" s="6">
        <f t="shared" si="60"/>
        <v>-493.49</v>
      </c>
      <c r="M93" s="2"/>
      <c r="N93" s="7">
        <f t="shared" si="61"/>
        <v>-1</v>
      </c>
      <c r="O93" s="10"/>
      <c r="P93" s="6">
        <v>121.28</v>
      </c>
      <c r="Q93" s="2"/>
      <c r="R93" s="7">
        <f t="shared" si="62"/>
        <v>4.2156194819459702E-2</v>
      </c>
      <c r="S93" s="2"/>
      <c r="T93" s="6">
        <v>36601.379999999997</v>
      </c>
      <c r="U93" s="2"/>
      <c r="V93" s="7">
        <f t="shared" si="63"/>
        <v>1.5478828055840515E-2</v>
      </c>
      <c r="W93" s="2"/>
      <c r="X93" s="6">
        <f t="shared" si="64"/>
        <v>-36480.1</v>
      </c>
      <c r="Y93" s="2"/>
      <c r="Z93" s="7">
        <f t="shared" si="65"/>
        <v>-0.99668646373442749</v>
      </c>
    </row>
    <row r="94" spans="1:26" s="23" customFormat="1" hidden="1" outlineLevel="2" x14ac:dyDescent="0.25">
      <c r="A94" s="27"/>
      <c r="B94" s="10" t="str">
        <f>CONCATENATE("          ", "6248", " - ", "UNIFORMS")</f>
        <v xml:space="preserve">          6248 - UNIFORMS</v>
      </c>
      <c r="C94" s="10"/>
      <c r="D94" s="6"/>
      <c r="E94" s="2"/>
      <c r="F94" s="7">
        <f t="shared" si="58"/>
        <v>0</v>
      </c>
      <c r="G94" s="2"/>
      <c r="H94" s="6">
        <v>41.07</v>
      </c>
      <c r="I94" s="2"/>
      <c r="J94" s="7">
        <f t="shared" si="59"/>
        <v>1.4481664315937941</v>
      </c>
      <c r="K94" s="2"/>
      <c r="L94" s="6">
        <f t="shared" si="60"/>
        <v>-41.07</v>
      </c>
      <c r="M94" s="2"/>
      <c r="N94" s="7">
        <f t="shared" si="61"/>
        <v>-1</v>
      </c>
      <c r="O94" s="10"/>
      <c r="P94" s="6"/>
      <c r="Q94" s="2"/>
      <c r="R94" s="7">
        <f t="shared" si="62"/>
        <v>0</v>
      </c>
      <c r="S94" s="2"/>
      <c r="T94" s="6">
        <v>194.18</v>
      </c>
      <c r="U94" s="2"/>
      <c r="V94" s="7">
        <f t="shared" si="63"/>
        <v>8.2119276155246366E-5</v>
      </c>
      <c r="W94" s="2"/>
      <c r="X94" s="6">
        <f t="shared" si="64"/>
        <v>-194.18</v>
      </c>
      <c r="Y94" s="2"/>
      <c r="Z94" s="7">
        <f t="shared" si="65"/>
        <v>-1</v>
      </c>
    </row>
    <row r="95" spans="1:26" s="26" customFormat="1" outlineLevel="1" collapsed="1" x14ac:dyDescent="0.25">
      <c r="A95" s="25"/>
      <c r="B95" s="12" t="str">
        <f>CONCATENATE("     ","Telephone/Data Lines                              ")</f>
        <v xml:space="preserve">     Telephone/Data Lines                              </v>
      </c>
      <c r="C95" s="12"/>
      <c r="D95" s="1">
        <f>SUM(OSRRefD22_19x_0)</f>
        <v>36.700000000000003</v>
      </c>
      <c r="E95" s="1"/>
      <c r="F95" s="5">
        <f t="shared" ref="F95:F102" si="66">IF(D$12=0,0,D95/D$12)</f>
        <v>9.1750000000000007</v>
      </c>
      <c r="G95" s="1"/>
      <c r="H95" s="1">
        <f>SUM(OSRRefH22_19x_0)</f>
        <v>400.8</v>
      </c>
      <c r="I95" s="1"/>
      <c r="J95" s="5">
        <f t="shared" ref="J95:J102" si="67">IF(H$12=0,0,H95/H$12)</f>
        <v>14.132581100141044</v>
      </c>
      <c r="K95" s="1"/>
      <c r="L95" s="1">
        <f t="shared" ref="L95:L102" si="68">+D95-H95</f>
        <v>-364.1</v>
      </c>
      <c r="M95" s="1"/>
      <c r="N95" s="5">
        <f t="shared" ref="N95:N102" si="69">IF(H95=0,0,L95/H95)</f>
        <v>-0.90843313373253498</v>
      </c>
      <c r="O95" s="12"/>
      <c r="P95" s="1">
        <f>SUM(OSRRefP22_19x_0)</f>
        <v>3555.09</v>
      </c>
      <c r="Q95" s="1"/>
      <c r="R95" s="5">
        <f t="shared" ref="R95:R102" si="70">IF(P$12=0,0,P95/P$12)</f>
        <v>1.2357277922222376</v>
      </c>
      <c r="S95" s="1"/>
      <c r="T95" s="1">
        <f>SUM(OSRRefT22_19x_0)</f>
        <v>4376.67</v>
      </c>
      <c r="U95" s="1"/>
      <c r="V95" s="5">
        <f t="shared" ref="V95:V102" si="71">IF(T$12=0,0,T95/T$12)</f>
        <v>1.8509062332391704E-3</v>
      </c>
      <c r="W95" s="1"/>
      <c r="X95" s="1">
        <f t="shared" ref="X95:X102" si="72">+P95-T95</f>
        <v>-821.57999999999993</v>
      </c>
      <c r="Y95" s="1"/>
      <c r="Z95" s="5">
        <f t="shared" ref="Z95:Z102" si="73">IF(T95=0,0,X95/T95)</f>
        <v>-0.18771805962067048</v>
      </c>
    </row>
    <row r="96" spans="1:26" s="23" customFormat="1" hidden="1" outlineLevel="2" x14ac:dyDescent="0.25">
      <c r="A96" s="27"/>
      <c r="B96" s="10" t="str">
        <f>CONCATENATE("          ", "6309", " - ", "TELEPHONE")</f>
        <v xml:space="preserve">          6309 - TELEPHONE</v>
      </c>
      <c r="C96" s="10"/>
      <c r="D96" s="6">
        <v>36.700000000000003</v>
      </c>
      <c r="E96" s="2"/>
      <c r="F96" s="7">
        <f t="shared" si="66"/>
        <v>9.1750000000000007</v>
      </c>
      <c r="G96" s="2"/>
      <c r="H96" s="6">
        <v>400.8</v>
      </c>
      <c r="I96" s="2"/>
      <c r="J96" s="7">
        <f t="shared" si="67"/>
        <v>14.132581100141044</v>
      </c>
      <c r="K96" s="2"/>
      <c r="L96" s="6">
        <f t="shared" si="68"/>
        <v>-364.1</v>
      </c>
      <c r="M96" s="2"/>
      <c r="N96" s="7">
        <f t="shared" si="69"/>
        <v>-0.90843313373253498</v>
      </c>
      <c r="O96" s="10"/>
      <c r="P96" s="6">
        <v>3555.09</v>
      </c>
      <c r="Q96" s="2"/>
      <c r="R96" s="7">
        <f t="shared" si="70"/>
        <v>1.2357277922222376</v>
      </c>
      <c r="S96" s="2"/>
      <c r="T96" s="6">
        <v>4376.67</v>
      </c>
      <c r="U96" s="2"/>
      <c r="V96" s="7">
        <f t="shared" si="71"/>
        <v>1.8509062332391704E-3</v>
      </c>
      <c r="W96" s="2"/>
      <c r="X96" s="6">
        <f t="shared" si="72"/>
        <v>-821.57999999999993</v>
      </c>
      <c r="Y96" s="2"/>
      <c r="Z96" s="7">
        <f t="shared" si="73"/>
        <v>-0.18771805962067048</v>
      </c>
    </row>
    <row r="97" spans="1:26" s="26" customFormat="1" outlineLevel="1" collapsed="1" x14ac:dyDescent="0.25">
      <c r="A97" s="25"/>
      <c r="B97" s="12" t="str">
        <f>CONCATENATE("     ","Training                                          ")</f>
        <v xml:space="preserve">     Training                                          </v>
      </c>
      <c r="C97" s="12"/>
      <c r="D97" s="1">
        <f>SUM(OSRRefD22_20x_0)</f>
        <v>0</v>
      </c>
      <c r="E97" s="1"/>
      <c r="F97" s="5">
        <f t="shared" si="66"/>
        <v>0</v>
      </c>
      <c r="G97" s="1"/>
      <c r="H97" s="1">
        <f>SUM(OSRRefH22_20x_0)</f>
        <v>0</v>
      </c>
      <c r="I97" s="1"/>
      <c r="J97" s="5">
        <f t="shared" si="67"/>
        <v>0</v>
      </c>
      <c r="K97" s="1"/>
      <c r="L97" s="1">
        <f t="shared" si="68"/>
        <v>0</v>
      </c>
      <c r="M97" s="1"/>
      <c r="N97" s="5">
        <f t="shared" si="69"/>
        <v>0</v>
      </c>
      <c r="O97" s="12"/>
      <c r="P97" s="1">
        <f>SUM(OSRRefP22_20x_0)</f>
        <v>0</v>
      </c>
      <c r="Q97" s="1"/>
      <c r="R97" s="5">
        <f t="shared" si="70"/>
        <v>0</v>
      </c>
      <c r="S97" s="1"/>
      <c r="T97" s="1">
        <f>SUM(OSRRefT22_20x_0)</f>
        <v>110</v>
      </c>
      <c r="U97" s="1"/>
      <c r="V97" s="5">
        <f t="shared" si="71"/>
        <v>4.6519313920471215E-5</v>
      </c>
      <c r="W97" s="1"/>
      <c r="X97" s="1">
        <f t="shared" si="72"/>
        <v>-110</v>
      </c>
      <c r="Y97" s="1"/>
      <c r="Z97" s="5">
        <f t="shared" si="73"/>
        <v>-1</v>
      </c>
    </row>
    <row r="98" spans="1:26" s="23" customFormat="1" hidden="1" outlineLevel="2" x14ac:dyDescent="0.25">
      <c r="A98" s="27"/>
      <c r="B98" s="10" t="str">
        <f>CONCATENATE("          ", "6376", " - ", "TRAINING")</f>
        <v xml:space="preserve">          6376 - TRAINING</v>
      </c>
      <c r="C98" s="10"/>
      <c r="D98" s="6"/>
      <c r="E98" s="2"/>
      <c r="F98" s="7">
        <f t="shared" si="66"/>
        <v>0</v>
      </c>
      <c r="G98" s="2"/>
      <c r="H98" s="6"/>
      <c r="I98" s="2"/>
      <c r="J98" s="7">
        <f t="shared" si="67"/>
        <v>0</v>
      </c>
      <c r="K98" s="2"/>
      <c r="L98" s="6">
        <f t="shared" si="68"/>
        <v>0</v>
      </c>
      <c r="M98" s="2"/>
      <c r="N98" s="7">
        <f t="shared" si="69"/>
        <v>0</v>
      </c>
      <c r="O98" s="10"/>
      <c r="P98" s="6"/>
      <c r="Q98" s="2"/>
      <c r="R98" s="7">
        <f t="shared" si="70"/>
        <v>0</v>
      </c>
      <c r="S98" s="2"/>
      <c r="T98" s="6">
        <v>110</v>
      </c>
      <c r="U98" s="2"/>
      <c r="V98" s="7">
        <f t="shared" si="71"/>
        <v>4.6519313920471215E-5</v>
      </c>
      <c r="W98" s="2"/>
      <c r="X98" s="6">
        <f t="shared" si="72"/>
        <v>-110</v>
      </c>
      <c r="Y98" s="2"/>
      <c r="Z98" s="7">
        <f t="shared" si="73"/>
        <v>-1</v>
      </c>
    </row>
    <row r="99" spans="1:26" s="26" customFormat="1" outlineLevel="1" collapsed="1" x14ac:dyDescent="0.25">
      <c r="A99" s="25"/>
      <c r="B99" s="12" t="str">
        <f>CONCATENATE("     ","Travel                                            ")</f>
        <v xml:space="preserve">     Travel                                            </v>
      </c>
      <c r="C99" s="12"/>
      <c r="D99" s="1">
        <f>SUM(OSRRefD22_21x_0)</f>
        <v>0</v>
      </c>
      <c r="E99" s="1"/>
      <c r="F99" s="5">
        <f t="shared" si="66"/>
        <v>0</v>
      </c>
      <c r="G99" s="1"/>
      <c r="H99" s="1">
        <f>SUM(OSRRefH22_21x_0)</f>
        <v>0</v>
      </c>
      <c r="I99" s="1"/>
      <c r="J99" s="5">
        <f t="shared" si="67"/>
        <v>0</v>
      </c>
      <c r="K99" s="1"/>
      <c r="L99" s="1">
        <f t="shared" si="68"/>
        <v>0</v>
      </c>
      <c r="M99" s="1"/>
      <c r="N99" s="5">
        <f t="shared" si="69"/>
        <v>0</v>
      </c>
      <c r="O99" s="12"/>
      <c r="P99" s="1">
        <f>SUM(OSRRefP22_21x_0)</f>
        <v>0</v>
      </c>
      <c r="Q99" s="1"/>
      <c r="R99" s="5">
        <f t="shared" si="70"/>
        <v>0</v>
      </c>
      <c r="S99" s="1"/>
      <c r="T99" s="1">
        <f>SUM(OSRRefT22_21x_0)</f>
        <v>66</v>
      </c>
      <c r="U99" s="1"/>
      <c r="V99" s="5">
        <f t="shared" si="71"/>
        <v>2.791158835228273E-5</v>
      </c>
      <c r="W99" s="1"/>
      <c r="X99" s="1">
        <f t="shared" si="72"/>
        <v>-66</v>
      </c>
      <c r="Y99" s="1"/>
      <c r="Z99" s="5">
        <f t="shared" si="73"/>
        <v>-1</v>
      </c>
    </row>
    <row r="100" spans="1:26" s="23" customFormat="1" hidden="1" outlineLevel="2" x14ac:dyDescent="0.25">
      <c r="A100" s="27"/>
      <c r="B100" s="10" t="str">
        <f>CONCATENATE("          ", "6298", " - ", "VEHICLE MILEAGE")</f>
        <v xml:space="preserve">          6298 - VEHICLE MILEAGE</v>
      </c>
      <c r="C100" s="10"/>
      <c r="D100" s="6"/>
      <c r="E100" s="2"/>
      <c r="F100" s="7">
        <f t="shared" si="66"/>
        <v>0</v>
      </c>
      <c r="G100" s="2"/>
      <c r="H100" s="6"/>
      <c r="I100" s="2"/>
      <c r="J100" s="7">
        <f t="shared" si="67"/>
        <v>0</v>
      </c>
      <c r="K100" s="2"/>
      <c r="L100" s="6">
        <f t="shared" si="68"/>
        <v>0</v>
      </c>
      <c r="M100" s="2"/>
      <c r="N100" s="7">
        <f t="shared" si="69"/>
        <v>0</v>
      </c>
      <c r="O100" s="10"/>
      <c r="P100" s="6"/>
      <c r="Q100" s="2"/>
      <c r="R100" s="7">
        <f t="shared" si="70"/>
        <v>0</v>
      </c>
      <c r="S100" s="2"/>
      <c r="T100" s="6">
        <v>66</v>
      </c>
      <c r="U100" s="2"/>
      <c r="V100" s="7">
        <f t="shared" si="71"/>
        <v>2.791158835228273E-5</v>
      </c>
      <c r="W100" s="2"/>
      <c r="X100" s="6">
        <f t="shared" si="72"/>
        <v>-66</v>
      </c>
      <c r="Y100" s="2"/>
      <c r="Z100" s="7">
        <f t="shared" si="73"/>
        <v>-1</v>
      </c>
    </row>
    <row r="101" spans="1:26" s="26" customFormat="1" outlineLevel="1" collapsed="1" x14ac:dyDescent="0.25">
      <c r="A101" s="25"/>
      <c r="B101" s="12" t="str">
        <f>CONCATENATE("     ","Utilities                                         ")</f>
        <v xml:space="preserve">     Utilities                                         </v>
      </c>
      <c r="C101" s="12"/>
      <c r="D101" s="1">
        <f>SUM(OSRRefD22_22x_0)</f>
        <v>1136</v>
      </c>
      <c r="E101" s="1"/>
      <c r="F101" s="5">
        <f t="shared" si="66"/>
        <v>284</v>
      </c>
      <c r="G101" s="1"/>
      <c r="H101" s="1">
        <f>SUM(OSRRefH22_22x_0)</f>
        <v>1109</v>
      </c>
      <c r="I101" s="1"/>
      <c r="J101" s="5">
        <f t="shared" si="67"/>
        <v>39.104372355430186</v>
      </c>
      <c r="K101" s="1"/>
      <c r="L101" s="1">
        <f t="shared" si="68"/>
        <v>27</v>
      </c>
      <c r="M101" s="1"/>
      <c r="N101" s="5">
        <f t="shared" si="69"/>
        <v>2.4346257889990983E-2</v>
      </c>
      <c r="O101" s="12"/>
      <c r="P101" s="1">
        <f>SUM(OSRRefP22_22x_0)</f>
        <v>6920</v>
      </c>
      <c r="Q101" s="1"/>
      <c r="R101" s="5">
        <f t="shared" si="70"/>
        <v>2.4053501661499102</v>
      </c>
      <c r="S101" s="1"/>
      <c r="T101" s="1">
        <f>SUM(OSRRefT22_22x_0)</f>
        <v>11603.74</v>
      </c>
      <c r="U101" s="1"/>
      <c r="V101" s="5">
        <f t="shared" si="71"/>
        <v>4.9072547610138966E-3</v>
      </c>
      <c r="W101" s="1"/>
      <c r="X101" s="1">
        <f t="shared" si="72"/>
        <v>-4683.74</v>
      </c>
      <c r="Y101" s="1"/>
      <c r="Z101" s="5">
        <f t="shared" si="73"/>
        <v>-0.40364055037427587</v>
      </c>
    </row>
    <row r="102" spans="1:26" s="23" customFormat="1" hidden="1" outlineLevel="2" x14ac:dyDescent="0.25">
      <c r="A102" s="27"/>
      <c r="B102" s="10" t="str">
        <f>CONCATENATE("          ", "6274", " - ", "UTILITIES")</f>
        <v xml:space="preserve">          6274 - UTILITIES</v>
      </c>
      <c r="C102" s="10"/>
      <c r="D102" s="6">
        <v>1136</v>
      </c>
      <c r="E102" s="2"/>
      <c r="F102" s="7">
        <f t="shared" si="66"/>
        <v>284</v>
      </c>
      <c r="G102" s="2"/>
      <c r="H102" s="6">
        <v>1109</v>
      </c>
      <c r="I102" s="2"/>
      <c r="J102" s="7">
        <f t="shared" si="67"/>
        <v>39.104372355430186</v>
      </c>
      <c r="K102" s="2"/>
      <c r="L102" s="6">
        <f t="shared" si="68"/>
        <v>27</v>
      </c>
      <c r="M102" s="2"/>
      <c r="N102" s="7">
        <f t="shared" si="69"/>
        <v>2.4346257889990983E-2</v>
      </c>
      <c r="O102" s="10"/>
      <c r="P102" s="6">
        <v>6920</v>
      </c>
      <c r="Q102" s="2"/>
      <c r="R102" s="7">
        <f t="shared" si="70"/>
        <v>2.4053501661499102</v>
      </c>
      <c r="S102" s="2"/>
      <c r="T102" s="6">
        <v>11603.74</v>
      </c>
      <c r="U102" s="2"/>
      <c r="V102" s="7">
        <f t="shared" si="71"/>
        <v>4.9072547610138966E-3</v>
      </c>
      <c r="W102" s="2"/>
      <c r="X102" s="6">
        <f t="shared" si="72"/>
        <v>-4683.74</v>
      </c>
      <c r="Y102" s="2"/>
      <c r="Z102" s="7">
        <f t="shared" si="73"/>
        <v>-0.40364055037427587</v>
      </c>
    </row>
    <row r="103" spans="1:26" s="57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4" customFormat="1" x14ac:dyDescent="0.25">
      <c r="A104" s="11"/>
      <c r="B104" s="29" t="s">
        <v>292</v>
      </c>
      <c r="C104" s="11"/>
      <c r="D104" s="4">
        <f>SUM(0)</f>
        <v>0</v>
      </c>
      <c r="E104" s="4"/>
      <c r="F104" s="13">
        <f>IF(D$12=0,0,D104/D$12)</f>
        <v>0</v>
      </c>
      <c r="G104" s="4"/>
      <c r="H104" s="4">
        <f>SUM(0)</f>
        <v>0</v>
      </c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1"/>
      <c r="P104" s="4">
        <f>SUM(0)</f>
        <v>0</v>
      </c>
      <c r="Q104" s="4"/>
      <c r="R104" s="13">
        <f>IF(P$12=0,0,P104/P$12)</f>
        <v>0</v>
      </c>
      <c r="S104" s="4"/>
      <c r="T104" s="4">
        <f>SUM(0)</f>
        <v>0</v>
      </c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1"/>
      <c r="C105" s="11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1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4" customFormat="1" x14ac:dyDescent="0.25">
      <c r="A106" s="11"/>
      <c r="B106" s="28" t="s">
        <v>276</v>
      </c>
      <c r="C106" s="28"/>
      <c r="D106" s="20">
        <f>+D28-D30+D104</f>
        <v>-14890.33</v>
      </c>
      <c r="E106" s="14"/>
      <c r="F106" s="21">
        <f>IF(D$12=0,0,D106/D$12)</f>
        <v>-3722.5825</v>
      </c>
      <c r="G106" s="14"/>
      <c r="H106" s="20">
        <f>+H28-H30+H104</f>
        <v>-33684.75</v>
      </c>
      <c r="I106" s="14"/>
      <c r="J106" s="21">
        <f>IF(H$12=0,0,H106/H$12)</f>
        <v>-1187.7556417489423</v>
      </c>
      <c r="K106" s="15"/>
      <c r="L106" s="20">
        <f>+D106-H106</f>
        <v>18794.419999999998</v>
      </c>
      <c r="M106" s="15"/>
      <c r="N106" s="21">
        <f>IF(H106=0,0,L106/H106)</f>
        <v>-0.55795040782549965</v>
      </c>
      <c r="O106" s="29"/>
      <c r="P106" s="20">
        <f>+P28-P30+P104</f>
        <v>-273542.35000000003</v>
      </c>
      <c r="Q106" s="14"/>
      <c r="R106" s="21">
        <f>IF(P$12=0,0,P106/P$12)</f>
        <v>-95.081667199644073</v>
      </c>
      <c r="S106" s="14"/>
      <c r="T106" s="20">
        <f>+T28-T30+T104</f>
        <v>100600.09999999998</v>
      </c>
      <c r="U106" s="14"/>
      <c r="V106" s="21">
        <f>IF(T$12=0,0,T106/T$12)</f>
        <v>4.2544069384825411E-2</v>
      </c>
      <c r="W106" s="15"/>
      <c r="X106" s="20">
        <f>+P106-T106</f>
        <v>-374142.45</v>
      </c>
      <c r="Y106" s="15"/>
      <c r="Z106" s="21">
        <f>IF(T106=0,0,X106/T106)</f>
        <v>-3.7191061440296789</v>
      </c>
    </row>
    <row r="107" spans="1:26" x14ac:dyDescent="0.25">
      <c r="A107" s="9"/>
      <c r="B107" s="11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x14ac:dyDescent="0.25">
      <c r="A108" s="51"/>
      <c r="B108" s="11" t="s">
        <v>127</v>
      </c>
      <c r="C108" s="11"/>
      <c r="D108" s="4">
        <v>13.74</v>
      </c>
      <c r="E108" s="4"/>
      <c r="F108" s="13">
        <f>IF(D$12=0,0,D108/D$12)</f>
        <v>3.4350000000000001</v>
      </c>
      <c r="G108" s="4"/>
      <c r="H108" s="4">
        <v>11537.15</v>
      </c>
      <c r="I108" s="4"/>
      <c r="J108" s="13">
        <f>IF(H$12=0,0,H108/H$12)</f>
        <v>406.81064880112837</v>
      </c>
      <c r="K108" s="4"/>
      <c r="L108" s="4">
        <f>+D108-H108</f>
        <v>-11523.41</v>
      </c>
      <c r="M108" s="4"/>
      <c r="N108" s="13">
        <f>IF(H108=0,0,L108/H108)</f>
        <v>-0.99880906463034635</v>
      </c>
      <c r="O108" s="11"/>
      <c r="P108" s="4">
        <v>614.77</v>
      </c>
      <c r="Q108" s="4"/>
      <c r="R108" s="13">
        <f>IF(P$12=0,0,P108/P$12)</f>
        <v>0.21369033549768501</v>
      </c>
      <c r="S108" s="4"/>
      <c r="T108" s="4">
        <v>280018.38</v>
      </c>
      <c r="U108" s="4"/>
      <c r="V108" s="13">
        <f>IF(T$12=0,0,T108/T$12)</f>
        <v>0.11842057202474363</v>
      </c>
      <c r="W108" s="4"/>
      <c r="X108" s="4">
        <f>+P108-T108</f>
        <v>-279403.61</v>
      </c>
      <c r="Y108" s="4"/>
      <c r="Z108" s="13">
        <f>IF(T108=0,0,X108/T108)</f>
        <v>-0.9978045369736086</v>
      </c>
    </row>
    <row r="109" spans="1:26" x14ac:dyDescent="0.25">
      <c r="A109" s="9"/>
      <c r="B109" s="11"/>
      <c r="C109" s="11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1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ht="15.75" thickBot="1" x14ac:dyDescent="0.3">
      <c r="A110" s="11"/>
      <c r="B110" s="28" t="s">
        <v>125</v>
      </c>
      <c r="C110" s="28"/>
      <c r="D110" s="35">
        <f>+D106-D108</f>
        <v>-14904.07</v>
      </c>
      <c r="E110" s="14"/>
      <c r="F110" s="36">
        <f>IF(D$12=0,0,D110/D$12)</f>
        <v>-3726.0174999999999</v>
      </c>
      <c r="G110" s="14"/>
      <c r="H110" s="35">
        <f>+H106-H108</f>
        <v>-45221.9</v>
      </c>
      <c r="I110" s="14"/>
      <c r="J110" s="36">
        <f>IF(H$12=0,0,H110/H$12)</f>
        <v>-1594.5662905500706</v>
      </c>
      <c r="K110" s="15"/>
      <c r="L110" s="35">
        <f>D110-H110</f>
        <v>30317.83</v>
      </c>
      <c r="M110" s="15"/>
      <c r="N110" s="36">
        <f>IF(H110=0,0,L110/H110)</f>
        <v>-0.67042362218305729</v>
      </c>
      <c r="O110" s="29"/>
      <c r="P110" s="35">
        <f>+P106-P108</f>
        <v>-274157.12000000005</v>
      </c>
      <c r="Q110" s="14"/>
      <c r="R110" s="36">
        <f>IF(P$12=0,0,P110/P$12)</f>
        <v>-95.295357535141761</v>
      </c>
      <c r="S110" s="14"/>
      <c r="T110" s="35">
        <f>+T106-T108</f>
        <v>-179418.28000000003</v>
      </c>
      <c r="U110" s="14"/>
      <c r="V110" s="36">
        <f>IF(T$12=0,0,T110/T$12)</f>
        <v>-7.5876502639918214E-2</v>
      </c>
      <c r="W110" s="15"/>
      <c r="X110" s="35">
        <f>P110-T110</f>
        <v>-94738.840000000026</v>
      </c>
      <c r="Y110" s="15"/>
      <c r="Z110" s="36">
        <f>IF(T110=0,0,X110/T110)</f>
        <v>0.52803337541748818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ht="15.75" thickBot="1" x14ac:dyDescent="0.3">
      <c r="A113" s="11"/>
      <c r="B113" s="28" t="s">
        <v>293</v>
      </c>
      <c r="C113" s="28"/>
      <c r="D113" s="30">
        <f>SUM(D110:D112)</f>
        <v>-14904.07</v>
      </c>
      <c r="E113" s="14"/>
      <c r="F113" s="31">
        <f>IF(D$12=0,0,D113/D$12)</f>
        <v>-3726.0174999999999</v>
      </c>
      <c r="G113" s="14"/>
      <c r="H113" s="30">
        <f>SUM(H110:H112)</f>
        <v>-45221.9</v>
      </c>
      <c r="I113" s="14"/>
      <c r="J113" s="31">
        <f>IF(H$12=0,0,H113/H$12)</f>
        <v>-1594.5662905500706</v>
      </c>
      <c r="K113" s="15"/>
      <c r="L113" s="30">
        <f>+D113-H113</f>
        <v>30317.83</v>
      </c>
      <c r="M113" s="15"/>
      <c r="N113" s="31">
        <f>IF(H113=0,0,L113/H113)</f>
        <v>-0.67042362218305729</v>
      </c>
      <c r="O113" s="29"/>
      <c r="P113" s="30">
        <f>SUM(P110:P112)</f>
        <v>-274157.12000000005</v>
      </c>
      <c r="Q113" s="14"/>
      <c r="R113" s="31">
        <f>IF(P$12=0,0,P113/P$12)</f>
        <v>-95.295357535141761</v>
      </c>
      <c r="S113" s="14"/>
      <c r="T113" s="30">
        <f>SUM(T110:T112)</f>
        <v>-179418.28000000003</v>
      </c>
      <c r="U113" s="14"/>
      <c r="V113" s="31">
        <f>IF(T$12=0,0,T113/T$12)</f>
        <v>-7.5876502639918214E-2</v>
      </c>
      <c r="W113" s="15"/>
      <c r="X113" s="30">
        <f>+P113-T113</f>
        <v>-94738.840000000026</v>
      </c>
      <c r="Y113" s="15"/>
      <c r="Z113" s="31">
        <f>IF(T113=0,0,X113/T113)</f>
        <v>0.52803337541748818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6" x14ac:dyDescent="0.25">
      <c r="A115" s="9"/>
      <c r="B115" s="59">
        <v>44356.893286493054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2" t="s">
        <v>56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4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","309", " - ", "Carts")</f>
        <v>Department 309 - Carts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287556.77999999997</v>
      </c>
      <c r="U12" s="4"/>
      <c r="V12" s="13"/>
      <c r="W12" s="4"/>
      <c r="X12" s="4">
        <f t="shared" ref="X12:X14" si="2">+P12-T12</f>
        <v>-287556.77999999997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--64154.32</f>
        <v>64154.32</v>
      </c>
      <c r="U13" s="2"/>
      <c r="V13" s="19"/>
      <c r="W13" s="2"/>
      <c r="X13" s="2">
        <f t="shared" si="2"/>
        <v>-64154.32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--223402.46</f>
        <v>223402.46</v>
      </c>
      <c r="U14" s="2"/>
      <c r="V14" s="19"/>
      <c r="W14" s="2"/>
      <c r="X14" s="2">
        <f t="shared" si="2"/>
        <v>-223402.46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155212.93999999997</v>
      </c>
      <c r="U16" s="4"/>
      <c r="V16" s="13">
        <f t="shared" ref="V16:V18" si="12">IF(T$12=0,0,T16/T$12)</f>
        <v>0.53976449451131003</v>
      </c>
      <c r="W16" s="4"/>
      <c r="X16" s="4">
        <f t="shared" ref="X16:X18" si="13">+P16-T16</f>
        <v>-155212.93999999997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138911.60999999999</v>
      </c>
      <c r="U17" s="2"/>
      <c r="V17" s="19">
        <f t="shared" si="12"/>
        <v>0.48307541209774291</v>
      </c>
      <c r="W17" s="2"/>
      <c r="X17" s="2">
        <f t="shared" si="13"/>
        <v>-138911.60999999999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16301.33</v>
      </c>
      <c r="U18" s="2"/>
      <c r="V18" s="19">
        <f t="shared" si="12"/>
        <v>5.6689082413567161E-2</v>
      </c>
      <c r="W18" s="2"/>
      <c r="X18" s="2">
        <f t="shared" si="13"/>
        <v>-16301.33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132343.84</v>
      </c>
      <c r="U20" s="14"/>
      <c r="V20" s="21">
        <f>IF(T$12=0,0,T20/T$12)</f>
        <v>0.46023550548868997</v>
      </c>
      <c r="W20" s="15"/>
      <c r="X20" s="20">
        <f>+P20-T20</f>
        <v>-132343.84</v>
      </c>
      <c r="Y20" s="15"/>
      <c r="Z20" s="21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770.02</v>
      </c>
      <c r="E22" s="22"/>
      <c r="F22" s="32">
        <f t="shared" ref="F22:F31" si="15">IF(D$12=0,0,D22/D$12)</f>
        <v>0</v>
      </c>
      <c r="G22" s="22"/>
      <c r="H22" s="22">
        <f>SUM(OSRRefH22x_0)</f>
        <v>769.2700000000001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0.74999999999988631</v>
      </c>
      <c r="M22" s="4"/>
      <c r="N22" s="32">
        <f t="shared" ref="N22:N31" si="18">IF(H22=0,0,L22/H22)</f>
        <v>9.749502775356978E-4</v>
      </c>
      <c r="O22" s="11"/>
      <c r="P22" s="22">
        <f>SUM(OSRRefP22x_0)</f>
        <v>10261.4</v>
      </c>
      <c r="Q22" s="22"/>
      <c r="R22" s="32">
        <f t="shared" ref="R22:R31" si="19">IF(P$12=0,0,P22/P$12)</f>
        <v>0</v>
      </c>
      <c r="S22" s="22"/>
      <c r="T22" s="22">
        <f>SUM(OSRRefT22x_0)</f>
        <v>129717.28</v>
      </c>
      <c r="U22" s="22"/>
      <c r="V22" s="32">
        <f t="shared" ref="V22:V31" si="20">IF(T$12=0,0,T22/T$12)</f>
        <v>0.4511014485556557</v>
      </c>
      <c r="W22" s="4"/>
      <c r="X22" s="22">
        <f t="shared" ref="X22:X31" si="21">+P22-T22</f>
        <v>-119455.88</v>
      </c>
      <c r="Y22" s="4"/>
      <c r="Z22" s="32">
        <f t="shared" ref="Z22:Z31" si="22">IF(T22=0,0,X22/T22)</f>
        <v>-0.92089411680540945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12949.68</v>
      </c>
      <c r="U23" s="1"/>
      <c r="V23" s="5">
        <f t="shared" si="20"/>
        <v>4.5033471302606744E-2</v>
      </c>
      <c r="W23" s="1"/>
      <c r="X23" s="1">
        <f t="shared" si="21"/>
        <v>-12949.68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3698.79</v>
      </c>
      <c r="U24" s="2"/>
      <c r="V24" s="7">
        <f t="shared" si="20"/>
        <v>1.2862816171470554E-2</v>
      </c>
      <c r="W24" s="2"/>
      <c r="X24" s="6">
        <f t="shared" si="21"/>
        <v>-3698.79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1342.55</v>
      </c>
      <c r="U25" s="2"/>
      <c r="V25" s="7">
        <f t="shared" si="20"/>
        <v>4.6688170593647627E-3</v>
      </c>
      <c r="W25" s="2"/>
      <c r="X25" s="6">
        <f t="shared" si="21"/>
        <v>-1342.55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4829.7</v>
      </c>
      <c r="U26" s="2"/>
      <c r="V26" s="7">
        <f t="shared" si="20"/>
        <v>1.6795639455971095E-2</v>
      </c>
      <c r="W26" s="2"/>
      <c r="X26" s="6">
        <f t="shared" si="21"/>
        <v>-4829.7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196.77</v>
      </c>
      <c r="U27" s="2"/>
      <c r="V27" s="7">
        <f t="shared" si="20"/>
        <v>6.8428224853540236E-4</v>
      </c>
      <c r="W27" s="2"/>
      <c r="X27" s="6">
        <f t="shared" si="21"/>
        <v>-196.77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938.77</v>
      </c>
      <c r="U28" s="2"/>
      <c r="V28" s="7">
        <f t="shared" si="20"/>
        <v>3.2646422038805694E-3</v>
      </c>
      <c r="W28" s="2"/>
      <c r="X28" s="6">
        <f t="shared" si="21"/>
        <v>-938.77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480.48</v>
      </c>
      <c r="U29" s="2"/>
      <c r="V29" s="7">
        <f t="shared" si="20"/>
        <v>1.670904786178229E-3</v>
      </c>
      <c r="W29" s="2"/>
      <c r="X29" s="6">
        <f t="shared" si="21"/>
        <v>-480.48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575.64</v>
      </c>
      <c r="U30" s="2"/>
      <c r="V30" s="7">
        <f t="shared" si="20"/>
        <v>2.0018307340901511E-3</v>
      </c>
      <c r="W30" s="2"/>
      <c r="X30" s="6">
        <f t="shared" si="21"/>
        <v>-575.64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886.98</v>
      </c>
      <c r="U31" s="2"/>
      <c r="V31" s="7">
        <f t="shared" si="20"/>
        <v>3.0845386431159793E-3</v>
      </c>
      <c r="W31" s="2"/>
      <c r="X31" s="6">
        <f t="shared" si="21"/>
        <v>-886.98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0</v>
      </c>
      <c r="M32" s="1"/>
      <c r="N32" s="5">
        <f t="shared" ref="N32:N37" si="26">IF(H32=0,0,L32/H32)</f>
        <v>0</v>
      </c>
      <c r="O32" s="12"/>
      <c r="P32" s="1">
        <f>SUM(OSRRefP22_1x_0)</f>
        <v>0</v>
      </c>
      <c r="Q32" s="1"/>
      <c r="R32" s="5">
        <f t="shared" ref="R32:R37" si="27">IF(P$12=0,0,P32/P$12)</f>
        <v>0</v>
      </c>
      <c r="S32" s="1"/>
      <c r="T32" s="1">
        <f>SUM(OSRRefT22_1x_0)</f>
        <v>74718.25</v>
      </c>
      <c r="U32" s="1"/>
      <c r="V32" s="5">
        <f t="shared" ref="V32:V37" si="28">IF(T$12=0,0,T32/T$12)</f>
        <v>0.25983824829308494</v>
      </c>
      <c r="W32" s="1"/>
      <c r="X32" s="1">
        <f t="shared" ref="X32:X37" si="29">+P32-T32</f>
        <v>-74718.25</v>
      </c>
      <c r="Y32" s="1"/>
      <c r="Z32" s="5">
        <f t="shared" ref="Z32:Z37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9840</v>
      </c>
      <c r="U33" s="2"/>
      <c r="V33" s="7">
        <f t="shared" si="28"/>
        <v>3.4219328787865828E-2</v>
      </c>
      <c r="W33" s="2"/>
      <c r="X33" s="6">
        <f t="shared" si="29"/>
        <v>-9840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29326.09</v>
      </c>
      <c r="U34" s="2"/>
      <c r="V34" s="7">
        <f t="shared" si="28"/>
        <v>0.10198364997688458</v>
      </c>
      <c r="W34" s="2"/>
      <c r="X34" s="6">
        <f t="shared" si="29"/>
        <v>-29326.09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2587.42</v>
      </c>
      <c r="U35" s="2"/>
      <c r="V35" s="7">
        <f t="shared" si="28"/>
        <v>8.9979446841768097E-3</v>
      </c>
      <c r="W35" s="2"/>
      <c r="X35" s="6">
        <f t="shared" si="29"/>
        <v>-2587.42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32907.74</v>
      </c>
      <c r="U36" s="2"/>
      <c r="V36" s="7">
        <f t="shared" si="28"/>
        <v>0.11443910312252072</v>
      </c>
      <c r="W36" s="2"/>
      <c r="X36" s="6">
        <f t="shared" si="29"/>
        <v>-32907.74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57</v>
      </c>
      <c r="U37" s="2"/>
      <c r="V37" s="7">
        <f t="shared" si="28"/>
        <v>1.9822172163702767E-4</v>
      </c>
      <c r="W37" s="2"/>
      <c r="X37" s="6">
        <f t="shared" si="29"/>
        <v>-57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4" si="31">IF(D$12=0,0,D38/D$12)</f>
        <v>0</v>
      </c>
      <c r="G38" s="1"/>
      <c r="H38" s="1">
        <f>SUM(OSRRefH22_2x_0)</f>
        <v>0</v>
      </c>
      <c r="I38" s="1"/>
      <c r="J38" s="5">
        <f t="shared" ref="J38:J54" si="32">IF(H$12=0,0,H38/H$12)</f>
        <v>0</v>
      </c>
      <c r="K38" s="1"/>
      <c r="L38" s="1">
        <f t="shared" ref="L38:L54" si="33">+D38-H38</f>
        <v>0</v>
      </c>
      <c r="M38" s="1"/>
      <c r="N38" s="5">
        <f t="shared" ref="N38:N54" si="34">IF(H38=0,0,L38/H38)</f>
        <v>0</v>
      </c>
      <c r="O38" s="12"/>
      <c r="P38" s="1">
        <f>SUM(OSRRefP22_2x_0)</f>
        <v>0</v>
      </c>
      <c r="Q38" s="1"/>
      <c r="R38" s="5">
        <f t="shared" ref="R38:R54" si="35">IF(P$12=0,0,P38/P$12)</f>
        <v>0</v>
      </c>
      <c r="S38" s="1"/>
      <c r="T38" s="1">
        <f>SUM(OSRRefT22_2x_0)</f>
        <v>910.02</v>
      </c>
      <c r="U38" s="1"/>
      <c r="V38" s="5">
        <f t="shared" ref="V38:V54" si="36">IF(T$12=0,0,T38/T$12)</f>
        <v>3.1646619495461037E-3</v>
      </c>
      <c r="W38" s="1"/>
      <c r="X38" s="1">
        <f t="shared" ref="X38:X54" si="37">+P38-T38</f>
        <v>-910.02</v>
      </c>
      <c r="Y38" s="1"/>
      <c r="Z38" s="5">
        <f t="shared" ref="Z38:Z54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910.02</v>
      </c>
      <c r="U39" s="2"/>
      <c r="V39" s="7">
        <f t="shared" si="36"/>
        <v>3.1646619495461037E-3</v>
      </c>
      <c r="W39" s="2"/>
      <c r="X39" s="6">
        <f t="shared" si="37"/>
        <v>-910.02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-18.989999999999998</v>
      </c>
      <c r="U40" s="1"/>
      <c r="V40" s="5">
        <f t="shared" si="36"/>
        <v>-6.6039131471704477E-5</v>
      </c>
      <c r="W40" s="1"/>
      <c r="X40" s="1">
        <f t="shared" si="37"/>
        <v>18.989999999999998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-18.989999999999998</v>
      </c>
      <c r="U41" s="2"/>
      <c r="V41" s="7">
        <f t="shared" si="36"/>
        <v>-6.6039131471704477E-5</v>
      </c>
      <c r="W41" s="2"/>
      <c r="X41" s="6">
        <f t="shared" si="37"/>
        <v>18.989999999999998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10541.38</v>
      </c>
      <c r="U42" s="1"/>
      <c r="V42" s="5">
        <f t="shared" si="36"/>
        <v>3.6658429684739133E-2</v>
      </c>
      <c r="W42" s="1"/>
      <c r="X42" s="1">
        <f t="shared" si="37"/>
        <v>-10541.38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10541.38</v>
      </c>
      <c r="U43" s="2"/>
      <c r="V43" s="7">
        <f t="shared" si="36"/>
        <v>3.6658429684739133E-2</v>
      </c>
      <c r="W43" s="2"/>
      <c r="X43" s="6">
        <f t="shared" si="37"/>
        <v>-10541.38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588.16999999999996</v>
      </c>
      <c r="E44" s="1"/>
      <c r="F44" s="5">
        <f t="shared" si="31"/>
        <v>0</v>
      </c>
      <c r="G44" s="1"/>
      <c r="H44" s="1">
        <f>SUM(OSRRefH22_5x_0)</f>
        <v>315.43</v>
      </c>
      <c r="I44" s="1"/>
      <c r="J44" s="5">
        <f t="shared" si="32"/>
        <v>0</v>
      </c>
      <c r="K44" s="1"/>
      <c r="L44" s="1">
        <f t="shared" si="33"/>
        <v>272.73999999999995</v>
      </c>
      <c r="M44" s="1"/>
      <c r="N44" s="5">
        <f t="shared" si="34"/>
        <v>0.86466093903560204</v>
      </c>
      <c r="O44" s="12"/>
      <c r="P44" s="1">
        <f>SUM(OSRRefP22_5x_0)</f>
        <v>6205.65</v>
      </c>
      <c r="Q44" s="1"/>
      <c r="R44" s="5">
        <f t="shared" si="35"/>
        <v>0</v>
      </c>
      <c r="S44" s="1"/>
      <c r="T44" s="1">
        <f>SUM(OSRRefT22_5x_0)</f>
        <v>2191.65</v>
      </c>
      <c r="U44" s="1"/>
      <c r="V44" s="5">
        <f t="shared" si="36"/>
        <v>7.6216251969437139E-3</v>
      </c>
      <c r="W44" s="1"/>
      <c r="X44" s="1">
        <f t="shared" si="37"/>
        <v>4013.9999999999995</v>
      </c>
      <c r="Y44" s="1"/>
      <c r="Z44" s="5">
        <f t="shared" si="38"/>
        <v>1.8314968174662922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588.16999999999996</v>
      </c>
      <c r="E45" s="2"/>
      <c r="F45" s="7">
        <f t="shared" si="31"/>
        <v>0</v>
      </c>
      <c r="G45" s="2"/>
      <c r="H45" s="6">
        <v>315.43</v>
      </c>
      <c r="I45" s="2"/>
      <c r="J45" s="7">
        <f t="shared" si="32"/>
        <v>0</v>
      </c>
      <c r="K45" s="2"/>
      <c r="L45" s="6">
        <f t="shared" si="33"/>
        <v>272.73999999999995</v>
      </c>
      <c r="M45" s="2"/>
      <c r="N45" s="7">
        <f t="shared" si="34"/>
        <v>0.86466093903560204</v>
      </c>
      <c r="O45" s="10"/>
      <c r="P45" s="6">
        <v>6205.65</v>
      </c>
      <c r="Q45" s="2"/>
      <c r="R45" s="7">
        <f t="shared" si="35"/>
        <v>0</v>
      </c>
      <c r="S45" s="2"/>
      <c r="T45" s="6">
        <v>2191.65</v>
      </c>
      <c r="U45" s="2"/>
      <c r="V45" s="7">
        <f t="shared" si="36"/>
        <v>7.6216251969437139E-3</v>
      </c>
      <c r="W45" s="2"/>
      <c r="X45" s="6">
        <f t="shared" si="37"/>
        <v>4013.9999999999995</v>
      </c>
      <c r="Y45" s="2"/>
      <c r="Z45" s="7">
        <f t="shared" si="38"/>
        <v>1.8314968174662922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62.26</v>
      </c>
      <c r="U46" s="1"/>
      <c r="V46" s="5">
        <f t="shared" si="36"/>
        <v>2.1651376121265513E-4</v>
      </c>
      <c r="W46" s="1"/>
      <c r="X46" s="1">
        <f t="shared" si="37"/>
        <v>-62.26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62.26</v>
      </c>
      <c r="U47" s="2"/>
      <c r="V47" s="7">
        <f t="shared" si="36"/>
        <v>2.1651376121265513E-4</v>
      </c>
      <c r="W47" s="2"/>
      <c r="X47" s="6">
        <f t="shared" si="37"/>
        <v>-62.26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0</v>
      </c>
      <c r="I48" s="1"/>
      <c r="J48" s="5">
        <f t="shared" si="32"/>
        <v>0</v>
      </c>
      <c r="K48" s="1"/>
      <c r="L48" s="1">
        <f t="shared" si="33"/>
        <v>0</v>
      </c>
      <c r="M48" s="1"/>
      <c r="N48" s="5">
        <f t="shared" si="34"/>
        <v>0</v>
      </c>
      <c r="O48" s="12"/>
      <c r="P48" s="1">
        <f>SUM(OSRRefP22_7x_0)</f>
        <v>12</v>
      </c>
      <c r="Q48" s="1"/>
      <c r="R48" s="5">
        <f t="shared" si="35"/>
        <v>0</v>
      </c>
      <c r="S48" s="1"/>
      <c r="T48" s="1">
        <f>SUM(OSRRefT22_7x_0)</f>
        <v>12</v>
      </c>
      <c r="U48" s="1"/>
      <c r="V48" s="5">
        <f t="shared" si="36"/>
        <v>4.1730888765690033E-5</v>
      </c>
      <c r="W48" s="1"/>
      <c r="X48" s="1">
        <f t="shared" si="37"/>
        <v>0</v>
      </c>
      <c r="Y48" s="1"/>
      <c r="Z48" s="5">
        <f t="shared" si="38"/>
        <v>0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>
        <v>12</v>
      </c>
      <c r="Q49" s="2"/>
      <c r="R49" s="7">
        <f t="shared" si="35"/>
        <v>0</v>
      </c>
      <c r="S49" s="2"/>
      <c r="T49" s="6">
        <v>12</v>
      </c>
      <c r="U49" s="2"/>
      <c r="V49" s="7">
        <f t="shared" si="36"/>
        <v>4.1730888765690033E-5</v>
      </c>
      <c r="W49" s="2"/>
      <c r="X49" s="6">
        <f t="shared" si="37"/>
        <v>0</v>
      </c>
      <c r="Y49" s="2"/>
      <c r="Z49" s="7">
        <f t="shared" si="38"/>
        <v>0</v>
      </c>
    </row>
    <row r="50" spans="1:26" s="26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1"/>
        <v>0</v>
      </c>
      <c r="G50" s="1"/>
      <c r="H50" s="1">
        <f>SUM(OSRRefH22_8x_0)</f>
        <v>0</v>
      </c>
      <c r="I50" s="1"/>
      <c r="J50" s="5">
        <f t="shared" si="32"/>
        <v>0</v>
      </c>
      <c r="K50" s="1"/>
      <c r="L50" s="1">
        <f t="shared" si="33"/>
        <v>0</v>
      </c>
      <c r="M50" s="1"/>
      <c r="N50" s="5">
        <f t="shared" si="34"/>
        <v>0</v>
      </c>
      <c r="O50" s="12"/>
      <c r="P50" s="1">
        <f>SUM(OSRRefP22_8x_0)</f>
        <v>575</v>
      </c>
      <c r="Q50" s="1"/>
      <c r="R50" s="5">
        <f t="shared" si="35"/>
        <v>0</v>
      </c>
      <c r="S50" s="1"/>
      <c r="T50" s="1">
        <f>SUM(OSRRefT22_8x_0)</f>
        <v>5632.39</v>
      </c>
      <c r="U50" s="1"/>
      <c r="V50" s="5">
        <f t="shared" si="36"/>
        <v>1.9587053381248744E-2</v>
      </c>
      <c r="W50" s="1"/>
      <c r="X50" s="1">
        <f t="shared" si="37"/>
        <v>-5057.3900000000003</v>
      </c>
      <c r="Y50" s="1"/>
      <c r="Z50" s="5">
        <f t="shared" si="38"/>
        <v>-0.89791189885643574</v>
      </c>
    </row>
    <row r="51" spans="1:26" s="23" customFormat="1" hidden="1" outlineLevel="2" x14ac:dyDescent="0.25">
      <c r="A51" s="27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575</v>
      </c>
      <c r="Q51" s="2"/>
      <c r="R51" s="7">
        <f t="shared" si="35"/>
        <v>0</v>
      </c>
      <c r="S51" s="2"/>
      <c r="T51" s="6">
        <v>5632.39</v>
      </c>
      <c r="U51" s="2"/>
      <c r="V51" s="7">
        <f t="shared" si="36"/>
        <v>1.9587053381248744E-2</v>
      </c>
      <c r="W51" s="2"/>
      <c r="X51" s="6">
        <f t="shared" si="37"/>
        <v>-5057.3900000000003</v>
      </c>
      <c r="Y51" s="2"/>
      <c r="Z51" s="7">
        <f t="shared" si="38"/>
        <v>-0.89791189885643574</v>
      </c>
    </row>
    <row r="52" spans="1:26" s="26" customFormat="1" outlineLevel="1" collapsed="1" x14ac:dyDescent="0.25">
      <c r="A52" s="25"/>
      <c r="B52" s="12" t="str">
        <f>CONCATENATE("     ","Repair and Maintenance                            ")</f>
        <v xml:space="preserve">     Repair and Maintenance                            </v>
      </c>
      <c r="C52" s="12"/>
      <c r="D52" s="1">
        <f>SUM(OSRRefD22_9x_0)</f>
        <v>0</v>
      </c>
      <c r="E52" s="1"/>
      <c r="F52" s="5">
        <f t="shared" si="31"/>
        <v>0</v>
      </c>
      <c r="G52" s="1"/>
      <c r="H52" s="1">
        <f>SUM(OSRRefH22_9x_0)</f>
        <v>0</v>
      </c>
      <c r="I52" s="1"/>
      <c r="J52" s="5">
        <f t="shared" si="32"/>
        <v>0</v>
      </c>
      <c r="K52" s="1"/>
      <c r="L52" s="1">
        <f t="shared" si="33"/>
        <v>0</v>
      </c>
      <c r="M52" s="1"/>
      <c r="N52" s="5">
        <f t="shared" si="34"/>
        <v>0</v>
      </c>
      <c r="O52" s="12"/>
      <c r="P52" s="1">
        <f>SUM(OSRRefP22_9x_0)</f>
        <v>1280.28</v>
      </c>
      <c r="Q52" s="1"/>
      <c r="R52" s="5">
        <f t="shared" si="35"/>
        <v>0</v>
      </c>
      <c r="S52" s="1"/>
      <c r="T52" s="1">
        <f>SUM(OSRRefT22_9x_0)</f>
        <v>7318.94</v>
      </c>
      <c r="U52" s="1"/>
      <c r="V52" s="5">
        <f t="shared" si="36"/>
        <v>2.5452155918563285E-2</v>
      </c>
      <c r="W52" s="1"/>
      <c r="X52" s="1">
        <f t="shared" si="37"/>
        <v>-6038.66</v>
      </c>
      <c r="Y52" s="1"/>
      <c r="Z52" s="5">
        <f t="shared" si="38"/>
        <v>-0.82507302970102225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31"/>
        <v>0</v>
      </c>
      <c r="G53" s="2"/>
      <c r="H53" s="6"/>
      <c r="I53" s="2"/>
      <c r="J53" s="7">
        <f t="shared" si="32"/>
        <v>0</v>
      </c>
      <c r="K53" s="2"/>
      <c r="L53" s="6">
        <f t="shared" si="33"/>
        <v>0</v>
      </c>
      <c r="M53" s="2"/>
      <c r="N53" s="7">
        <f t="shared" si="34"/>
        <v>0</v>
      </c>
      <c r="O53" s="10"/>
      <c r="P53" s="6">
        <v>262.58999999999997</v>
      </c>
      <c r="Q53" s="2"/>
      <c r="R53" s="7">
        <f t="shared" si="35"/>
        <v>0</v>
      </c>
      <c r="S53" s="2"/>
      <c r="T53" s="6">
        <v>141.44999999999999</v>
      </c>
      <c r="U53" s="2"/>
      <c r="V53" s="7">
        <f t="shared" si="36"/>
        <v>4.9190285132557124E-4</v>
      </c>
      <c r="W53" s="2"/>
      <c r="X53" s="6">
        <f t="shared" si="37"/>
        <v>121.13999999999999</v>
      </c>
      <c r="Y53" s="2"/>
      <c r="Z53" s="7">
        <f t="shared" si="38"/>
        <v>0.8564156945917285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>
        <v>1017.69</v>
      </c>
      <c r="Q54" s="2"/>
      <c r="R54" s="7">
        <f t="shared" si="35"/>
        <v>0</v>
      </c>
      <c r="S54" s="2"/>
      <c r="T54" s="6">
        <v>7177.49</v>
      </c>
      <c r="U54" s="2"/>
      <c r="V54" s="7">
        <f t="shared" si="36"/>
        <v>2.4960253067237714E-2</v>
      </c>
      <c r="W54" s="2"/>
      <c r="X54" s="6">
        <f t="shared" si="37"/>
        <v>-6159.7999999999993</v>
      </c>
      <c r="Y54" s="2"/>
      <c r="Z54" s="7">
        <f t="shared" si="38"/>
        <v>-0.85821087873337332</v>
      </c>
    </row>
    <row r="55" spans="1:26" s="26" customFormat="1" outlineLevel="1" collapsed="1" x14ac:dyDescent="0.25">
      <c r="A55" s="25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SUM(OSRRefD22_10x_0)</f>
        <v>151.85</v>
      </c>
      <c r="E55" s="1"/>
      <c r="F55" s="5">
        <f t="shared" ref="F55:F58" si="39">IF(D$12=0,0,D55/D$12)</f>
        <v>0</v>
      </c>
      <c r="G55" s="1"/>
      <c r="H55" s="1">
        <f>SUM(OSRRefH22_10x_0)</f>
        <v>400.84</v>
      </c>
      <c r="I55" s="1"/>
      <c r="J55" s="5">
        <f t="shared" ref="J55:J58" si="40">IF(H$12=0,0,H55/H$12)</f>
        <v>0</v>
      </c>
      <c r="K55" s="1"/>
      <c r="L55" s="1">
        <f t="shared" ref="L55:L58" si="41">+D55-H55</f>
        <v>-248.98999999999998</v>
      </c>
      <c r="M55" s="1"/>
      <c r="N55" s="5">
        <f t="shared" ref="N55:N58" si="42">IF(H55=0,0,L55/H55)</f>
        <v>-0.62117054186208964</v>
      </c>
      <c r="O55" s="12"/>
      <c r="P55" s="1">
        <f>SUM(OSRRefP22_10x_0)</f>
        <v>1764.15</v>
      </c>
      <c r="Q55" s="1"/>
      <c r="R55" s="5">
        <f t="shared" ref="R55:R58" si="43">IF(P$12=0,0,P55/P$12)</f>
        <v>0</v>
      </c>
      <c r="S55" s="1"/>
      <c r="T55" s="1">
        <f>SUM(OSRRefT22_10x_0)</f>
        <v>3957.08</v>
      </c>
      <c r="U55" s="1"/>
      <c r="V55" s="5">
        <f t="shared" ref="V55:V58" si="44">IF(T$12=0,0,T55/T$12)</f>
        <v>1.3761038776411393E-2</v>
      </c>
      <c r="W55" s="1"/>
      <c r="X55" s="1">
        <f t="shared" ref="X55:X58" si="45">+P55-T55</f>
        <v>-2192.9299999999998</v>
      </c>
      <c r="Y55" s="1"/>
      <c r="Z55" s="5">
        <f t="shared" ref="Z55:Z58" si="46">IF(T55=0,0,X55/T55)</f>
        <v>-0.55417883894184594</v>
      </c>
    </row>
    <row r="56" spans="1:26" s="23" customFormat="1" hidden="1" outlineLevel="2" x14ac:dyDescent="0.25">
      <c r="A56" s="27"/>
      <c r="B56" s="10" t="str">
        <f>CONCATENATE("          ", "6282", " - ", "JANITORIAL/EXTERMINATOR EXPENS")</f>
        <v xml:space="preserve">          6282 - JANITORIAL/EXTERMINATOR EXPENS</v>
      </c>
      <c r="C56" s="10"/>
      <c r="D56" s="6">
        <v>151.85</v>
      </c>
      <c r="E56" s="2"/>
      <c r="F56" s="7">
        <f t="shared" si="39"/>
        <v>0</v>
      </c>
      <c r="G56" s="2"/>
      <c r="H56" s="6">
        <v>372</v>
      </c>
      <c r="I56" s="2"/>
      <c r="J56" s="7">
        <f t="shared" si="40"/>
        <v>0</v>
      </c>
      <c r="K56" s="2"/>
      <c r="L56" s="6">
        <f t="shared" si="41"/>
        <v>-220.15</v>
      </c>
      <c r="M56" s="2"/>
      <c r="N56" s="7">
        <f t="shared" si="42"/>
        <v>-0.5918010752688172</v>
      </c>
      <c r="O56" s="10"/>
      <c r="P56" s="6">
        <v>1937.19</v>
      </c>
      <c r="Q56" s="2"/>
      <c r="R56" s="7">
        <f t="shared" si="43"/>
        <v>0</v>
      </c>
      <c r="S56" s="2"/>
      <c r="T56" s="6">
        <v>3465.3</v>
      </c>
      <c r="U56" s="2"/>
      <c r="V56" s="7">
        <f t="shared" si="44"/>
        <v>1.2050837403312141E-2</v>
      </c>
      <c r="W56" s="2"/>
      <c r="X56" s="6">
        <f t="shared" si="45"/>
        <v>-1528.1100000000001</v>
      </c>
      <c r="Y56" s="2"/>
      <c r="Z56" s="7">
        <f t="shared" si="46"/>
        <v>-0.44097480737598477</v>
      </c>
    </row>
    <row r="57" spans="1:26" s="23" customFormat="1" hidden="1" outlineLevel="2" x14ac:dyDescent="0.25">
      <c r="A57" s="27"/>
      <c r="B57" s="10" t="str">
        <f>CONCATENATE("          ", "6285", " - ", "JANITORIAL SERVICES")</f>
        <v xml:space="preserve">          6285 - JANITORIAL SERVICES</v>
      </c>
      <c r="C57" s="10"/>
      <c r="D57" s="6"/>
      <c r="E57" s="2"/>
      <c r="F57" s="7">
        <f t="shared" si="39"/>
        <v>0</v>
      </c>
      <c r="G57" s="2"/>
      <c r="H57" s="6">
        <v>28.84</v>
      </c>
      <c r="I57" s="2"/>
      <c r="J57" s="7">
        <f t="shared" si="40"/>
        <v>0</v>
      </c>
      <c r="K57" s="2"/>
      <c r="L57" s="6">
        <f t="shared" si="41"/>
        <v>-28.84</v>
      </c>
      <c r="M57" s="2"/>
      <c r="N57" s="7">
        <f t="shared" si="42"/>
        <v>-1</v>
      </c>
      <c r="O57" s="10"/>
      <c r="P57" s="6">
        <v>-173.04</v>
      </c>
      <c r="Q57" s="2"/>
      <c r="R57" s="7">
        <f t="shared" si="43"/>
        <v>0</v>
      </c>
      <c r="S57" s="2"/>
      <c r="T57" s="6">
        <v>305.77999999999997</v>
      </c>
      <c r="U57" s="2"/>
      <c r="V57" s="7">
        <f t="shared" si="44"/>
        <v>1.0633725972310582E-3</v>
      </c>
      <c r="W57" s="2"/>
      <c r="X57" s="6">
        <f t="shared" si="45"/>
        <v>-478.81999999999994</v>
      </c>
      <c r="Y57" s="2"/>
      <c r="Z57" s="7">
        <f t="shared" si="46"/>
        <v>-1.5658970501667866</v>
      </c>
    </row>
    <row r="58" spans="1:26" s="23" customFormat="1" hidden="1" outlineLevel="2" x14ac:dyDescent="0.25">
      <c r="A58" s="27"/>
      <c r="B58" s="10" t="str">
        <f>CONCATENATE("          ", "6286", " - ", "LAUNDRY EXPENSE")</f>
        <v xml:space="preserve">          6286 - LAUNDRY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186</v>
      </c>
      <c r="U58" s="2"/>
      <c r="V58" s="7">
        <f t="shared" si="44"/>
        <v>6.4682877586819554E-4</v>
      </c>
      <c r="W58" s="2"/>
      <c r="X58" s="6">
        <f t="shared" si="45"/>
        <v>-186</v>
      </c>
      <c r="Y58" s="2"/>
      <c r="Z58" s="7">
        <f t="shared" si="46"/>
        <v>-1</v>
      </c>
    </row>
    <row r="59" spans="1:26" s="26" customFormat="1" outlineLevel="1" collapsed="1" x14ac:dyDescent="0.25">
      <c r="A59" s="25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SUM(OSRRefD22_11x_0)</f>
        <v>0</v>
      </c>
      <c r="E59" s="1"/>
      <c r="F59" s="5">
        <f t="shared" ref="F59:F62" si="47">IF(D$12=0,0,D59/D$12)</f>
        <v>0</v>
      </c>
      <c r="G59" s="1"/>
      <c r="H59" s="1">
        <f>SUM(OSRRefH22_11x_0)</f>
        <v>0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0</v>
      </c>
      <c r="M59" s="1"/>
      <c r="N59" s="5">
        <f t="shared" ref="N59:N62" si="50">IF(H59=0,0,L59/H59)</f>
        <v>0</v>
      </c>
      <c r="O59" s="12"/>
      <c r="P59" s="1">
        <f>SUM(OSRRefP22_11x_0)</f>
        <v>0</v>
      </c>
      <c r="Q59" s="1"/>
      <c r="R59" s="5">
        <f t="shared" ref="R59:R62" si="51">IF(P$12=0,0,P59/P$12)</f>
        <v>0</v>
      </c>
      <c r="S59" s="1"/>
      <c r="T59" s="1">
        <f>SUM(OSRRefT22_11x_0)</f>
        <v>10479.52</v>
      </c>
      <c r="U59" s="1"/>
      <c r="V59" s="5">
        <f t="shared" ref="V59:V62" si="52">IF(T$12=0,0,T59/T$12)</f>
        <v>3.6443306953152003E-2</v>
      </c>
      <c r="W59" s="1"/>
      <c r="X59" s="1">
        <f t="shared" ref="X59:X62" si="53">+P59-T59</f>
        <v>-10479.52</v>
      </c>
      <c r="Y59" s="1"/>
      <c r="Z59" s="5">
        <f t="shared" ref="Z59:Z62" si="54">IF(T59=0,0,X59/T59)</f>
        <v>-1</v>
      </c>
    </row>
    <row r="60" spans="1:26" s="23" customFormat="1" hidden="1" outlineLevel="2" x14ac:dyDescent="0.25">
      <c r="A60" s="27"/>
      <c r="B60" s="10" t="str">
        <f>CONCATENATE("          ", "6237", " - ", "JANITORIAL SUPPLIES")</f>
        <v xml:space="preserve">          6237 - JANITORIAL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1096.97</v>
      </c>
      <c r="U60" s="2"/>
      <c r="V60" s="7">
        <f t="shared" si="52"/>
        <v>3.8147944207749165E-3</v>
      </c>
      <c r="W60" s="2"/>
      <c r="X60" s="6">
        <f t="shared" si="53"/>
        <v>-1096.97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"6243", " - ", "PAPER SUPPLIES")</f>
        <v xml:space="preserve">          6243 - PAPER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741.91</v>
      </c>
      <c r="U61" s="2"/>
      <c r="V61" s="7">
        <f t="shared" si="52"/>
        <v>2.5800469736794243E-3</v>
      </c>
      <c r="W61" s="2"/>
      <c r="X61" s="6">
        <f t="shared" si="53"/>
        <v>-741.91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8640.64</v>
      </c>
      <c r="U62" s="2"/>
      <c r="V62" s="7">
        <f t="shared" si="52"/>
        <v>3.0048465558697661E-2</v>
      </c>
      <c r="W62" s="2"/>
      <c r="X62" s="6">
        <f t="shared" si="53"/>
        <v>-8640.64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SUM(OSRRefD22_12x_0)</f>
        <v>30</v>
      </c>
      <c r="E63" s="1"/>
      <c r="F63" s="5">
        <f t="shared" ref="F63:F64" si="55">IF(D$12=0,0,D63/D$12)</f>
        <v>0</v>
      </c>
      <c r="G63" s="1"/>
      <c r="H63" s="1">
        <f>SUM(OSRRefH22_12x_0)</f>
        <v>53</v>
      </c>
      <c r="I63" s="1"/>
      <c r="J63" s="5">
        <f t="shared" ref="J63:J64" si="56">IF(H$12=0,0,H63/H$12)</f>
        <v>0</v>
      </c>
      <c r="K63" s="1"/>
      <c r="L63" s="1">
        <f t="shared" ref="L63:L64" si="57">+D63-H63</f>
        <v>-23</v>
      </c>
      <c r="M63" s="1"/>
      <c r="N63" s="5">
        <f t="shared" ref="N63:N64" si="58">IF(H63=0,0,L63/H63)</f>
        <v>-0.43396226415094341</v>
      </c>
      <c r="O63" s="12"/>
      <c r="P63" s="1">
        <f>SUM(OSRRefP22_12x_0)</f>
        <v>424.32</v>
      </c>
      <c r="Q63" s="1"/>
      <c r="R63" s="5">
        <f t="shared" ref="R63:R64" si="59">IF(P$12=0,0,P63/P$12)</f>
        <v>0</v>
      </c>
      <c r="S63" s="1"/>
      <c r="T63" s="1">
        <f>SUM(OSRRefT22_12x_0)</f>
        <v>963.1</v>
      </c>
      <c r="U63" s="1"/>
      <c r="V63" s="5">
        <f t="shared" ref="V63:V64" si="60">IF(T$12=0,0,T63/T$12)</f>
        <v>3.349251580853006E-3</v>
      </c>
      <c r="W63" s="1"/>
      <c r="X63" s="1">
        <f t="shared" ref="X63:X64" si="61">+P63-T63</f>
        <v>-538.78</v>
      </c>
      <c r="Y63" s="1"/>
      <c r="Z63" s="5">
        <f t="shared" ref="Z63:Z64" si="62">IF(T63=0,0,X63/T63)</f>
        <v>-0.55942269753919627</v>
      </c>
    </row>
    <row r="64" spans="1:26" s="23" customFormat="1" hidden="1" outlineLevel="2" x14ac:dyDescent="0.25">
      <c r="A64" s="27"/>
      <c r="B64" s="10" t="str">
        <f>CONCATENATE("          ", "6309", " - ", "TELEPHONE")</f>
        <v xml:space="preserve">          6309 - TELEPHONE</v>
      </c>
      <c r="C64" s="10"/>
      <c r="D64" s="6">
        <v>30</v>
      </c>
      <c r="E64" s="2"/>
      <c r="F64" s="7">
        <f t="shared" si="55"/>
        <v>0</v>
      </c>
      <c r="G64" s="2"/>
      <c r="H64" s="6">
        <v>53</v>
      </c>
      <c r="I64" s="2"/>
      <c r="J64" s="7">
        <f t="shared" si="56"/>
        <v>0</v>
      </c>
      <c r="K64" s="2"/>
      <c r="L64" s="6">
        <f t="shared" si="57"/>
        <v>-23</v>
      </c>
      <c r="M64" s="2"/>
      <c r="N64" s="7">
        <f t="shared" si="58"/>
        <v>-0.43396226415094341</v>
      </c>
      <c r="O64" s="10"/>
      <c r="P64" s="6">
        <v>424.32</v>
      </c>
      <c r="Q64" s="2"/>
      <c r="R64" s="7">
        <f t="shared" si="59"/>
        <v>0</v>
      </c>
      <c r="S64" s="2"/>
      <c r="T64" s="6">
        <v>963.1</v>
      </c>
      <c r="U64" s="2"/>
      <c r="V64" s="7">
        <f t="shared" si="60"/>
        <v>3.349251580853006E-3</v>
      </c>
      <c r="W64" s="2"/>
      <c r="X64" s="6">
        <f t="shared" si="61"/>
        <v>-538.78</v>
      </c>
      <c r="Y64" s="2"/>
      <c r="Z64" s="7">
        <f t="shared" si="62"/>
        <v>-0.55942269753919627</v>
      </c>
    </row>
    <row r="65" spans="1:26" s="57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9" t="s">
        <v>292</v>
      </c>
      <c r="C66" s="11"/>
      <c r="D66" s="4">
        <f>SUM(0)</f>
        <v>0</v>
      </c>
      <c r="E66" s="4"/>
      <c r="F66" s="13">
        <f>IF(D$12=0,0,D66/D$12)</f>
        <v>0</v>
      </c>
      <c r="G66" s="4"/>
      <c r="H66" s="4">
        <f>SUM(0)</f>
        <v>0</v>
      </c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1"/>
      <c r="P66" s="4">
        <f>SUM(0)</f>
        <v>0</v>
      </c>
      <c r="Q66" s="4"/>
      <c r="R66" s="13">
        <f>IF(P$12=0,0,P66/P$12)</f>
        <v>0</v>
      </c>
      <c r="S66" s="4"/>
      <c r="T66" s="4">
        <f>SUM(0)</f>
        <v>0</v>
      </c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1"/>
      <c r="C67" s="11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1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11"/>
      <c r="B68" s="28" t="s">
        <v>276</v>
      </c>
      <c r="C68" s="28"/>
      <c r="D68" s="20">
        <f>+D20-D22+D66</f>
        <v>-770.02</v>
      </c>
      <c r="E68" s="14"/>
      <c r="F68" s="21">
        <f>IF(D$12=0,0,D68/D$12)</f>
        <v>0</v>
      </c>
      <c r="G68" s="14"/>
      <c r="H68" s="20">
        <f>+H20-H22+H66</f>
        <v>-769.2700000000001</v>
      </c>
      <c r="I68" s="14"/>
      <c r="J68" s="21">
        <f>IF(H$12=0,0,H68/H$12)</f>
        <v>0</v>
      </c>
      <c r="K68" s="15"/>
      <c r="L68" s="20">
        <f>+D68-H68</f>
        <v>-0.74999999999988631</v>
      </c>
      <c r="M68" s="15"/>
      <c r="N68" s="21">
        <f>IF(H68=0,0,L68/H68)</f>
        <v>9.749502775356978E-4</v>
      </c>
      <c r="O68" s="29"/>
      <c r="P68" s="20">
        <f>+P20-P22+P66</f>
        <v>-10261.4</v>
      </c>
      <c r="Q68" s="14"/>
      <c r="R68" s="21">
        <f>IF(P$12=0,0,P68/P$12)</f>
        <v>0</v>
      </c>
      <c r="S68" s="14"/>
      <c r="T68" s="20">
        <f>+T20-T22+T66</f>
        <v>2626.5599999999977</v>
      </c>
      <c r="U68" s="14"/>
      <c r="V68" s="21">
        <f>IF(T$12=0,0,T68/T$12)</f>
        <v>9.1340569330342278E-3</v>
      </c>
      <c r="W68" s="15"/>
      <c r="X68" s="20">
        <f>+P68-T68</f>
        <v>-12887.959999999997</v>
      </c>
      <c r="Y68" s="15"/>
      <c r="Z68" s="21">
        <f>IF(T68=0,0,X68/T68)</f>
        <v>-4.9067830165692037</v>
      </c>
    </row>
    <row r="69" spans="1:26" x14ac:dyDescent="0.25">
      <c r="A69" s="9"/>
      <c r="B69" s="11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51"/>
      <c r="B70" s="11" t="s">
        <v>127</v>
      </c>
      <c r="C70" s="11"/>
      <c r="D70" s="4"/>
      <c r="E70" s="4"/>
      <c r="F70" s="13">
        <f>IF(D$12=0,0,D70/D$12)</f>
        <v>0</v>
      </c>
      <c r="G70" s="4"/>
      <c r="H70" s="4">
        <v>1402.63</v>
      </c>
      <c r="I70" s="4"/>
      <c r="J70" s="13">
        <f>IF(H$12=0,0,H70/H$12)</f>
        <v>0</v>
      </c>
      <c r="K70" s="4"/>
      <c r="L70" s="4">
        <f>+D70-H70</f>
        <v>-1402.63</v>
      </c>
      <c r="M70" s="4"/>
      <c r="N70" s="13">
        <f>IF(H70=0,0,L70/H70)</f>
        <v>-1</v>
      </c>
      <c r="O70" s="11"/>
      <c r="P70" s="4"/>
      <c r="Q70" s="4"/>
      <c r="R70" s="13">
        <f>IF(P$12=0,0,P70/P$12)</f>
        <v>0</v>
      </c>
      <c r="S70" s="4"/>
      <c r="T70" s="4">
        <v>34052.639999999999</v>
      </c>
      <c r="U70" s="4"/>
      <c r="V70" s="13">
        <f>IF(T$12=0,0,T70/T$12)</f>
        <v>0.11842057766817393</v>
      </c>
      <c r="W70" s="4"/>
      <c r="X70" s="4">
        <f>+P70-T70</f>
        <v>-34052.639999999999</v>
      </c>
      <c r="Y70" s="4"/>
      <c r="Z70" s="13">
        <f>IF(T70=0,0,X70/T70)</f>
        <v>-1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8" t="s">
        <v>125</v>
      </c>
      <c r="C72" s="28"/>
      <c r="D72" s="35">
        <f>+D68-D70</f>
        <v>-770.02</v>
      </c>
      <c r="E72" s="14"/>
      <c r="F72" s="36">
        <f>IF(D$12=0,0,D72/D$12)</f>
        <v>0</v>
      </c>
      <c r="G72" s="14"/>
      <c r="H72" s="35">
        <f>+H68-H70</f>
        <v>-2171.9</v>
      </c>
      <c r="I72" s="14"/>
      <c r="J72" s="36">
        <f>IF(H$12=0,0,H72/H$12)</f>
        <v>0</v>
      </c>
      <c r="K72" s="15"/>
      <c r="L72" s="35">
        <f>D72-H72</f>
        <v>1401.88</v>
      </c>
      <c r="M72" s="15"/>
      <c r="N72" s="36">
        <f>IF(H72=0,0,L72/H72)</f>
        <v>-0.64546249827340119</v>
      </c>
      <c r="O72" s="29"/>
      <c r="P72" s="35">
        <f>+P68-P70</f>
        <v>-10261.4</v>
      </c>
      <c r="Q72" s="14"/>
      <c r="R72" s="36">
        <f>IF(P$12=0,0,P72/P$12)</f>
        <v>0</v>
      </c>
      <c r="S72" s="14"/>
      <c r="T72" s="35">
        <f>+T68-T70</f>
        <v>-31426.080000000002</v>
      </c>
      <c r="U72" s="14"/>
      <c r="V72" s="36">
        <f>IF(T$12=0,0,T72/T$12)</f>
        <v>-0.1092865207351397</v>
      </c>
      <c r="W72" s="15"/>
      <c r="X72" s="35">
        <f>P72-T72</f>
        <v>21164.68</v>
      </c>
      <c r="Y72" s="15"/>
      <c r="Z72" s="36">
        <f>IF(T72=0,0,X72/T72)</f>
        <v>-0.67347502456558372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293</v>
      </c>
      <c r="C75" s="28"/>
      <c r="D75" s="30">
        <f>SUM(D72:D74)</f>
        <v>-770.02</v>
      </c>
      <c r="E75" s="14"/>
      <c r="F75" s="31">
        <f>IF(D$12=0,0,D75/D$12)</f>
        <v>0</v>
      </c>
      <c r="G75" s="14"/>
      <c r="H75" s="30">
        <f>SUM(H72:H74)</f>
        <v>-2171.9</v>
      </c>
      <c r="I75" s="14"/>
      <c r="J75" s="31">
        <f>IF(H$12=0,0,H75/H$12)</f>
        <v>0</v>
      </c>
      <c r="K75" s="15"/>
      <c r="L75" s="30">
        <f>+D75-H75</f>
        <v>1401.88</v>
      </c>
      <c r="M75" s="15"/>
      <c r="N75" s="31">
        <f>IF(H75=0,0,L75/H75)</f>
        <v>-0.64546249827340119</v>
      </c>
      <c r="O75" s="29"/>
      <c r="P75" s="30">
        <f>SUM(P72:P74)</f>
        <v>-10261.4</v>
      </c>
      <c r="Q75" s="14"/>
      <c r="R75" s="31">
        <f>IF(P$12=0,0,P75/P$12)</f>
        <v>0</v>
      </c>
      <c r="S75" s="14"/>
      <c r="T75" s="30">
        <f>SUM(T72:T74)</f>
        <v>-31426.080000000002</v>
      </c>
      <c r="U75" s="14"/>
      <c r="V75" s="31">
        <f>IF(T$12=0,0,T75/T$12)</f>
        <v>-0.1092865207351397</v>
      </c>
      <c r="W75" s="15"/>
      <c r="X75" s="30">
        <f>+P75-T75</f>
        <v>21164.68</v>
      </c>
      <c r="Y75" s="15"/>
      <c r="Z75" s="31">
        <f>IF(T75=0,0,X75/T75)</f>
        <v>-0.67347502456558372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9">
        <v>44356.893348032405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2" t="s">
        <v>56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4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28.36</v>
      </c>
      <c r="I12" s="4"/>
      <c r="J12" s="13"/>
      <c r="K12" s="4"/>
      <c r="L12" s="4">
        <f t="shared" ref="L12:L19" si="0">+D12-H12</f>
        <v>-28.36</v>
      </c>
      <c r="M12" s="4"/>
      <c r="N12" s="13">
        <f t="shared" ref="N12:N19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495882.73000000004</v>
      </c>
      <c r="U12" s="4"/>
      <c r="V12" s="13"/>
      <c r="W12" s="4"/>
      <c r="X12" s="4">
        <f t="shared" ref="X12:X19" si="2">+P12-T12</f>
        <v>-495882.73000000004</v>
      </c>
      <c r="Y12" s="4"/>
      <c r="Z12" s="13">
        <f t="shared" ref="Z12:Z19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9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9" si="6">0</f>
        <v>0</v>
      </c>
      <c r="Q13" s="2"/>
      <c r="R13" s="19"/>
      <c r="S13" s="2"/>
      <c r="T13" s="2">
        <f>--104992.39</f>
        <v>104992.39</v>
      </c>
      <c r="U13" s="2"/>
      <c r="V13" s="19"/>
      <c r="W13" s="2"/>
      <c r="X13" s="2">
        <f t="shared" si="2"/>
        <v>-104992.39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"4131", " - ", "NON-TAXABLE SALES-FOOD")</f>
        <v xml:space="preserve">          4131 - NON-TAXABLE SALES-FOOD</v>
      </c>
      <c r="C15" s="10"/>
      <c r="D15" s="2">
        <f t="shared" si="4"/>
        <v>0</v>
      </c>
      <c r="E15" s="2"/>
      <c r="F15" s="19"/>
      <c r="G15" s="2"/>
      <c r="H15" s="2">
        <f>--2.48</f>
        <v>2.48</v>
      </c>
      <c r="I15" s="2"/>
      <c r="J15" s="19"/>
      <c r="K15" s="2"/>
      <c r="L15" s="2">
        <f t="shared" si="0"/>
        <v>-2.48</v>
      </c>
      <c r="M15" s="2"/>
      <c r="N15" s="19">
        <f t="shared" si="1"/>
        <v>-1</v>
      </c>
      <c r="O15" s="10"/>
      <c r="P15" s="2">
        <f t="shared" si="6"/>
        <v>0</v>
      </c>
      <c r="Q15" s="2"/>
      <c r="R15" s="19"/>
      <c r="S15" s="2"/>
      <c r="T15" s="2">
        <f>--2.48</f>
        <v>2.48</v>
      </c>
      <c r="U15" s="2"/>
      <c r="V15" s="19"/>
      <c r="W15" s="2"/>
      <c r="X15" s="2">
        <f t="shared" si="2"/>
        <v>-2.48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"4132", " - ", "NON-TAXABLE SALES-JUICE")</f>
        <v xml:space="preserve">          4132 - NON-TAXABLE SALES-JUICE</v>
      </c>
      <c r="C16" s="10"/>
      <c r="D16" s="2">
        <f t="shared" si="4"/>
        <v>0</v>
      </c>
      <c r="E16" s="2"/>
      <c r="F16" s="19"/>
      <c r="G16" s="2"/>
      <c r="H16" s="2">
        <f t="shared" ref="H16:H17" si="7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--386093.8</f>
        <v>386093.8</v>
      </c>
      <c r="U16" s="2"/>
      <c r="V16" s="19"/>
      <c r="W16" s="2"/>
      <c r="X16" s="2">
        <f t="shared" si="2"/>
        <v>-386093.8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"4133", " - ", "NON-TAXABLE SALES-CANDY")</f>
        <v xml:space="preserve">          4133 - NON-TAXABLE SALES-CANDY</v>
      </c>
      <c r="C17" s="10"/>
      <c r="D17" s="2">
        <f t="shared" si="4"/>
        <v>0</v>
      </c>
      <c r="E17" s="2"/>
      <c r="F17" s="19"/>
      <c r="G17" s="2"/>
      <c r="H17" s="2">
        <f t="shared" si="7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6"/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"4134", " - ", "NON-TAXABLE SALES-SODA")</f>
        <v xml:space="preserve">          4134 - NON-TAXABLE SALES-SODA</v>
      </c>
      <c r="C18" s="10"/>
      <c r="D18" s="2">
        <f t="shared" si="4"/>
        <v>0</v>
      </c>
      <c r="E18" s="2"/>
      <c r="F18" s="19"/>
      <c r="G18" s="2"/>
      <c r="H18" s="2">
        <f>--23.64</f>
        <v>23.64</v>
      </c>
      <c r="I18" s="2"/>
      <c r="J18" s="19"/>
      <c r="K18" s="2"/>
      <c r="L18" s="2">
        <f t="shared" si="0"/>
        <v>-23.64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--94.84</f>
        <v>94.84</v>
      </c>
      <c r="U18" s="2"/>
      <c r="V18" s="19"/>
      <c r="W18" s="2"/>
      <c r="X18" s="2">
        <f t="shared" si="2"/>
        <v>-94.84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"4137", " - ", "NON-TAXABLE SALES-WATER")</f>
        <v xml:space="preserve">          4137 - NON-TAXABLE SALES-WATER</v>
      </c>
      <c r="C19" s="10"/>
      <c r="D19" s="2">
        <f t="shared" si="4"/>
        <v>0</v>
      </c>
      <c r="E19" s="2"/>
      <c r="F19" s="19"/>
      <c r="G19" s="2"/>
      <c r="H19" s="2">
        <f>--2.24</f>
        <v>2.2400000000000002</v>
      </c>
      <c r="I19" s="2"/>
      <c r="J19" s="19"/>
      <c r="K19" s="2"/>
      <c r="L19" s="2">
        <f t="shared" si="0"/>
        <v>-2.2400000000000002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--1575.68</f>
        <v>1575.68</v>
      </c>
      <c r="U19" s="2"/>
      <c r="V19" s="19"/>
      <c r="W19" s="2"/>
      <c r="X19" s="2">
        <f t="shared" si="2"/>
        <v>-1575.68</v>
      </c>
      <c r="Y19" s="2"/>
      <c r="Z19" s="19">
        <f t="shared" si="3"/>
        <v>-1</v>
      </c>
    </row>
    <row r="20" spans="1:26" x14ac:dyDescent="0.25">
      <c r="A20" s="9"/>
      <c r="B20" s="11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collapsed="1" x14ac:dyDescent="0.25">
      <c r="A21" s="11"/>
      <c r="B21" s="29" t="s">
        <v>256</v>
      </c>
      <c r="C21" s="11"/>
      <c r="D21" s="4">
        <f>SUM(OSRRefD16x_0)</f>
        <v>0</v>
      </c>
      <c r="E21" s="4"/>
      <c r="F21" s="13">
        <f t="shared" ref="F21:F23" si="8">IF(D$12=0,0,D21/D$12)</f>
        <v>0</v>
      </c>
      <c r="G21" s="4"/>
      <c r="H21" s="4">
        <f>SUM(OSRRefH16x_0)</f>
        <v>-978.49</v>
      </c>
      <c r="I21" s="4"/>
      <c r="J21" s="13">
        <f t="shared" ref="J21:J23" si="9">IF(H$12=0,0,H21/H$12)</f>
        <v>-34.5024682651622</v>
      </c>
      <c r="K21" s="4"/>
      <c r="L21" s="4">
        <f t="shared" ref="L21:L23" si="10">+D21-H21</f>
        <v>978.49</v>
      </c>
      <c r="M21" s="4"/>
      <c r="N21" s="13">
        <f t="shared" ref="N21:N23" si="11">IF(H21=0,0,L21/H21)</f>
        <v>-1</v>
      </c>
      <c r="O21" s="11"/>
      <c r="P21" s="4">
        <f>SUM(OSRRefP16x_0)</f>
        <v>-613.59</v>
      </c>
      <c r="Q21" s="4"/>
      <c r="R21" s="13">
        <f t="shared" ref="R21:R23" si="12">IF(P$12=0,0,P21/P$12)</f>
        <v>0</v>
      </c>
      <c r="S21" s="4"/>
      <c r="T21" s="4">
        <f>SUM(OSRRefT16x_0)</f>
        <v>241158.99</v>
      </c>
      <c r="U21" s="4"/>
      <c r="V21" s="13">
        <f t="shared" ref="V21:V23" si="13">IF(T$12=0,0,T21/T$12)</f>
        <v>0.4863226230927622</v>
      </c>
      <c r="W21" s="4"/>
      <c r="X21" s="4">
        <f t="shared" ref="X21:X23" si="14">+P21-T21</f>
        <v>-241772.58</v>
      </c>
      <c r="Y21" s="4"/>
      <c r="Z21" s="13">
        <f t="shared" ref="Z21:Z23" si="15">IF(T21=0,0,X21/T21)</f>
        <v>-1.0025443380734014</v>
      </c>
    </row>
    <row r="22" spans="1:26" s="23" customFormat="1" hidden="1" outlineLevel="1" x14ac:dyDescent="0.25">
      <c r="A22" s="44"/>
      <c r="B22" s="10" t="str">
        <f>CONCATENATE("          ", "5053", " - ", "PURCHASES @ COST-FOOD")</f>
        <v xml:space="preserve">          5053 - PURCHASES @ COST-FOOD</v>
      </c>
      <c r="C22" s="10"/>
      <c r="D22" s="2"/>
      <c r="E22" s="2"/>
      <c r="F22" s="19">
        <f t="shared" si="8"/>
        <v>0</v>
      </c>
      <c r="G22" s="2"/>
      <c r="H22" s="2">
        <v>-978.49</v>
      </c>
      <c r="I22" s="2"/>
      <c r="J22" s="19">
        <f t="shared" si="9"/>
        <v>-34.5024682651622</v>
      </c>
      <c r="K22" s="2"/>
      <c r="L22" s="2">
        <f t="shared" si="10"/>
        <v>978.49</v>
      </c>
      <c r="M22" s="2"/>
      <c r="N22" s="19">
        <f t="shared" si="11"/>
        <v>-1</v>
      </c>
      <c r="O22" s="10"/>
      <c r="P22" s="2">
        <v>-613.59</v>
      </c>
      <c r="Q22" s="2"/>
      <c r="R22" s="19">
        <f t="shared" si="12"/>
        <v>0</v>
      </c>
      <c r="S22" s="2"/>
      <c r="T22" s="2">
        <v>236747</v>
      </c>
      <c r="U22" s="2"/>
      <c r="V22" s="19">
        <f t="shared" si="13"/>
        <v>0.47742537837524607</v>
      </c>
      <c r="W22" s="2"/>
      <c r="X22" s="2">
        <f t="shared" si="14"/>
        <v>-237360.59</v>
      </c>
      <c r="Y22" s="2"/>
      <c r="Z22" s="19">
        <f t="shared" si="15"/>
        <v>-1.0025917540665774</v>
      </c>
    </row>
    <row r="23" spans="1:26" s="23" customFormat="1" hidden="1" outlineLevel="1" x14ac:dyDescent="0.25">
      <c r="A23" s="44"/>
      <c r="B23" s="10" t="str">
        <f>CONCATENATE("          ", "5059", " - ", "PURCHASES @ COST-FOOD")</f>
        <v xml:space="preserve">          5059 - PURCHASES @ COST-FOOD</v>
      </c>
      <c r="C23" s="10"/>
      <c r="D23" s="2"/>
      <c r="E23" s="2"/>
      <c r="F23" s="19">
        <f t="shared" si="8"/>
        <v>0</v>
      </c>
      <c r="G23" s="2"/>
      <c r="H23" s="2"/>
      <c r="I23" s="2"/>
      <c r="J23" s="19">
        <f t="shared" si="9"/>
        <v>0</v>
      </c>
      <c r="K23" s="2"/>
      <c r="L23" s="2">
        <f t="shared" si="10"/>
        <v>0</v>
      </c>
      <c r="M23" s="2"/>
      <c r="N23" s="19">
        <f t="shared" si="11"/>
        <v>0</v>
      </c>
      <c r="O23" s="10"/>
      <c r="P23" s="2"/>
      <c r="Q23" s="2"/>
      <c r="R23" s="19">
        <f t="shared" si="12"/>
        <v>0</v>
      </c>
      <c r="S23" s="2"/>
      <c r="T23" s="2">
        <v>4411.99</v>
      </c>
      <c r="U23" s="2"/>
      <c r="V23" s="19">
        <f t="shared" si="13"/>
        <v>8.8972447175161753E-3</v>
      </c>
      <c r="W23" s="2"/>
      <c r="X23" s="2">
        <f t="shared" si="14"/>
        <v>-4411.99</v>
      </c>
      <c r="Y23" s="2"/>
      <c r="Z23" s="19">
        <f t="shared" si="15"/>
        <v>-1</v>
      </c>
    </row>
    <row r="24" spans="1:26" x14ac:dyDescent="0.25">
      <c r="A24" s="9"/>
      <c r="B24" s="11"/>
      <c r="C24" s="11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1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x14ac:dyDescent="0.25">
      <c r="A25" s="11"/>
      <c r="B25" s="28" t="s">
        <v>107</v>
      </c>
      <c r="C25" s="28"/>
      <c r="D25" s="20">
        <f>D12-D21</f>
        <v>0</v>
      </c>
      <c r="E25" s="14"/>
      <c r="F25" s="21">
        <f>IF(D$12=0,0,D25/D$12)</f>
        <v>0</v>
      </c>
      <c r="G25" s="14"/>
      <c r="H25" s="20">
        <f>H12-H21</f>
        <v>1006.85</v>
      </c>
      <c r="I25" s="14"/>
      <c r="J25" s="21">
        <f>IF(H$12=0,0,H25/H$12)</f>
        <v>35.5024682651622</v>
      </c>
      <c r="K25" s="15"/>
      <c r="L25" s="20">
        <f>+D25-H25</f>
        <v>-1006.85</v>
      </c>
      <c r="M25" s="15"/>
      <c r="N25" s="21">
        <f>IF(H25=0,0,L25/H25)</f>
        <v>-1</v>
      </c>
      <c r="O25" s="29"/>
      <c r="P25" s="20">
        <f>P12-P21</f>
        <v>613.59</v>
      </c>
      <c r="Q25" s="14"/>
      <c r="R25" s="21">
        <f>IF(P$12=0,0,P25/P$12)</f>
        <v>0</v>
      </c>
      <c r="S25" s="14"/>
      <c r="T25" s="20">
        <f>T12-T21</f>
        <v>254723.74000000005</v>
      </c>
      <c r="U25" s="14"/>
      <c r="V25" s="21">
        <f>IF(T$12=0,0,T25/T$12)</f>
        <v>0.5136773769072378</v>
      </c>
      <c r="W25" s="15"/>
      <c r="X25" s="20">
        <f>+P25-T25</f>
        <v>-254110.15000000005</v>
      </c>
      <c r="Y25" s="15"/>
      <c r="Z25" s="21">
        <f>IF(T25=0,0,X25/T25)</f>
        <v>-0.99759115502936635</v>
      </c>
    </row>
    <row r="26" spans="1:26" x14ac:dyDescent="0.25">
      <c r="A26" s="9"/>
      <c r="B26" s="11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4" customFormat="1" x14ac:dyDescent="0.25">
      <c r="A27" s="11"/>
      <c r="B27" s="29" t="s">
        <v>294</v>
      </c>
      <c r="C27" s="11"/>
      <c r="D27" s="22">
        <f>SUM(OSRRefD22x_0)</f>
        <v>83.2</v>
      </c>
      <c r="E27" s="22"/>
      <c r="F27" s="32">
        <f t="shared" ref="F27:F36" si="16">IF(D$12=0,0,D27/D$12)</f>
        <v>0</v>
      </c>
      <c r="G27" s="22"/>
      <c r="H27" s="22">
        <f>SUM(OSRRefH22x_0)</f>
        <v>8069.25</v>
      </c>
      <c r="I27" s="22"/>
      <c r="J27" s="32">
        <f t="shared" ref="J27:J36" si="17">IF(H$12=0,0,H27/H$12)</f>
        <v>284.52926657263754</v>
      </c>
      <c r="K27" s="4"/>
      <c r="L27" s="22">
        <f t="shared" ref="L27:L36" si="18">+D27-H27</f>
        <v>-7986.05</v>
      </c>
      <c r="M27" s="4"/>
      <c r="N27" s="32">
        <f t="shared" ref="N27:N36" si="19">IF(H27=0,0,L27/H27)</f>
        <v>-0.98968925240883598</v>
      </c>
      <c r="O27" s="11"/>
      <c r="P27" s="22">
        <f>SUM(OSRRefP22x_0)</f>
        <v>46834.159999999996</v>
      </c>
      <c r="Q27" s="22"/>
      <c r="R27" s="32">
        <f t="shared" ref="R27:R36" si="20">IF(P$12=0,0,P27/P$12)</f>
        <v>0</v>
      </c>
      <c r="S27" s="22"/>
      <c r="T27" s="22">
        <f>SUM(OSRRefT22x_0)</f>
        <v>190070.31999999998</v>
      </c>
      <c r="U27" s="22"/>
      <c r="V27" s="32">
        <f t="shared" ref="V27:V36" si="21">IF(T$12=0,0,T27/T$12)</f>
        <v>0.38329691376830155</v>
      </c>
      <c r="W27" s="4"/>
      <c r="X27" s="22">
        <f t="shared" ref="X27:X36" si="22">+P27-T27</f>
        <v>-143236.15999999997</v>
      </c>
      <c r="Y27" s="4"/>
      <c r="Z27" s="32">
        <f t="shared" ref="Z27:Z36" si="23">IF(T27=0,0,X27/T27)</f>
        <v>-0.75359561661178864</v>
      </c>
    </row>
    <row r="28" spans="1:26" s="26" customFormat="1" outlineLevel="1" collapsed="1" x14ac:dyDescent="0.25">
      <c r="A28" s="25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0</v>
      </c>
      <c r="E28" s="1"/>
      <c r="F28" s="5">
        <f t="shared" si="16"/>
        <v>0</v>
      </c>
      <c r="G28" s="1"/>
      <c r="H28" s="1">
        <f>SUM(OSRRefH22_0x_0)</f>
        <v>3775.33</v>
      </c>
      <c r="I28" s="1"/>
      <c r="J28" s="5">
        <f t="shared" si="17"/>
        <v>133.12165021156559</v>
      </c>
      <c r="K28" s="1"/>
      <c r="L28" s="1">
        <f t="shared" si="18"/>
        <v>-3775.33</v>
      </c>
      <c r="M28" s="1"/>
      <c r="N28" s="5">
        <f t="shared" si="19"/>
        <v>-1</v>
      </c>
      <c r="O28" s="12"/>
      <c r="P28" s="1">
        <f>SUM(OSRRefP22_0x_0)</f>
        <v>21787.579999999998</v>
      </c>
      <c r="Q28" s="1"/>
      <c r="R28" s="5">
        <f t="shared" si="20"/>
        <v>0</v>
      </c>
      <c r="S28" s="1"/>
      <c r="T28" s="1">
        <f>SUM(OSRRefT22_0x_0)</f>
        <v>47045.2</v>
      </c>
      <c r="U28" s="1"/>
      <c r="V28" s="5">
        <f t="shared" si="21"/>
        <v>9.487162418420983E-2</v>
      </c>
      <c r="W28" s="1"/>
      <c r="X28" s="1">
        <f t="shared" si="22"/>
        <v>-25257.62</v>
      </c>
      <c r="Y28" s="1"/>
      <c r="Z28" s="5">
        <f t="shared" si="23"/>
        <v>-0.53687985171707209</v>
      </c>
    </row>
    <row r="29" spans="1:26" s="23" customFormat="1" hidden="1" outlineLevel="2" x14ac:dyDescent="0.25">
      <c r="A29" s="27"/>
      <c r="B29" s="10" t="str">
        <f>CONCATENATE("          ", "6111", " - ", "F.I.C.A.")</f>
        <v xml:space="preserve">          6111 - F.I.C.A.</v>
      </c>
      <c r="C29" s="10"/>
      <c r="D29" s="6"/>
      <c r="E29" s="2"/>
      <c r="F29" s="7">
        <f t="shared" si="16"/>
        <v>0</v>
      </c>
      <c r="G29" s="2"/>
      <c r="H29" s="6">
        <v>357.68</v>
      </c>
      <c r="I29" s="2"/>
      <c r="J29" s="7">
        <f t="shared" si="17"/>
        <v>12.61212976022567</v>
      </c>
      <c r="K29" s="2"/>
      <c r="L29" s="6">
        <f t="shared" si="18"/>
        <v>-357.68</v>
      </c>
      <c r="M29" s="2"/>
      <c r="N29" s="7">
        <f t="shared" si="19"/>
        <v>-1</v>
      </c>
      <c r="O29" s="10"/>
      <c r="P29" s="6">
        <v>1924.35</v>
      </c>
      <c r="Q29" s="2"/>
      <c r="R29" s="7">
        <f t="shared" si="20"/>
        <v>0</v>
      </c>
      <c r="S29" s="2"/>
      <c r="T29" s="6">
        <v>5412.14</v>
      </c>
      <c r="U29" s="2"/>
      <c r="V29" s="7">
        <f t="shared" si="21"/>
        <v>1.0914153029689096E-2</v>
      </c>
      <c r="W29" s="2"/>
      <c r="X29" s="6">
        <f t="shared" si="22"/>
        <v>-3487.7900000000004</v>
      </c>
      <c r="Y29" s="2"/>
      <c r="Z29" s="7">
        <f t="shared" si="23"/>
        <v>-0.64443824439131292</v>
      </c>
    </row>
    <row r="30" spans="1:26" s="23" customFormat="1" hidden="1" outlineLevel="2" x14ac:dyDescent="0.25">
      <c r="A30" s="27"/>
      <c r="B30" s="10" t="str">
        <f>CONCATENATE("          ", "6112", " - ", "COMPENSATION INSURANCE")</f>
        <v xml:space="preserve">          6112 - COMPENSATION INSURANCE</v>
      </c>
      <c r="C30" s="10"/>
      <c r="D30" s="6"/>
      <c r="E30" s="2"/>
      <c r="F30" s="7">
        <f t="shared" si="16"/>
        <v>0</v>
      </c>
      <c r="G30" s="2"/>
      <c r="H30" s="6">
        <v>133.25</v>
      </c>
      <c r="I30" s="2"/>
      <c r="J30" s="7">
        <f t="shared" si="17"/>
        <v>4.6985190409026796</v>
      </c>
      <c r="K30" s="2"/>
      <c r="L30" s="6">
        <f t="shared" si="18"/>
        <v>-133.25</v>
      </c>
      <c r="M30" s="2"/>
      <c r="N30" s="7">
        <f t="shared" si="19"/>
        <v>-1</v>
      </c>
      <c r="O30" s="10"/>
      <c r="P30" s="6">
        <v>499.06</v>
      </c>
      <c r="Q30" s="2"/>
      <c r="R30" s="7">
        <f t="shared" si="20"/>
        <v>0</v>
      </c>
      <c r="S30" s="2"/>
      <c r="T30" s="6">
        <v>1945.06</v>
      </c>
      <c r="U30" s="2"/>
      <c r="V30" s="7">
        <f t="shared" si="21"/>
        <v>3.9224193187772432E-3</v>
      </c>
      <c r="W30" s="2"/>
      <c r="X30" s="6">
        <f t="shared" si="22"/>
        <v>-1446</v>
      </c>
      <c r="Y30" s="2"/>
      <c r="Z30" s="7">
        <f t="shared" si="23"/>
        <v>-0.74342179675691245</v>
      </c>
    </row>
    <row r="31" spans="1:26" s="23" customFormat="1" hidden="1" outlineLevel="2" x14ac:dyDescent="0.25">
      <c r="A31" s="27"/>
      <c r="B31" s="10" t="str">
        <f>CONCATENATE("          ", "6113", " - ", "GROUP INSURANCE")</f>
        <v xml:space="preserve">          6113 - GROUP INSURANCE</v>
      </c>
      <c r="C31" s="10"/>
      <c r="D31" s="6"/>
      <c r="E31" s="2"/>
      <c r="F31" s="7">
        <f t="shared" si="16"/>
        <v>0</v>
      </c>
      <c r="G31" s="2"/>
      <c r="H31" s="6">
        <v>2021.26</v>
      </c>
      <c r="I31" s="2"/>
      <c r="J31" s="7">
        <f t="shared" si="17"/>
        <v>71.271509167842026</v>
      </c>
      <c r="K31" s="2"/>
      <c r="L31" s="6">
        <f t="shared" si="18"/>
        <v>-2021.26</v>
      </c>
      <c r="M31" s="2"/>
      <c r="N31" s="7">
        <f t="shared" si="19"/>
        <v>-1</v>
      </c>
      <c r="O31" s="10"/>
      <c r="P31" s="6">
        <v>12083.19</v>
      </c>
      <c r="Q31" s="2"/>
      <c r="R31" s="7">
        <f t="shared" si="20"/>
        <v>0</v>
      </c>
      <c r="S31" s="2"/>
      <c r="T31" s="6">
        <v>22226.12</v>
      </c>
      <c r="U31" s="2"/>
      <c r="V31" s="7">
        <f t="shared" si="21"/>
        <v>4.4821322976906247E-2</v>
      </c>
      <c r="W31" s="2"/>
      <c r="X31" s="6">
        <f t="shared" si="22"/>
        <v>-10142.929999999998</v>
      </c>
      <c r="Y31" s="2"/>
      <c r="Z31" s="7">
        <f t="shared" si="23"/>
        <v>-0.45635180589324625</v>
      </c>
    </row>
    <row r="32" spans="1:26" s="23" customFormat="1" hidden="1" outlineLevel="2" x14ac:dyDescent="0.25">
      <c r="A32" s="27"/>
      <c r="B32" s="10" t="str">
        <f>CONCATENATE("          ", "6114", " - ", "STATE UNEMPLOYMENT INSURANCE")</f>
        <v xml:space="preserve">          6114 - STATE UNEMPLOYMENT INSURANCE</v>
      </c>
      <c r="C32" s="10"/>
      <c r="D32" s="6"/>
      <c r="E32" s="2"/>
      <c r="F32" s="7">
        <f t="shared" si="16"/>
        <v>0</v>
      </c>
      <c r="G32" s="2"/>
      <c r="H32" s="6">
        <v>18.23</v>
      </c>
      <c r="I32" s="2"/>
      <c r="J32" s="7">
        <f t="shared" si="17"/>
        <v>0.64280677009873066</v>
      </c>
      <c r="K32" s="2"/>
      <c r="L32" s="6">
        <f t="shared" si="18"/>
        <v>-18.23</v>
      </c>
      <c r="M32" s="2"/>
      <c r="N32" s="7">
        <f t="shared" si="19"/>
        <v>-1</v>
      </c>
      <c r="O32" s="10"/>
      <c r="P32" s="6">
        <v>70.14</v>
      </c>
      <c r="Q32" s="2"/>
      <c r="R32" s="7">
        <f t="shared" si="20"/>
        <v>0</v>
      </c>
      <c r="S32" s="2"/>
      <c r="T32" s="6">
        <v>299.05</v>
      </c>
      <c r="U32" s="2"/>
      <c r="V32" s="7">
        <f t="shared" si="21"/>
        <v>6.0306597085968286E-4</v>
      </c>
      <c r="W32" s="2"/>
      <c r="X32" s="6">
        <f t="shared" si="22"/>
        <v>-228.91000000000003</v>
      </c>
      <c r="Y32" s="2"/>
      <c r="Z32" s="7">
        <f t="shared" si="23"/>
        <v>-0.76545728139107183</v>
      </c>
    </row>
    <row r="33" spans="1:26" s="23" customFormat="1" hidden="1" outlineLevel="2" x14ac:dyDescent="0.25">
      <c r="A33" s="27"/>
      <c r="B33" s="10" t="str">
        <f>CONCATENATE("          ", "6115", " - ", "P.E.R.S.")</f>
        <v xml:space="preserve">          6115 - P.E.R.S.</v>
      </c>
      <c r="C33" s="10"/>
      <c r="D33" s="6"/>
      <c r="E33" s="2"/>
      <c r="F33" s="7">
        <f t="shared" si="16"/>
        <v>0</v>
      </c>
      <c r="G33" s="2"/>
      <c r="H33" s="6">
        <v>568.97</v>
      </c>
      <c r="I33" s="2"/>
      <c r="J33" s="7">
        <f t="shared" si="17"/>
        <v>20.062411847672781</v>
      </c>
      <c r="K33" s="2"/>
      <c r="L33" s="6">
        <f t="shared" si="18"/>
        <v>-568.97</v>
      </c>
      <c r="M33" s="2"/>
      <c r="N33" s="7">
        <f t="shared" si="19"/>
        <v>-1</v>
      </c>
      <c r="O33" s="10"/>
      <c r="P33" s="6">
        <v>3490.92</v>
      </c>
      <c r="Q33" s="2"/>
      <c r="R33" s="7">
        <f t="shared" si="20"/>
        <v>0</v>
      </c>
      <c r="S33" s="2"/>
      <c r="T33" s="6">
        <v>7060.91</v>
      </c>
      <c r="U33" s="2"/>
      <c r="V33" s="7">
        <f t="shared" si="21"/>
        <v>1.4239072209673444E-2</v>
      </c>
      <c r="W33" s="2"/>
      <c r="X33" s="6">
        <f t="shared" si="22"/>
        <v>-3569.99</v>
      </c>
      <c r="Y33" s="2"/>
      <c r="Z33" s="7">
        <f t="shared" si="23"/>
        <v>-0.5055991366551903</v>
      </c>
    </row>
    <row r="34" spans="1:26" s="23" customFormat="1" hidden="1" outlineLevel="2" x14ac:dyDescent="0.25">
      <c r="A34" s="27"/>
      <c r="B34" s="10" t="str">
        <f>CONCATENATE("          ", "6118", " - ", "VACATION")</f>
        <v xml:space="preserve">          6118 - VACATION</v>
      </c>
      <c r="C34" s="10"/>
      <c r="D34" s="6"/>
      <c r="E34" s="2"/>
      <c r="F34" s="7">
        <f t="shared" si="16"/>
        <v>0</v>
      </c>
      <c r="G34" s="2"/>
      <c r="H34" s="6">
        <v>407.06</v>
      </c>
      <c r="I34" s="2"/>
      <c r="J34" s="7">
        <f t="shared" si="17"/>
        <v>14.353314527503526</v>
      </c>
      <c r="K34" s="2"/>
      <c r="L34" s="6">
        <f t="shared" si="18"/>
        <v>-407.06</v>
      </c>
      <c r="M34" s="2"/>
      <c r="N34" s="7">
        <f t="shared" si="19"/>
        <v>-1</v>
      </c>
      <c r="O34" s="10"/>
      <c r="P34" s="6">
        <v>2035.3</v>
      </c>
      <c r="Q34" s="2"/>
      <c r="R34" s="7">
        <f t="shared" si="20"/>
        <v>0</v>
      </c>
      <c r="S34" s="2"/>
      <c r="T34" s="6">
        <v>5193.6099999999997</v>
      </c>
      <c r="U34" s="2"/>
      <c r="V34" s="7">
        <f t="shared" si="21"/>
        <v>1.0473464159560466E-2</v>
      </c>
      <c r="W34" s="2"/>
      <c r="X34" s="6">
        <f t="shared" si="22"/>
        <v>-3158.3099999999995</v>
      </c>
      <c r="Y34" s="2"/>
      <c r="Z34" s="7">
        <f t="shared" si="23"/>
        <v>-0.60811458696359555</v>
      </c>
    </row>
    <row r="35" spans="1:26" s="23" customFormat="1" hidden="1" outlineLevel="2" x14ac:dyDescent="0.25">
      <c r="A35" s="27"/>
      <c r="B35" s="10" t="str">
        <f>CONCATENATE("          ", "6119", " - ", "SICK LEAVE")</f>
        <v xml:space="preserve">          6119 - SICK LEAVE</v>
      </c>
      <c r="C35" s="10"/>
      <c r="D35" s="6"/>
      <c r="E35" s="2"/>
      <c r="F35" s="7">
        <f t="shared" si="16"/>
        <v>0</v>
      </c>
      <c r="G35" s="2"/>
      <c r="H35" s="6">
        <v>256.76</v>
      </c>
      <c r="I35" s="2"/>
      <c r="J35" s="7">
        <f t="shared" si="17"/>
        <v>9.0535966149506351</v>
      </c>
      <c r="K35" s="2"/>
      <c r="L35" s="6">
        <f t="shared" si="18"/>
        <v>-256.76</v>
      </c>
      <c r="M35" s="2"/>
      <c r="N35" s="7">
        <f t="shared" si="19"/>
        <v>-1</v>
      </c>
      <c r="O35" s="10"/>
      <c r="P35" s="6">
        <v>1283.8</v>
      </c>
      <c r="Q35" s="2"/>
      <c r="R35" s="7">
        <f t="shared" si="20"/>
        <v>0</v>
      </c>
      <c r="S35" s="2"/>
      <c r="T35" s="6">
        <v>3485.54</v>
      </c>
      <c r="U35" s="2"/>
      <c r="V35" s="7">
        <f t="shared" si="21"/>
        <v>7.0289602543730442E-3</v>
      </c>
      <c r="W35" s="2"/>
      <c r="X35" s="6">
        <f t="shared" si="22"/>
        <v>-2201.7399999999998</v>
      </c>
      <c r="Y35" s="2"/>
      <c r="Z35" s="7">
        <f t="shared" si="23"/>
        <v>-0.63167830522673674</v>
      </c>
    </row>
    <row r="36" spans="1:26" s="23" customFormat="1" hidden="1" outlineLevel="2" x14ac:dyDescent="0.25">
      <c r="A36" s="27"/>
      <c r="B36" s="10" t="str">
        <f>CONCATENATE("          ", "6156", " - ", "EMPLOYEE MEALS")</f>
        <v xml:space="preserve">          6156 - EMPLOYEE MEALS</v>
      </c>
      <c r="C36" s="10"/>
      <c r="D36" s="6"/>
      <c r="E36" s="2"/>
      <c r="F36" s="7">
        <f t="shared" si="16"/>
        <v>0</v>
      </c>
      <c r="G36" s="2"/>
      <c r="H36" s="6">
        <v>12.12</v>
      </c>
      <c r="I36" s="2"/>
      <c r="J36" s="7">
        <f t="shared" si="17"/>
        <v>0.42736248236953456</v>
      </c>
      <c r="K36" s="2"/>
      <c r="L36" s="6">
        <f t="shared" si="18"/>
        <v>-12.12</v>
      </c>
      <c r="M36" s="2"/>
      <c r="N36" s="7">
        <f t="shared" si="19"/>
        <v>-1</v>
      </c>
      <c r="O36" s="10"/>
      <c r="P36" s="6">
        <v>400.82</v>
      </c>
      <c r="Q36" s="2"/>
      <c r="R36" s="7">
        <f t="shared" si="20"/>
        <v>0</v>
      </c>
      <c r="S36" s="2"/>
      <c r="T36" s="6">
        <v>1422.77</v>
      </c>
      <c r="U36" s="2"/>
      <c r="V36" s="7">
        <f t="shared" si="21"/>
        <v>2.8691662643706103E-3</v>
      </c>
      <c r="W36" s="2"/>
      <c r="X36" s="6">
        <f t="shared" si="22"/>
        <v>-1021.95</v>
      </c>
      <c r="Y36" s="2"/>
      <c r="Z36" s="7">
        <f t="shared" si="23"/>
        <v>-0.71828194297040282</v>
      </c>
    </row>
    <row r="37" spans="1:26" s="26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0</v>
      </c>
      <c r="E37" s="1"/>
      <c r="F37" s="5">
        <f t="shared" ref="F37:F43" si="24">IF(D$12=0,0,D37/D$12)</f>
        <v>0</v>
      </c>
      <c r="G37" s="1"/>
      <c r="H37" s="1">
        <f>SUM(OSRRefH22_1x_0)</f>
        <v>3618.33</v>
      </c>
      <c r="I37" s="1"/>
      <c r="J37" s="5">
        <f t="shared" ref="J37:J43" si="25">IF(H$12=0,0,H37/H$12)</f>
        <v>127.58568406205924</v>
      </c>
      <c r="K37" s="1"/>
      <c r="L37" s="1">
        <f t="shared" ref="L37:L43" si="26">+D37-H37</f>
        <v>-3618.33</v>
      </c>
      <c r="M37" s="1"/>
      <c r="N37" s="5">
        <f t="shared" ref="N37:N43" si="27">IF(H37=0,0,L37/H37)</f>
        <v>-1</v>
      </c>
      <c r="O37" s="12"/>
      <c r="P37" s="1">
        <f>SUM(OSRRefP22_1x_0)</f>
        <v>23136.42</v>
      </c>
      <c r="Q37" s="1"/>
      <c r="R37" s="5">
        <f t="shared" ref="R37:R43" si="28">IF(P$12=0,0,P37/P$12)</f>
        <v>0</v>
      </c>
      <c r="S37" s="1"/>
      <c r="T37" s="1">
        <f>SUM(OSRRefT22_1x_0)</f>
        <v>111709.51999999999</v>
      </c>
      <c r="U37" s="1"/>
      <c r="V37" s="5">
        <f t="shared" ref="V37:V43" si="29">IF(T$12=0,0,T37/T$12)</f>
        <v>0.22527406832659808</v>
      </c>
      <c r="W37" s="1"/>
      <c r="X37" s="1">
        <f t="shared" ref="X37:X43" si="30">+P37-T37</f>
        <v>-88573.099999999991</v>
      </c>
      <c r="Y37" s="1"/>
      <c r="Z37" s="5">
        <f t="shared" ref="Z37:Z43" si="31">IF(T37=0,0,X37/T37)</f>
        <v>-0.79288766078307382</v>
      </c>
    </row>
    <row r="38" spans="1:26" s="23" customFormat="1" hidden="1" outlineLevel="2" x14ac:dyDescent="0.25">
      <c r="A38" s="27"/>
      <c r="B38" s="10" t="str">
        <f>CONCATENATE("          ", "6002", " - ", "STAFF SALARIES")</f>
        <v xml:space="preserve">          6002 - STAFF SALARIES</v>
      </c>
      <c r="C38" s="10"/>
      <c r="D38" s="6"/>
      <c r="E38" s="2"/>
      <c r="F38" s="7">
        <f t="shared" si="24"/>
        <v>0</v>
      </c>
      <c r="G38" s="2"/>
      <c r="H38" s="6">
        <v>3618.33</v>
      </c>
      <c r="I38" s="2"/>
      <c r="J38" s="7">
        <f t="shared" si="25"/>
        <v>127.58568406205924</v>
      </c>
      <c r="K38" s="2"/>
      <c r="L38" s="6">
        <f t="shared" si="26"/>
        <v>-3618.33</v>
      </c>
      <c r="M38" s="2"/>
      <c r="N38" s="7">
        <f t="shared" si="27"/>
        <v>-1</v>
      </c>
      <c r="O38" s="10"/>
      <c r="P38" s="6">
        <v>23136.42</v>
      </c>
      <c r="Q38" s="2"/>
      <c r="R38" s="7">
        <f t="shared" si="28"/>
        <v>0</v>
      </c>
      <c r="S38" s="2"/>
      <c r="T38" s="6">
        <v>61685.56</v>
      </c>
      <c r="U38" s="2"/>
      <c r="V38" s="7">
        <f t="shared" si="29"/>
        <v>0.12439545938613347</v>
      </c>
      <c r="W38" s="2"/>
      <c r="X38" s="6">
        <f t="shared" si="30"/>
        <v>-38549.14</v>
      </c>
      <c r="Y38" s="2"/>
      <c r="Z38" s="7">
        <f t="shared" si="31"/>
        <v>-0.6249297242336781</v>
      </c>
    </row>
    <row r="39" spans="1:26" s="23" customFormat="1" hidden="1" outlineLevel="2" x14ac:dyDescent="0.25">
      <c r="A39" s="27"/>
      <c r="B39" s="10" t="str">
        <f>CONCATENATE("          ", "6004", " - ", "STAFF HOURLY")</f>
        <v xml:space="preserve">          6004 - STAFF HOURLY</v>
      </c>
      <c r="C39" s="10"/>
      <c r="D39" s="6"/>
      <c r="E39" s="2"/>
      <c r="F39" s="7">
        <f t="shared" si="24"/>
        <v>0</v>
      </c>
      <c r="G39" s="2"/>
      <c r="H39" s="6"/>
      <c r="I39" s="2"/>
      <c r="J39" s="7">
        <f t="shared" si="25"/>
        <v>0</v>
      </c>
      <c r="K39" s="2"/>
      <c r="L39" s="6">
        <f t="shared" si="26"/>
        <v>0</v>
      </c>
      <c r="M39" s="2"/>
      <c r="N39" s="7">
        <f t="shared" si="27"/>
        <v>0</v>
      </c>
      <c r="O39" s="10"/>
      <c r="P39" s="6"/>
      <c r="Q39" s="2"/>
      <c r="R39" s="7">
        <f t="shared" si="28"/>
        <v>0</v>
      </c>
      <c r="S39" s="2"/>
      <c r="T39" s="6">
        <v>-3618.33</v>
      </c>
      <c r="U39" s="2"/>
      <c r="V39" s="7">
        <f t="shared" si="29"/>
        <v>-7.2967453413834349E-3</v>
      </c>
      <c r="W39" s="2"/>
      <c r="X39" s="6">
        <f t="shared" si="30"/>
        <v>3618.33</v>
      </c>
      <c r="Y39" s="2"/>
      <c r="Z39" s="7">
        <f t="shared" si="31"/>
        <v>-1</v>
      </c>
    </row>
    <row r="40" spans="1:26" s="23" customFormat="1" hidden="1" outlineLevel="2" x14ac:dyDescent="0.25">
      <c r="A40" s="27"/>
      <c r="B40" s="10" t="str">
        <f>CONCATENATE("          ", "6005", " - ", "TEMPORARY WAGES-HOURLY")</f>
        <v xml:space="preserve">          6005 - TEMPORARY WAGES-HOURLY</v>
      </c>
      <c r="C40" s="10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0"/>
      <c r="P40" s="6"/>
      <c r="Q40" s="2"/>
      <c r="R40" s="7">
        <f t="shared" si="28"/>
        <v>0</v>
      </c>
      <c r="S40" s="2"/>
      <c r="T40" s="6">
        <v>1174.26</v>
      </c>
      <c r="U40" s="2"/>
      <c r="V40" s="7">
        <f t="shared" si="29"/>
        <v>2.3680195517194152E-3</v>
      </c>
      <c r="W40" s="2"/>
      <c r="X40" s="6">
        <f t="shared" si="30"/>
        <v>-1174.26</v>
      </c>
      <c r="Y40" s="2"/>
      <c r="Z40" s="7">
        <f t="shared" si="31"/>
        <v>-1</v>
      </c>
    </row>
    <row r="41" spans="1:26" s="23" customFormat="1" hidden="1" outlineLevel="2" x14ac:dyDescent="0.25">
      <c r="A41" s="27"/>
      <c r="B41" s="10" t="str">
        <f>CONCATENATE("          ", "6006", " - ", "TEMPORARY PART TIME")</f>
        <v xml:space="preserve">          6006 - TEMPORARY PART TIME</v>
      </c>
      <c r="C41" s="10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0"/>
      <c r="P41" s="6"/>
      <c r="Q41" s="2"/>
      <c r="R41" s="7">
        <f t="shared" si="28"/>
        <v>0</v>
      </c>
      <c r="S41" s="2"/>
      <c r="T41" s="6">
        <v>4878.2700000000004</v>
      </c>
      <c r="U41" s="2"/>
      <c r="V41" s="7">
        <f t="shared" si="29"/>
        <v>9.8375476798718119E-3</v>
      </c>
      <c r="W41" s="2"/>
      <c r="X41" s="6">
        <f t="shared" si="30"/>
        <v>-4878.2700000000004</v>
      </c>
      <c r="Y41" s="2"/>
      <c r="Z41" s="7">
        <f t="shared" si="31"/>
        <v>-1</v>
      </c>
    </row>
    <row r="42" spans="1:26" s="23" customFormat="1" hidden="1" outlineLevel="2" x14ac:dyDescent="0.25">
      <c r="A42" s="27"/>
      <c r="B42" s="10" t="str">
        <f>CONCATENATE("          ", "6007", " - ", "STUDENT HOURLY")</f>
        <v xml:space="preserve">          6007 - STUDENT HOURLY</v>
      </c>
      <c r="C42" s="10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0"/>
      <c r="P42" s="6"/>
      <c r="Q42" s="2"/>
      <c r="R42" s="7">
        <f t="shared" si="28"/>
        <v>0</v>
      </c>
      <c r="S42" s="2"/>
      <c r="T42" s="6">
        <v>44034.28</v>
      </c>
      <c r="U42" s="2"/>
      <c r="V42" s="7">
        <f t="shared" si="29"/>
        <v>8.8799785384742064E-2</v>
      </c>
      <c r="W42" s="2"/>
      <c r="X42" s="6">
        <f t="shared" si="30"/>
        <v>-44034.28</v>
      </c>
      <c r="Y42" s="2"/>
      <c r="Z42" s="7">
        <f t="shared" si="31"/>
        <v>-1</v>
      </c>
    </row>
    <row r="43" spans="1:26" s="23" customFormat="1" hidden="1" outlineLevel="2" x14ac:dyDescent="0.25">
      <c r="A43" s="27"/>
      <c r="B43" s="10" t="str">
        <f>CONCATENATE("          ", "6008", " - ", "STUDENT HOURLY-FICA EXEMPT")</f>
        <v xml:space="preserve">          6008 - STUDENT HOURLY-FICA EXEMPT</v>
      </c>
      <c r="C43" s="10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0"/>
      <c r="P43" s="6"/>
      <c r="Q43" s="2"/>
      <c r="R43" s="7">
        <f t="shared" si="28"/>
        <v>0</v>
      </c>
      <c r="S43" s="2"/>
      <c r="T43" s="6">
        <v>3555.48</v>
      </c>
      <c r="U43" s="2"/>
      <c r="V43" s="7">
        <f t="shared" si="29"/>
        <v>7.1700016655147471E-3</v>
      </c>
      <c r="W43" s="2"/>
      <c r="X43" s="6">
        <f t="shared" si="30"/>
        <v>-3555.48</v>
      </c>
      <c r="Y43" s="2"/>
      <c r="Z43" s="7">
        <f t="shared" si="31"/>
        <v>-1</v>
      </c>
    </row>
    <row r="44" spans="1:26" s="26" customFormat="1" outlineLevel="1" collapsed="1" x14ac:dyDescent="0.25">
      <c r="A44" s="25"/>
      <c r="B44" s="12" t="str">
        <f>CONCATENATE("     ","Advertising/Promo                                 ")</f>
        <v xml:space="preserve">     Advertising/Promo                                 </v>
      </c>
      <c r="C44" s="12"/>
      <c r="D44" s="1">
        <f>SUM(OSRRefD22_2x_0)</f>
        <v>0</v>
      </c>
      <c r="E44" s="1"/>
      <c r="F44" s="5">
        <f t="shared" ref="F44:F59" si="32">IF(D$12=0,0,D44/D$12)</f>
        <v>0</v>
      </c>
      <c r="G44" s="1"/>
      <c r="H44" s="1">
        <f>SUM(OSRRefH22_2x_0)</f>
        <v>0</v>
      </c>
      <c r="I44" s="1"/>
      <c r="J44" s="5">
        <f t="shared" ref="J44:J59" si="33">IF(H$12=0,0,H44/H$12)</f>
        <v>0</v>
      </c>
      <c r="K44" s="1"/>
      <c r="L44" s="1">
        <f t="shared" ref="L44:L59" si="34">+D44-H44</f>
        <v>0</v>
      </c>
      <c r="M44" s="1"/>
      <c r="N44" s="5">
        <f t="shared" ref="N44:N59" si="35">IF(H44=0,0,L44/H44)</f>
        <v>0</v>
      </c>
      <c r="O44" s="12"/>
      <c r="P44" s="1">
        <f>SUM(OSRRefP22_2x_0)</f>
        <v>0</v>
      </c>
      <c r="Q44" s="1"/>
      <c r="R44" s="5">
        <f t="shared" ref="R44:R59" si="36">IF(P$12=0,0,P44/P$12)</f>
        <v>0</v>
      </c>
      <c r="S44" s="1"/>
      <c r="T44" s="1">
        <f>SUM(OSRRefT22_2x_0)</f>
        <v>1464.31</v>
      </c>
      <c r="U44" s="1"/>
      <c r="V44" s="5">
        <f t="shared" ref="V44:V59" si="37">IF(T$12=0,0,T44/T$12)</f>
        <v>2.9529360701874008E-3</v>
      </c>
      <c r="W44" s="1"/>
      <c r="X44" s="1">
        <f t="shared" ref="X44:X59" si="38">+P44-T44</f>
        <v>-1464.31</v>
      </c>
      <c r="Y44" s="1"/>
      <c r="Z44" s="5">
        <f t="shared" ref="Z44:Z59" si="39">IF(T44=0,0,X44/T44)</f>
        <v>-1</v>
      </c>
    </row>
    <row r="45" spans="1:26" s="23" customFormat="1" hidden="1" outlineLevel="2" x14ac:dyDescent="0.25">
      <c r="A45" s="27"/>
      <c r="B45" s="10" t="str">
        <f>CONCATENATE("          ", "6362", " - ", "ADVERTISING EXPENSE")</f>
        <v xml:space="preserve">          6362 - ADVERTISING EXPENSE</v>
      </c>
      <c r="C45" s="10"/>
      <c r="D45" s="6"/>
      <c r="E45" s="2"/>
      <c r="F45" s="7">
        <f t="shared" si="32"/>
        <v>0</v>
      </c>
      <c r="G45" s="2"/>
      <c r="H45" s="6"/>
      <c r="I45" s="2"/>
      <c r="J45" s="7">
        <f t="shared" si="33"/>
        <v>0</v>
      </c>
      <c r="K45" s="2"/>
      <c r="L45" s="6">
        <f t="shared" si="34"/>
        <v>0</v>
      </c>
      <c r="M45" s="2"/>
      <c r="N45" s="7">
        <f t="shared" si="35"/>
        <v>0</v>
      </c>
      <c r="O45" s="10"/>
      <c r="P45" s="6"/>
      <c r="Q45" s="2"/>
      <c r="R45" s="7">
        <f t="shared" si="36"/>
        <v>0</v>
      </c>
      <c r="S45" s="2"/>
      <c r="T45" s="6">
        <v>1464.31</v>
      </c>
      <c r="U45" s="2"/>
      <c r="V45" s="7">
        <f t="shared" si="37"/>
        <v>2.9529360701874008E-3</v>
      </c>
      <c r="W45" s="2"/>
      <c r="X45" s="6">
        <f t="shared" si="38"/>
        <v>-1464.31</v>
      </c>
      <c r="Y45" s="2"/>
      <c r="Z45" s="7">
        <f t="shared" si="39"/>
        <v>-1</v>
      </c>
    </row>
    <row r="46" spans="1:26" s="26" customFormat="1" outlineLevel="1" collapsed="1" x14ac:dyDescent="0.25">
      <c r="A46" s="25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SUM(OSRRefD22_3x_0)</f>
        <v>0</v>
      </c>
      <c r="E46" s="1"/>
      <c r="F46" s="5">
        <f t="shared" si="32"/>
        <v>0</v>
      </c>
      <c r="G46" s="1"/>
      <c r="H46" s="1">
        <f>SUM(OSRRefH22_3x_0)</f>
        <v>0</v>
      </c>
      <c r="I46" s="1"/>
      <c r="J46" s="5">
        <f t="shared" si="33"/>
        <v>0</v>
      </c>
      <c r="K46" s="1"/>
      <c r="L46" s="1">
        <f t="shared" si="34"/>
        <v>0</v>
      </c>
      <c r="M46" s="1"/>
      <c r="N46" s="5">
        <f t="shared" si="35"/>
        <v>0</v>
      </c>
      <c r="O46" s="12"/>
      <c r="P46" s="1">
        <f>SUM(OSRRefP22_3x_0)</f>
        <v>0</v>
      </c>
      <c r="Q46" s="1"/>
      <c r="R46" s="5">
        <f t="shared" si="36"/>
        <v>0</v>
      </c>
      <c r="S46" s="1"/>
      <c r="T46" s="1">
        <f>SUM(OSRRefT22_3x_0)</f>
        <v>-198.56</v>
      </c>
      <c r="U46" s="1"/>
      <c r="V46" s="5">
        <f t="shared" si="37"/>
        <v>-4.0041725187727346E-4</v>
      </c>
      <c r="W46" s="1"/>
      <c r="X46" s="1">
        <f t="shared" si="38"/>
        <v>198.56</v>
      </c>
      <c r="Y46" s="1"/>
      <c r="Z46" s="5">
        <f t="shared" si="39"/>
        <v>-1</v>
      </c>
    </row>
    <row r="47" spans="1:26" s="23" customFormat="1" hidden="1" outlineLevel="2" x14ac:dyDescent="0.25">
      <c r="A47" s="27"/>
      <c r="B47" s="10" t="str">
        <f>CONCATENATE("          ", "6272", " - ", "CASH (OVER/SHORT)")</f>
        <v xml:space="preserve">          6272 - CASH (OVER/SHORT)</v>
      </c>
      <c r="C47" s="10"/>
      <c r="D47" s="6"/>
      <c r="E47" s="2"/>
      <c r="F47" s="7">
        <f t="shared" si="32"/>
        <v>0</v>
      </c>
      <c r="G47" s="2"/>
      <c r="H47" s="6"/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0"/>
      <c r="P47" s="6"/>
      <c r="Q47" s="2"/>
      <c r="R47" s="7">
        <f t="shared" si="36"/>
        <v>0</v>
      </c>
      <c r="S47" s="2"/>
      <c r="T47" s="6">
        <v>-198.56</v>
      </c>
      <c r="U47" s="2"/>
      <c r="V47" s="7">
        <f t="shared" si="37"/>
        <v>-4.0041725187727346E-4</v>
      </c>
      <c r="W47" s="2"/>
      <c r="X47" s="6">
        <f t="shared" si="38"/>
        <v>198.56</v>
      </c>
      <c r="Y47" s="2"/>
      <c r="Z47" s="7">
        <f t="shared" si="39"/>
        <v>-1</v>
      </c>
    </row>
    <row r="48" spans="1:26" s="26" customFormat="1" outlineLevel="1" collapsed="1" x14ac:dyDescent="0.25">
      <c r="A48" s="25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SUM(OSRRefD22_4x_0)</f>
        <v>0</v>
      </c>
      <c r="E48" s="1"/>
      <c r="F48" s="5">
        <f t="shared" si="32"/>
        <v>0</v>
      </c>
      <c r="G48" s="1"/>
      <c r="H48" s="1">
        <f>SUM(OSRRefH22_4x_0)</f>
        <v>60</v>
      </c>
      <c r="I48" s="1"/>
      <c r="J48" s="5">
        <f t="shared" si="33"/>
        <v>2.1156558533145278</v>
      </c>
      <c r="K48" s="1"/>
      <c r="L48" s="1">
        <f t="shared" si="34"/>
        <v>-60</v>
      </c>
      <c r="M48" s="1"/>
      <c r="N48" s="5">
        <f t="shared" si="35"/>
        <v>-1</v>
      </c>
      <c r="O48" s="12"/>
      <c r="P48" s="1">
        <f>SUM(OSRRefP22_4x_0)</f>
        <v>240</v>
      </c>
      <c r="Q48" s="1"/>
      <c r="R48" s="5">
        <f t="shared" si="36"/>
        <v>0</v>
      </c>
      <c r="S48" s="1"/>
      <c r="T48" s="1">
        <f>SUM(OSRRefT22_4x_0)</f>
        <v>18193.439999999999</v>
      </c>
      <c r="U48" s="1"/>
      <c r="V48" s="5">
        <f t="shared" si="37"/>
        <v>3.668899701346727E-2</v>
      </c>
      <c r="W48" s="1"/>
      <c r="X48" s="1">
        <f t="shared" si="38"/>
        <v>-17953.439999999999</v>
      </c>
      <c r="Y48" s="1"/>
      <c r="Z48" s="5">
        <f t="shared" si="39"/>
        <v>-0.9868084320502335</v>
      </c>
    </row>
    <row r="49" spans="1:26" s="23" customFormat="1" hidden="1" outlineLevel="2" x14ac:dyDescent="0.25">
      <c r="A49" s="27"/>
      <c r="B49" s="10" t="str">
        <f>CONCATENATE("          ", "6381", " - ", "BANK/CREDIT CARD FEES")</f>
        <v xml:space="preserve">          6381 - BANK/CREDIT CARD FEES</v>
      </c>
      <c r="C49" s="10"/>
      <c r="D49" s="6"/>
      <c r="E49" s="2"/>
      <c r="F49" s="7">
        <f t="shared" si="32"/>
        <v>0</v>
      </c>
      <c r="G49" s="2"/>
      <c r="H49" s="6">
        <v>60</v>
      </c>
      <c r="I49" s="2"/>
      <c r="J49" s="7">
        <f t="shared" si="33"/>
        <v>2.1156558533145278</v>
      </c>
      <c r="K49" s="2"/>
      <c r="L49" s="6">
        <f t="shared" si="34"/>
        <v>-60</v>
      </c>
      <c r="M49" s="2"/>
      <c r="N49" s="7">
        <f t="shared" si="35"/>
        <v>-1</v>
      </c>
      <c r="O49" s="10"/>
      <c r="P49" s="6">
        <v>240</v>
      </c>
      <c r="Q49" s="2"/>
      <c r="R49" s="7">
        <f t="shared" si="36"/>
        <v>0</v>
      </c>
      <c r="S49" s="2"/>
      <c r="T49" s="6">
        <v>18193.439999999999</v>
      </c>
      <c r="U49" s="2"/>
      <c r="V49" s="7">
        <f t="shared" si="37"/>
        <v>3.668899701346727E-2</v>
      </c>
      <c r="W49" s="2"/>
      <c r="X49" s="6">
        <f t="shared" si="38"/>
        <v>-17953.439999999999</v>
      </c>
      <c r="Y49" s="2"/>
      <c r="Z49" s="7">
        <f t="shared" si="39"/>
        <v>-0.9868084320502335</v>
      </c>
    </row>
    <row r="50" spans="1:26" s="26" customFormat="1" outlineLevel="1" collapsed="1" x14ac:dyDescent="0.25">
      <c r="A50" s="25"/>
      <c r="B50" s="12" t="str">
        <f>CONCATENATE("     ","Discounts and Markdowns                           ")</f>
        <v xml:space="preserve">     Discounts and Markdowns                           </v>
      </c>
      <c r="C50" s="12"/>
      <c r="D50" s="1">
        <f>SUM(OSRRefD22_5x_0)</f>
        <v>0</v>
      </c>
      <c r="E50" s="1"/>
      <c r="F50" s="5">
        <f t="shared" si="32"/>
        <v>0</v>
      </c>
      <c r="G50" s="1"/>
      <c r="H50" s="1">
        <f>SUM(OSRRefH22_5x_0)</f>
        <v>0</v>
      </c>
      <c r="I50" s="1"/>
      <c r="J50" s="5">
        <f t="shared" si="33"/>
        <v>0</v>
      </c>
      <c r="K50" s="1"/>
      <c r="L50" s="1">
        <f t="shared" si="34"/>
        <v>0</v>
      </c>
      <c r="M50" s="1"/>
      <c r="N50" s="5">
        <f t="shared" si="35"/>
        <v>0</v>
      </c>
      <c r="O50" s="12"/>
      <c r="P50" s="1">
        <f>SUM(OSRRefP22_5x_0)</f>
        <v>0</v>
      </c>
      <c r="Q50" s="1"/>
      <c r="R50" s="5">
        <f t="shared" si="36"/>
        <v>0</v>
      </c>
      <c r="S50" s="1"/>
      <c r="T50" s="1">
        <f>SUM(OSRRefT22_5x_0)</f>
        <v>125.87</v>
      </c>
      <c r="U50" s="1"/>
      <c r="V50" s="5">
        <f t="shared" si="37"/>
        <v>2.5383017472699641E-4</v>
      </c>
      <c r="W50" s="1"/>
      <c r="X50" s="1">
        <f t="shared" si="38"/>
        <v>-125.87</v>
      </c>
      <c r="Y50" s="1"/>
      <c r="Z50" s="5">
        <f t="shared" si="39"/>
        <v>-1</v>
      </c>
    </row>
    <row r="51" spans="1:26" s="23" customFormat="1" hidden="1" outlineLevel="2" x14ac:dyDescent="0.25">
      <c r="A51" s="27"/>
      <c r="B51" s="10" t="str">
        <f>CONCATENATE("          ", "6382", " - ", "DISCOUNTS/MARK DOWNS")</f>
        <v xml:space="preserve">          6382 - DISCOUNTS/MARK DOWNS</v>
      </c>
      <c r="C51" s="10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0"/>
      <c r="P51" s="6"/>
      <c r="Q51" s="2"/>
      <c r="R51" s="7">
        <f t="shared" si="36"/>
        <v>0</v>
      </c>
      <c r="S51" s="2"/>
      <c r="T51" s="6">
        <v>125.87</v>
      </c>
      <c r="U51" s="2"/>
      <c r="V51" s="7">
        <f t="shared" si="37"/>
        <v>2.5383017472699641E-4</v>
      </c>
      <c r="W51" s="2"/>
      <c r="X51" s="6">
        <f t="shared" si="38"/>
        <v>-125.87</v>
      </c>
      <c r="Y51" s="2"/>
      <c r="Z51" s="7">
        <f t="shared" si="39"/>
        <v>-1</v>
      </c>
    </row>
    <row r="52" spans="1:26" s="26" customFormat="1" outlineLevel="1" collapsed="1" x14ac:dyDescent="0.25">
      <c r="A52" s="25"/>
      <c r="B52" s="12" t="str">
        <f>CONCATENATE("     ","Freight out/Postage                               ")</f>
        <v xml:space="preserve">     Freight out/Postage                               </v>
      </c>
      <c r="C52" s="12"/>
      <c r="D52" s="1">
        <f>SUM(OSRRefD22_6x_0)</f>
        <v>0</v>
      </c>
      <c r="E52" s="1"/>
      <c r="F52" s="5">
        <f t="shared" si="32"/>
        <v>0</v>
      </c>
      <c r="G52" s="1"/>
      <c r="H52" s="1">
        <f>SUM(OSRRefH22_6x_0)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2"/>
      <c r="P52" s="1">
        <f>SUM(OSRRefP22_6x_0)</f>
        <v>280.10000000000002</v>
      </c>
      <c r="Q52" s="1"/>
      <c r="R52" s="5">
        <f t="shared" si="36"/>
        <v>0</v>
      </c>
      <c r="S52" s="1"/>
      <c r="T52" s="1">
        <f>SUM(OSRRefT22_6x_0)</f>
        <v>331.18</v>
      </c>
      <c r="U52" s="1"/>
      <c r="V52" s="5">
        <f t="shared" si="37"/>
        <v>6.6785951589804307E-4</v>
      </c>
      <c r="W52" s="1"/>
      <c r="X52" s="1">
        <f t="shared" si="38"/>
        <v>-51.079999999999984</v>
      </c>
      <c r="Y52" s="1"/>
      <c r="Z52" s="5">
        <f t="shared" si="39"/>
        <v>-0.15423636693037013</v>
      </c>
    </row>
    <row r="53" spans="1:26" s="23" customFormat="1" hidden="1" outlineLevel="2" x14ac:dyDescent="0.25">
      <c r="A53" s="27"/>
      <c r="B53" s="10" t="str">
        <f>CONCATENATE("          ", "6305", " - ", "FREIGHT OUT")</f>
        <v xml:space="preserve">          6305 - FREIGHT OUT</v>
      </c>
      <c r="C53" s="10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0"/>
      <c r="P53" s="6">
        <v>280.10000000000002</v>
      </c>
      <c r="Q53" s="2"/>
      <c r="R53" s="7">
        <f t="shared" si="36"/>
        <v>0</v>
      </c>
      <c r="S53" s="2"/>
      <c r="T53" s="6">
        <v>331.18</v>
      </c>
      <c r="U53" s="2"/>
      <c r="V53" s="7">
        <f t="shared" si="37"/>
        <v>6.6785951589804307E-4</v>
      </c>
      <c r="W53" s="2"/>
      <c r="X53" s="6">
        <f t="shared" si="38"/>
        <v>-51.079999999999984</v>
      </c>
      <c r="Y53" s="2"/>
      <c r="Z53" s="7">
        <f t="shared" si="39"/>
        <v>-0.15423636693037013</v>
      </c>
    </row>
    <row r="54" spans="1:26" s="26" customFormat="1" outlineLevel="1" collapsed="1" x14ac:dyDescent="0.25">
      <c r="A54" s="25"/>
      <c r="B54" s="12" t="str">
        <f>CONCATENATE("     ","General                                           ")</f>
        <v xml:space="preserve">     General                                           </v>
      </c>
      <c r="C54" s="12"/>
      <c r="D54" s="1">
        <f>SUM(OSRRefD22_7x_0)</f>
        <v>0</v>
      </c>
      <c r="E54" s="1"/>
      <c r="F54" s="5">
        <f t="shared" si="32"/>
        <v>0</v>
      </c>
      <c r="G54" s="1"/>
      <c r="H54" s="1">
        <f>SUM(OSRRefH22_7x_0)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2"/>
      <c r="P54" s="1">
        <f>SUM(OSRRefP22_7x_0)</f>
        <v>160</v>
      </c>
      <c r="Q54" s="1"/>
      <c r="R54" s="5">
        <f t="shared" si="36"/>
        <v>0</v>
      </c>
      <c r="S54" s="1"/>
      <c r="T54" s="1">
        <f>SUM(OSRRefT22_7x_0)</f>
        <v>1192.3499999999999</v>
      </c>
      <c r="U54" s="1"/>
      <c r="V54" s="5">
        <f t="shared" si="37"/>
        <v>2.4044999510267275E-3</v>
      </c>
      <c r="W54" s="1"/>
      <c r="X54" s="1">
        <f t="shared" si="38"/>
        <v>-1032.3499999999999</v>
      </c>
      <c r="Y54" s="1"/>
      <c r="Z54" s="5">
        <f t="shared" si="39"/>
        <v>-0.86581121315050114</v>
      </c>
    </row>
    <row r="55" spans="1:26" s="23" customFormat="1" hidden="1" outlineLevel="2" x14ac:dyDescent="0.25">
      <c r="A55" s="27"/>
      <c r="B55" s="10" t="str">
        <f>CONCATENATE("          ", "6279", " - ", "GENERAL EXPENSE")</f>
        <v xml:space="preserve">          6279 - GENERAL EXPENSE</v>
      </c>
      <c r="C55" s="10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0"/>
      <c r="P55" s="6">
        <v>160</v>
      </c>
      <c r="Q55" s="2"/>
      <c r="R55" s="7">
        <f t="shared" si="36"/>
        <v>0</v>
      </c>
      <c r="S55" s="2"/>
      <c r="T55" s="6">
        <v>1192.3499999999999</v>
      </c>
      <c r="U55" s="2"/>
      <c r="V55" s="7">
        <f t="shared" si="37"/>
        <v>2.4044999510267275E-3</v>
      </c>
      <c r="W55" s="2"/>
      <c r="X55" s="6">
        <f t="shared" si="38"/>
        <v>-1032.3499999999999</v>
      </c>
      <c r="Y55" s="2"/>
      <c r="Z55" s="7">
        <f t="shared" si="39"/>
        <v>-0.86581121315050114</v>
      </c>
    </row>
    <row r="56" spans="1:26" s="26" customFormat="1" outlineLevel="1" collapsed="1" x14ac:dyDescent="0.25">
      <c r="A56" s="25"/>
      <c r="B56" s="12" t="str">
        <f>CONCATENATE("     ","Repair and Maintenance                            ")</f>
        <v xml:space="preserve">     Repair and Maintenance                            </v>
      </c>
      <c r="C56" s="12"/>
      <c r="D56" s="1">
        <f>SUM(OSRRefD22_8x_0)</f>
        <v>0</v>
      </c>
      <c r="E56" s="1"/>
      <c r="F56" s="5">
        <f t="shared" si="32"/>
        <v>0</v>
      </c>
      <c r="G56" s="1"/>
      <c r="H56" s="1">
        <f>SUM(OSRRefH22_8x_0)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2"/>
      <c r="P56" s="1">
        <f>SUM(OSRRefP22_8x_0)</f>
        <v>72.36</v>
      </c>
      <c r="Q56" s="1"/>
      <c r="R56" s="5">
        <f t="shared" si="36"/>
        <v>0</v>
      </c>
      <c r="S56" s="1"/>
      <c r="T56" s="1">
        <f>SUM(OSRRefT22_8x_0)</f>
        <v>1088.6200000000001</v>
      </c>
      <c r="U56" s="1"/>
      <c r="V56" s="5">
        <f t="shared" si="37"/>
        <v>2.195317429183307E-3</v>
      </c>
      <c r="W56" s="1"/>
      <c r="X56" s="1">
        <f t="shared" si="38"/>
        <v>-1016.2600000000001</v>
      </c>
      <c r="Y56" s="1"/>
      <c r="Z56" s="5">
        <f t="shared" si="39"/>
        <v>-0.93353052488471644</v>
      </c>
    </row>
    <row r="57" spans="1:26" s="23" customFormat="1" hidden="1" outlineLevel="2" x14ac:dyDescent="0.25">
      <c r="A57" s="27"/>
      <c r="B57" s="10" t="str">
        <f>CONCATENATE("          ", "6371", " - ", "COMPUTER SOFTWARE MAINTENANCE")</f>
        <v xml:space="preserve">          6371 - COMPUTER SOFTWARE MAINTENANCE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437.31</v>
      </c>
      <c r="U57" s="2"/>
      <c r="V57" s="7">
        <f t="shared" si="37"/>
        <v>8.8188189171258284E-4</v>
      </c>
      <c r="W57" s="2"/>
      <c r="X57" s="6">
        <f t="shared" si="38"/>
        <v>-437.31</v>
      </c>
      <c r="Y57" s="2"/>
      <c r="Z57" s="7">
        <f t="shared" si="39"/>
        <v>-1</v>
      </c>
    </row>
    <row r="58" spans="1:26" s="23" customFormat="1" hidden="1" outlineLevel="2" x14ac:dyDescent="0.25">
      <c r="A58" s="27"/>
      <c r="B58" s="10" t="str">
        <f>CONCATENATE("          ", "6373", " - ", "MAINTENANCE CONTRACTS")</f>
        <v xml:space="preserve">          6373 - MAINTENANCE CONTRACTS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72.36</v>
      </c>
      <c r="Q58" s="2"/>
      <c r="R58" s="7">
        <f t="shared" si="36"/>
        <v>0</v>
      </c>
      <c r="S58" s="2"/>
      <c r="T58" s="6">
        <v>70.73</v>
      </c>
      <c r="U58" s="2"/>
      <c r="V58" s="7">
        <f t="shared" si="37"/>
        <v>1.4263452974052959E-4</v>
      </c>
      <c r="W58" s="2"/>
      <c r="X58" s="6">
        <f t="shared" si="38"/>
        <v>1.6299999999999955</v>
      </c>
      <c r="Y58" s="2"/>
      <c r="Z58" s="7">
        <f t="shared" si="39"/>
        <v>2.3045383854092966E-2</v>
      </c>
    </row>
    <row r="59" spans="1:26" s="23" customFormat="1" hidden="1" outlineLevel="2" x14ac:dyDescent="0.25">
      <c r="A59" s="27"/>
      <c r="B59" s="10" t="str">
        <f>CONCATENATE("          ", "6375", " - ", "OUTSIDE REPAIRS &amp; MAINTENANCE")</f>
        <v xml:space="preserve">          6375 - OUTSIDE REPAIRS &amp; MAINTENANCE</v>
      </c>
      <c r="C59" s="10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0"/>
      <c r="P59" s="6"/>
      <c r="Q59" s="2"/>
      <c r="R59" s="7">
        <f t="shared" si="36"/>
        <v>0</v>
      </c>
      <c r="S59" s="2"/>
      <c r="T59" s="6">
        <v>580.58000000000004</v>
      </c>
      <c r="U59" s="2"/>
      <c r="V59" s="7">
        <f t="shared" si="37"/>
        <v>1.1708010077301945E-3</v>
      </c>
      <c r="W59" s="2"/>
      <c r="X59" s="6">
        <f t="shared" si="38"/>
        <v>-580.58000000000004</v>
      </c>
      <c r="Y59" s="2"/>
      <c r="Z59" s="7">
        <f t="shared" si="39"/>
        <v>-1</v>
      </c>
    </row>
    <row r="60" spans="1:26" s="26" customFormat="1" outlineLevel="1" collapsed="1" x14ac:dyDescent="0.25">
      <c r="A60" s="25"/>
      <c r="B60" s="12" t="str">
        <f>CONCATENATE("     ","Services                                          ")</f>
        <v xml:space="preserve">     Services                                          </v>
      </c>
      <c r="C60" s="12"/>
      <c r="D60" s="1">
        <f>SUM(OSRRefD22_9x_0)</f>
        <v>0</v>
      </c>
      <c r="E60" s="1"/>
      <c r="F60" s="5">
        <f t="shared" ref="F60:F68" si="40">IF(D$12=0,0,D60/D$12)</f>
        <v>0</v>
      </c>
      <c r="G60" s="1"/>
      <c r="H60" s="1">
        <f>SUM(OSRRefH22_9x_0)</f>
        <v>0</v>
      </c>
      <c r="I60" s="1"/>
      <c r="J60" s="5">
        <f t="shared" ref="J60:J68" si="41">IF(H$12=0,0,H60/H$12)</f>
        <v>0</v>
      </c>
      <c r="K60" s="1"/>
      <c r="L60" s="1">
        <f t="shared" ref="L60:L68" si="42">+D60-H60</f>
        <v>0</v>
      </c>
      <c r="M60" s="1"/>
      <c r="N60" s="5">
        <f t="shared" ref="N60:N68" si="43">IF(H60=0,0,L60/H60)</f>
        <v>0</v>
      </c>
      <c r="O60" s="12"/>
      <c r="P60" s="1">
        <f>SUM(OSRRefP22_9x_0)</f>
        <v>0</v>
      </c>
      <c r="Q60" s="1"/>
      <c r="R60" s="5">
        <f t="shared" ref="R60:R68" si="44">IF(P$12=0,0,P60/P$12)</f>
        <v>0</v>
      </c>
      <c r="S60" s="1"/>
      <c r="T60" s="1">
        <f>SUM(OSRRefT22_9x_0)</f>
        <v>1180.31</v>
      </c>
      <c r="U60" s="1"/>
      <c r="V60" s="5">
        <f t="shared" ref="V60:V68" si="45">IF(T$12=0,0,T60/T$12)</f>
        <v>2.3802200169382786E-3</v>
      </c>
      <c r="W60" s="1"/>
      <c r="X60" s="1">
        <f t="shared" ref="X60:X68" si="46">+P60-T60</f>
        <v>-1180.31</v>
      </c>
      <c r="Y60" s="1"/>
      <c r="Z60" s="5">
        <f t="shared" ref="Z60:Z68" si="47">IF(T60=0,0,X60/T60)</f>
        <v>-1</v>
      </c>
    </row>
    <row r="61" spans="1:26" s="23" customFormat="1" hidden="1" outlineLevel="2" x14ac:dyDescent="0.25">
      <c r="A61" s="27"/>
      <c r="B61" s="10" t="str">
        <f>CONCATENATE("          ", "6286", " - ", "LAUNDRY EXPENSE")</f>
        <v xml:space="preserve">          6286 - LAUNDRY EXPENSE</v>
      </c>
      <c r="C61" s="10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0"/>
      <c r="P61" s="6"/>
      <c r="Q61" s="2"/>
      <c r="R61" s="7">
        <f t="shared" si="44"/>
        <v>0</v>
      </c>
      <c r="S61" s="2"/>
      <c r="T61" s="6">
        <v>1180.31</v>
      </c>
      <c r="U61" s="2"/>
      <c r="V61" s="7">
        <f t="shared" si="45"/>
        <v>2.3802200169382786E-3</v>
      </c>
      <c r="W61" s="2"/>
      <c r="X61" s="6">
        <f t="shared" si="46"/>
        <v>-1180.31</v>
      </c>
      <c r="Y61" s="2"/>
      <c r="Z61" s="7">
        <f t="shared" si="47"/>
        <v>-1</v>
      </c>
    </row>
    <row r="62" spans="1:26" s="26" customFormat="1" outlineLevel="1" collapsed="1" x14ac:dyDescent="0.25">
      <c r="A62" s="25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SUM(OSRRefD22_10x_0)</f>
        <v>0</v>
      </c>
      <c r="E62" s="1"/>
      <c r="F62" s="5">
        <f t="shared" si="40"/>
        <v>0</v>
      </c>
      <c r="G62" s="1"/>
      <c r="H62" s="1">
        <f>SUM(OSRRefH22_10x_0)</f>
        <v>493.49</v>
      </c>
      <c r="I62" s="1"/>
      <c r="J62" s="5">
        <f t="shared" si="41"/>
        <v>17.400916784203105</v>
      </c>
      <c r="K62" s="1"/>
      <c r="L62" s="1">
        <f t="shared" si="42"/>
        <v>-493.49</v>
      </c>
      <c r="M62" s="1"/>
      <c r="N62" s="5">
        <f t="shared" si="43"/>
        <v>-1</v>
      </c>
      <c r="O62" s="12"/>
      <c r="P62" s="1">
        <f>SUM(OSRRefP22_10x_0)</f>
        <v>0</v>
      </c>
      <c r="Q62" s="1"/>
      <c r="R62" s="5">
        <f t="shared" si="44"/>
        <v>0</v>
      </c>
      <c r="S62" s="1"/>
      <c r="T62" s="1">
        <f>SUM(OSRRefT22_10x_0)</f>
        <v>6469.25</v>
      </c>
      <c r="U62" s="1"/>
      <c r="V62" s="5">
        <f t="shared" si="45"/>
        <v>1.3045927209443248E-2</v>
      </c>
      <c r="W62" s="1"/>
      <c r="X62" s="1">
        <f t="shared" si="46"/>
        <v>-6469.25</v>
      </c>
      <c r="Y62" s="1"/>
      <c r="Z62" s="5">
        <f t="shared" si="47"/>
        <v>-1</v>
      </c>
    </row>
    <row r="63" spans="1:26" s="23" customFormat="1" hidden="1" outlineLevel="2" x14ac:dyDescent="0.25">
      <c r="A63" s="27"/>
      <c r="B63" s="10" t="str">
        <f>CONCATENATE("          ", "6234", " - ", "EXPENDABLE SUPPLIES &amp; EQUIPMEN")</f>
        <v xml:space="preserve">          6234 - EXPENDABLE SUPPLIES &amp; EQUIPMEN</v>
      </c>
      <c r="C63" s="10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0"/>
      <c r="P63" s="6"/>
      <c r="Q63" s="2"/>
      <c r="R63" s="7">
        <f t="shared" si="44"/>
        <v>0</v>
      </c>
      <c r="S63" s="2"/>
      <c r="T63" s="6">
        <v>354.82</v>
      </c>
      <c r="U63" s="2"/>
      <c r="V63" s="7">
        <f t="shared" si="45"/>
        <v>7.1553207751356854E-4</v>
      </c>
      <c r="W63" s="2"/>
      <c r="X63" s="6">
        <f t="shared" si="46"/>
        <v>-354.82</v>
      </c>
      <c r="Y63" s="2"/>
      <c r="Z63" s="7">
        <f t="shared" si="47"/>
        <v>-1</v>
      </c>
    </row>
    <row r="64" spans="1:26" s="23" customFormat="1" hidden="1" outlineLevel="2" x14ac:dyDescent="0.25">
      <c r="A64" s="27"/>
      <c r="B64" s="10" t="str">
        <f>CONCATENATE("          ", "6237", " - ", "JANITORIAL SUPPLIES")</f>
        <v xml:space="preserve">          6237 - JANITORIAL SUPPLIES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/>
      <c r="Q64" s="2"/>
      <c r="R64" s="7">
        <f t="shared" si="44"/>
        <v>0</v>
      </c>
      <c r="S64" s="2"/>
      <c r="T64" s="6">
        <v>151.25</v>
      </c>
      <c r="U64" s="2"/>
      <c r="V64" s="7">
        <f t="shared" si="45"/>
        <v>3.0501163047158347E-4</v>
      </c>
      <c r="W64" s="2"/>
      <c r="X64" s="6">
        <f t="shared" si="46"/>
        <v>-151.25</v>
      </c>
      <c r="Y64" s="2"/>
      <c r="Z64" s="7">
        <f t="shared" si="47"/>
        <v>-1</v>
      </c>
    </row>
    <row r="65" spans="1:26" s="23" customFormat="1" hidden="1" outlineLevel="2" x14ac:dyDescent="0.25">
      <c r="A65" s="27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40"/>
        <v>0</v>
      </c>
      <c r="G65" s="2"/>
      <c r="H65" s="6"/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0"/>
      <c r="P65" s="6"/>
      <c r="Q65" s="2"/>
      <c r="R65" s="7">
        <f t="shared" si="44"/>
        <v>0</v>
      </c>
      <c r="S65" s="2"/>
      <c r="T65" s="6">
        <v>328.56</v>
      </c>
      <c r="U65" s="2"/>
      <c r="V65" s="7">
        <f t="shared" si="45"/>
        <v>6.625760086462377E-4</v>
      </c>
      <c r="W65" s="2"/>
      <c r="X65" s="6">
        <f t="shared" si="46"/>
        <v>-328.56</v>
      </c>
      <c r="Y65" s="2"/>
      <c r="Z65" s="7">
        <f t="shared" si="47"/>
        <v>-1</v>
      </c>
    </row>
    <row r="66" spans="1:26" s="23" customFormat="1" hidden="1" outlineLevel="2" x14ac:dyDescent="0.25">
      <c r="A66" s="27"/>
      <c r="B66" s="10" t="str">
        <f>CONCATENATE("          ", "6245", " - ", "PRINTING")</f>
        <v xml:space="preserve">          6245 - PRINTING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/>
      <c r="Q66" s="2"/>
      <c r="R66" s="7">
        <f t="shared" si="44"/>
        <v>0</v>
      </c>
      <c r="S66" s="2"/>
      <c r="T66" s="6">
        <v>81.739999999999995</v>
      </c>
      <c r="U66" s="2"/>
      <c r="V66" s="7">
        <f t="shared" si="45"/>
        <v>1.6483735983303954E-4</v>
      </c>
      <c r="W66" s="2"/>
      <c r="X66" s="6">
        <f t="shared" si="46"/>
        <v>-81.739999999999995</v>
      </c>
      <c r="Y66" s="2"/>
      <c r="Z66" s="7">
        <f t="shared" si="47"/>
        <v>-1</v>
      </c>
    </row>
    <row r="67" spans="1:26" s="23" customFormat="1" hidden="1" outlineLevel="2" x14ac:dyDescent="0.25">
      <c r="A67" s="27"/>
      <c r="B67" s="10" t="str">
        <f>CONCATENATE("          ", "6247", " - ", "STORE SUPPLIES")</f>
        <v xml:space="preserve">          6247 - STORE SUPPLIES</v>
      </c>
      <c r="C67" s="10"/>
      <c r="D67" s="6"/>
      <c r="E67" s="2"/>
      <c r="F67" s="7">
        <f t="shared" si="40"/>
        <v>0</v>
      </c>
      <c r="G67" s="2"/>
      <c r="H67" s="6">
        <v>493.49</v>
      </c>
      <c r="I67" s="2"/>
      <c r="J67" s="7">
        <f t="shared" si="41"/>
        <v>17.400916784203105</v>
      </c>
      <c r="K67" s="2"/>
      <c r="L67" s="6">
        <f t="shared" si="42"/>
        <v>-493.49</v>
      </c>
      <c r="M67" s="2"/>
      <c r="N67" s="7">
        <f t="shared" si="43"/>
        <v>-1</v>
      </c>
      <c r="O67" s="10"/>
      <c r="P67" s="6"/>
      <c r="Q67" s="2"/>
      <c r="R67" s="7">
        <f t="shared" si="44"/>
        <v>0</v>
      </c>
      <c r="S67" s="2"/>
      <c r="T67" s="6">
        <v>5518.43</v>
      </c>
      <c r="U67" s="2"/>
      <c r="V67" s="7">
        <f t="shared" si="45"/>
        <v>1.1128498062435044E-2</v>
      </c>
      <c r="W67" s="2"/>
      <c r="X67" s="6">
        <f t="shared" si="46"/>
        <v>-5518.43</v>
      </c>
      <c r="Y67" s="2"/>
      <c r="Z67" s="7">
        <f t="shared" si="47"/>
        <v>-1</v>
      </c>
    </row>
    <row r="68" spans="1:26" s="23" customFormat="1" hidden="1" outlineLevel="2" x14ac:dyDescent="0.25">
      <c r="A68" s="27"/>
      <c r="B68" s="10" t="str">
        <f>CONCATENATE("          ", "6248", " - ", "UNIFORMS")</f>
        <v xml:space="preserve">          6248 - UNIFORMS</v>
      </c>
      <c r="C68" s="10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0"/>
      <c r="P68" s="6"/>
      <c r="Q68" s="2"/>
      <c r="R68" s="7">
        <f t="shared" si="44"/>
        <v>0</v>
      </c>
      <c r="S68" s="2"/>
      <c r="T68" s="6">
        <v>34.450000000000003</v>
      </c>
      <c r="U68" s="2"/>
      <c r="V68" s="7">
        <f t="shared" si="45"/>
        <v>6.9472070543775548E-5</v>
      </c>
      <c r="W68" s="2"/>
      <c r="X68" s="6">
        <f t="shared" si="46"/>
        <v>-34.450000000000003</v>
      </c>
      <c r="Y68" s="2"/>
      <c r="Z68" s="7">
        <f t="shared" si="47"/>
        <v>-1</v>
      </c>
    </row>
    <row r="69" spans="1:26" s="26" customFormat="1" outlineLevel="1" collapsed="1" x14ac:dyDescent="0.25">
      <c r="A69" s="25"/>
      <c r="B69" s="12" t="str">
        <f>CONCATENATE("     ","Telephone/Data Lines                              ")</f>
        <v xml:space="preserve">     Telephone/Data Lines                              </v>
      </c>
      <c r="C69" s="12"/>
      <c r="D69" s="1">
        <f>SUM(OSRRefD22_11x_0)</f>
        <v>83.2</v>
      </c>
      <c r="E69" s="1"/>
      <c r="F69" s="5">
        <f t="shared" ref="F69:F72" si="48">IF(D$12=0,0,D69/D$12)</f>
        <v>0</v>
      </c>
      <c r="G69" s="1"/>
      <c r="H69" s="1">
        <f>SUM(OSRRefH22_11x_0)</f>
        <v>122.1</v>
      </c>
      <c r="I69" s="1"/>
      <c r="J69" s="5">
        <f t="shared" ref="J69:J72" si="49">IF(H$12=0,0,H69/H$12)</f>
        <v>4.3053596614950633</v>
      </c>
      <c r="K69" s="1"/>
      <c r="L69" s="1">
        <f t="shared" ref="L69:L72" si="50">+D69-H69</f>
        <v>-38.899999999999991</v>
      </c>
      <c r="M69" s="1"/>
      <c r="N69" s="5">
        <f t="shared" ref="N69:N72" si="51">IF(H69=0,0,L69/H69)</f>
        <v>-0.31859131859131856</v>
      </c>
      <c r="O69" s="12"/>
      <c r="P69" s="1">
        <f>SUM(OSRRefP22_11x_0)</f>
        <v>1157.7</v>
      </c>
      <c r="Q69" s="1"/>
      <c r="R69" s="5">
        <f t="shared" ref="R69:R72" si="52">IF(P$12=0,0,P69/P$12)</f>
        <v>0</v>
      </c>
      <c r="S69" s="1"/>
      <c r="T69" s="1">
        <f>SUM(OSRRefT22_11x_0)</f>
        <v>1372.83</v>
      </c>
      <c r="U69" s="1"/>
      <c r="V69" s="5">
        <f t="shared" ref="V69:V72" si="53">IF(T$12=0,0,T69/T$12)</f>
        <v>2.7684569696549018E-3</v>
      </c>
      <c r="W69" s="1"/>
      <c r="X69" s="1">
        <f t="shared" ref="X69:X72" si="54">+P69-T69</f>
        <v>-215.12999999999988</v>
      </c>
      <c r="Y69" s="1"/>
      <c r="Z69" s="5">
        <f t="shared" ref="Z69:Z72" si="55">IF(T69=0,0,X69/T69)</f>
        <v>-0.15670549157579591</v>
      </c>
    </row>
    <row r="70" spans="1:26" s="23" customFormat="1" hidden="1" outlineLevel="2" x14ac:dyDescent="0.25">
      <c r="A70" s="27"/>
      <c r="B70" s="10" t="str">
        <f>CONCATENATE("          ", "6309", " - ", "TELEPHONE")</f>
        <v xml:space="preserve">          6309 - TELEPHONE</v>
      </c>
      <c r="C70" s="10"/>
      <c r="D70" s="6">
        <v>83.2</v>
      </c>
      <c r="E70" s="2"/>
      <c r="F70" s="7">
        <f t="shared" si="48"/>
        <v>0</v>
      </c>
      <c r="G70" s="2"/>
      <c r="H70" s="6">
        <v>122.1</v>
      </c>
      <c r="I70" s="2"/>
      <c r="J70" s="7">
        <f t="shared" si="49"/>
        <v>4.3053596614950633</v>
      </c>
      <c r="K70" s="2"/>
      <c r="L70" s="6">
        <f t="shared" si="50"/>
        <v>-38.899999999999991</v>
      </c>
      <c r="M70" s="2"/>
      <c r="N70" s="7">
        <f t="shared" si="51"/>
        <v>-0.31859131859131856</v>
      </c>
      <c r="O70" s="10"/>
      <c r="P70" s="6">
        <v>1157.7</v>
      </c>
      <c r="Q70" s="2"/>
      <c r="R70" s="7">
        <f t="shared" si="52"/>
        <v>0</v>
      </c>
      <c r="S70" s="2"/>
      <c r="T70" s="6">
        <v>1372.83</v>
      </c>
      <c r="U70" s="2"/>
      <c r="V70" s="7">
        <f t="shared" si="53"/>
        <v>2.7684569696549018E-3</v>
      </c>
      <c r="W70" s="2"/>
      <c r="X70" s="6">
        <f t="shared" si="54"/>
        <v>-215.12999999999988</v>
      </c>
      <c r="Y70" s="2"/>
      <c r="Z70" s="7">
        <f t="shared" si="55"/>
        <v>-0.15670549157579591</v>
      </c>
    </row>
    <row r="71" spans="1:26" s="26" customFormat="1" outlineLevel="1" collapsed="1" x14ac:dyDescent="0.25">
      <c r="A71" s="25"/>
      <c r="B71" s="12" t="str">
        <f>CONCATENATE("     ","Training                                          ")</f>
        <v xml:space="preserve">     Training                                          </v>
      </c>
      <c r="C71" s="12"/>
      <c r="D71" s="1">
        <f>SUM(OSRRefD22_12x_0)</f>
        <v>0</v>
      </c>
      <c r="E71" s="1"/>
      <c r="F71" s="5">
        <f t="shared" si="48"/>
        <v>0</v>
      </c>
      <c r="G71" s="1"/>
      <c r="H71" s="1">
        <f>SUM(OSRRefH22_12x_0)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2"/>
      <c r="P71" s="1">
        <f>SUM(OSRRefP22_12x_0)</f>
        <v>0</v>
      </c>
      <c r="Q71" s="1"/>
      <c r="R71" s="5">
        <f t="shared" si="52"/>
        <v>0</v>
      </c>
      <c r="S71" s="1"/>
      <c r="T71" s="1">
        <f>SUM(OSRRefT22_12x_0)</f>
        <v>96</v>
      </c>
      <c r="U71" s="1"/>
      <c r="V71" s="5">
        <f t="shared" si="53"/>
        <v>1.9359415884477363E-4</v>
      </c>
      <c r="W71" s="1"/>
      <c r="X71" s="1">
        <f t="shared" si="54"/>
        <v>-96</v>
      </c>
      <c r="Y71" s="1"/>
      <c r="Z71" s="5">
        <f t="shared" si="55"/>
        <v>-1</v>
      </c>
    </row>
    <row r="72" spans="1:26" s="23" customFormat="1" hidden="1" outlineLevel="2" x14ac:dyDescent="0.25">
      <c r="A72" s="27"/>
      <c r="B72" s="10" t="str">
        <f>CONCATENATE("          ", "6376", " - ", "TRAINING")</f>
        <v xml:space="preserve">          6376 - TRAINING</v>
      </c>
      <c r="C72" s="10"/>
      <c r="D72" s="6"/>
      <c r="E72" s="2"/>
      <c r="F72" s="7">
        <f t="shared" si="48"/>
        <v>0</v>
      </c>
      <c r="G72" s="2"/>
      <c r="H72" s="6"/>
      <c r="I72" s="2"/>
      <c r="J72" s="7">
        <f t="shared" si="49"/>
        <v>0</v>
      </c>
      <c r="K72" s="2"/>
      <c r="L72" s="6">
        <f t="shared" si="50"/>
        <v>0</v>
      </c>
      <c r="M72" s="2"/>
      <c r="N72" s="7">
        <f t="shared" si="51"/>
        <v>0</v>
      </c>
      <c r="O72" s="10"/>
      <c r="P72" s="6"/>
      <c r="Q72" s="2"/>
      <c r="R72" s="7">
        <f t="shared" si="52"/>
        <v>0</v>
      </c>
      <c r="S72" s="2"/>
      <c r="T72" s="6">
        <v>96</v>
      </c>
      <c r="U72" s="2"/>
      <c r="V72" s="7">
        <f t="shared" si="53"/>
        <v>1.9359415884477363E-4</v>
      </c>
      <c r="W72" s="2"/>
      <c r="X72" s="6">
        <f t="shared" si="54"/>
        <v>-96</v>
      </c>
      <c r="Y72" s="2"/>
      <c r="Z72" s="7">
        <f t="shared" si="55"/>
        <v>-1</v>
      </c>
    </row>
    <row r="73" spans="1:26" s="57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9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8" t="s">
        <v>276</v>
      </c>
      <c r="C76" s="28"/>
      <c r="D76" s="20">
        <f>+D25-D27+D74</f>
        <v>-83.2</v>
      </c>
      <c r="E76" s="14"/>
      <c r="F76" s="21">
        <f>IF(D$12=0,0,D76/D$12)</f>
        <v>0</v>
      </c>
      <c r="G76" s="14"/>
      <c r="H76" s="20">
        <f>+H25-H27+H74</f>
        <v>-7062.4</v>
      </c>
      <c r="I76" s="14"/>
      <c r="J76" s="21">
        <f>IF(H$12=0,0,H76/H$12)</f>
        <v>-249.0267983074753</v>
      </c>
      <c r="K76" s="15"/>
      <c r="L76" s="20">
        <f>+D76-H76</f>
        <v>6979.2</v>
      </c>
      <c r="M76" s="15"/>
      <c r="N76" s="21">
        <f>IF(H76=0,0,L76/H76)</f>
        <v>-0.98821930222020848</v>
      </c>
      <c r="O76" s="29"/>
      <c r="P76" s="20">
        <f>+P25-P27+P74</f>
        <v>-46220.57</v>
      </c>
      <c r="Q76" s="14"/>
      <c r="R76" s="21">
        <f>IF(P$12=0,0,P76/P$12)</f>
        <v>0</v>
      </c>
      <c r="S76" s="14"/>
      <c r="T76" s="20">
        <f>+T25-T27+T74</f>
        <v>64653.420000000071</v>
      </c>
      <c r="U76" s="14"/>
      <c r="V76" s="21">
        <f>IF(T$12=0,0,T76/T$12)</f>
        <v>0.13038046313893623</v>
      </c>
      <c r="W76" s="15"/>
      <c r="X76" s="20">
        <f>+P76-T76</f>
        <v>-110873.99000000008</v>
      </c>
      <c r="Y76" s="15"/>
      <c r="Z76" s="21">
        <f>IF(T76=0,0,X76/T76)</f>
        <v>-1.7148975259158752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2422.0100000000002</v>
      </c>
      <c r="I78" s="4"/>
      <c r="J78" s="13">
        <f>IF(H$12=0,0,H78/H$12)</f>
        <v>85.402327221438654</v>
      </c>
      <c r="K78" s="4"/>
      <c r="L78" s="4">
        <f>+D78-H78</f>
        <v>-2422.0100000000002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58722.720000000001</v>
      </c>
      <c r="U78" s="4"/>
      <c r="V78" s="13">
        <f>IF(T$12=0,0,T78/T$12)</f>
        <v>0.11842057899455381</v>
      </c>
      <c r="W78" s="4"/>
      <c r="X78" s="4">
        <f>+P78-T78</f>
        <v>-58722.720000000001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8" t="s">
        <v>125</v>
      </c>
      <c r="C80" s="28"/>
      <c r="D80" s="35">
        <f>+D76-D78</f>
        <v>-83.2</v>
      </c>
      <c r="E80" s="14"/>
      <c r="F80" s="36">
        <f>IF(D$12=0,0,D80/D$12)</f>
        <v>0</v>
      </c>
      <c r="G80" s="14"/>
      <c r="H80" s="35">
        <f>+H76-H78</f>
        <v>-9484.41</v>
      </c>
      <c r="I80" s="14"/>
      <c r="J80" s="36">
        <f>IF(H$12=0,0,H80/H$12)</f>
        <v>-334.42912552891397</v>
      </c>
      <c r="K80" s="15"/>
      <c r="L80" s="35">
        <f>D80-H80</f>
        <v>9401.2099999999991</v>
      </c>
      <c r="M80" s="15"/>
      <c r="N80" s="36">
        <f>IF(H80=0,0,L80/H80)</f>
        <v>-0.991227709472703</v>
      </c>
      <c r="O80" s="29"/>
      <c r="P80" s="35">
        <f>+P76-P78</f>
        <v>-46220.57</v>
      </c>
      <c r="Q80" s="14"/>
      <c r="R80" s="36">
        <f>IF(P$12=0,0,P80/P$12)</f>
        <v>0</v>
      </c>
      <c r="S80" s="14"/>
      <c r="T80" s="35">
        <f>+T76-T78</f>
        <v>5930.7000000000698</v>
      </c>
      <c r="U80" s="14"/>
      <c r="V80" s="36">
        <f>IF(T$12=0,0,T80/T$12)</f>
        <v>1.1959884144382421E-2</v>
      </c>
      <c r="W80" s="15"/>
      <c r="X80" s="35">
        <f>P80-T80</f>
        <v>-52151.27000000007</v>
      </c>
      <c r="Y80" s="15"/>
      <c r="Z80" s="36">
        <f>IF(T80=0,0,X80/T80)</f>
        <v>-8.7934425953090614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8" t="s">
        <v>293</v>
      </c>
      <c r="C83" s="28"/>
      <c r="D83" s="30">
        <f>SUM(D80:D82)</f>
        <v>-83.2</v>
      </c>
      <c r="E83" s="14"/>
      <c r="F83" s="31">
        <f>IF(D$12=0,0,D83/D$12)</f>
        <v>0</v>
      </c>
      <c r="G83" s="14"/>
      <c r="H83" s="30">
        <f>SUM(H80:H82)</f>
        <v>-9484.41</v>
      </c>
      <c r="I83" s="14"/>
      <c r="J83" s="31">
        <f>IF(H$12=0,0,H83/H$12)</f>
        <v>-334.42912552891397</v>
      </c>
      <c r="K83" s="15"/>
      <c r="L83" s="30">
        <f>+D83-H83</f>
        <v>9401.2099999999991</v>
      </c>
      <c r="M83" s="15"/>
      <c r="N83" s="31">
        <f>IF(H83=0,0,L83/H83)</f>
        <v>-0.991227709472703</v>
      </c>
      <c r="O83" s="29"/>
      <c r="P83" s="30">
        <f>SUM(P80:P82)</f>
        <v>-46220.57</v>
      </c>
      <c r="Q83" s="14"/>
      <c r="R83" s="31">
        <f>IF(P$12=0,0,P83/P$12)</f>
        <v>0</v>
      </c>
      <c r="S83" s="14"/>
      <c r="T83" s="30">
        <f>SUM(T80:T82)</f>
        <v>5930.7000000000698</v>
      </c>
      <c r="U83" s="14"/>
      <c r="V83" s="31">
        <f>IF(T$12=0,0,T83/T$12)</f>
        <v>1.1959884144382421E-2</v>
      </c>
      <c r="W83" s="15"/>
      <c r="X83" s="30">
        <f>+P83-T83</f>
        <v>-52151.27000000007</v>
      </c>
      <c r="Y83" s="15"/>
      <c r="Z83" s="31">
        <f>IF(T83=0,0,X83/T83)</f>
        <v>-8.7934425953090614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>
        <v>44356.893348032405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2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217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","321", " - ", "Corner Market")</f>
        <v>Department 321 - Corner Market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2476.4700000000003</v>
      </c>
      <c r="Q12" s="4"/>
      <c r="R12" s="13"/>
      <c r="S12" s="4"/>
      <c r="T12" s="4">
        <f>SUM(OSRRefT13x_0)</f>
        <v>281486.67000000004</v>
      </c>
      <c r="U12" s="4"/>
      <c r="V12" s="13"/>
      <c r="W12" s="4"/>
      <c r="X12" s="4">
        <f t="shared" ref="X12:X14" si="2">+P12-T12</f>
        <v>-279010.20000000007</v>
      </c>
      <c r="Y12" s="4"/>
      <c r="Z12" s="13">
        <f t="shared" ref="Z12:Z14" si="3">IF(T12=0,0,X12/T12)</f>
        <v>-0.99120217664303611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--65192.75</f>
        <v>65192.75</v>
      </c>
      <c r="U13" s="2"/>
      <c r="V13" s="19"/>
      <c r="W13" s="2"/>
      <c r="X13" s="2">
        <f t="shared" si="2"/>
        <v>-64748.160000000003</v>
      </c>
      <c r="Y13" s="2"/>
      <c r="Z13" s="19">
        <f t="shared" si="3"/>
        <v>-0.99318037665231185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--2031.88</f>
        <v>2031.88</v>
      </c>
      <c r="Q14" s="2"/>
      <c r="R14" s="19"/>
      <c r="S14" s="2"/>
      <c r="T14" s="2">
        <f>--216293.92</f>
        <v>216293.92</v>
      </c>
      <c r="U14" s="2"/>
      <c r="V14" s="19"/>
      <c r="W14" s="2"/>
      <c r="X14" s="2">
        <f t="shared" si="2"/>
        <v>-214262.04</v>
      </c>
      <c r="Y14" s="2"/>
      <c r="Z14" s="19">
        <f t="shared" si="3"/>
        <v>-0.99060593104050265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113.35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-113.35</v>
      </c>
      <c r="M16" s="4"/>
      <c r="N16" s="13">
        <f t="shared" ref="N16:N18" si="9">IF(H16=0,0,L16/H16)</f>
        <v>-1</v>
      </c>
      <c r="O16" s="11"/>
      <c r="P16" s="4">
        <f>SUM(OSRRefP16x_0)</f>
        <v>19579.73</v>
      </c>
      <c r="Q16" s="4"/>
      <c r="R16" s="13">
        <f t="shared" ref="R16:R18" si="10">IF(P$12=0,0,P16/P$12)</f>
        <v>7.9063061535169004</v>
      </c>
      <c r="S16" s="4"/>
      <c r="T16" s="4">
        <f>SUM(OSRRefT16x_0)</f>
        <v>146610.48000000001</v>
      </c>
      <c r="U16" s="4"/>
      <c r="V16" s="13">
        <f t="shared" ref="V16:V18" si="11">IF(T$12=0,0,T16/T$12)</f>
        <v>0.52084342040068887</v>
      </c>
      <c r="W16" s="4"/>
      <c r="X16" s="4">
        <f t="shared" ref="X16:X18" si="12">+P16-T16</f>
        <v>-127030.75000000001</v>
      </c>
      <c r="Y16" s="4"/>
      <c r="Z16" s="13">
        <f t="shared" ref="Z16:Z18" si="13">IF(T16=0,0,X16/T16)</f>
        <v>-0.86645067937844555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113.35</v>
      </c>
      <c r="I17" s="2"/>
      <c r="J17" s="19">
        <f t="shared" si="7"/>
        <v>0</v>
      </c>
      <c r="K17" s="2"/>
      <c r="L17" s="2">
        <f t="shared" si="8"/>
        <v>-113.35</v>
      </c>
      <c r="M17" s="2"/>
      <c r="N17" s="19">
        <f t="shared" si="9"/>
        <v>-1</v>
      </c>
      <c r="O17" s="10"/>
      <c r="P17" s="2">
        <v>0.73</v>
      </c>
      <c r="Q17" s="2"/>
      <c r="R17" s="19">
        <f t="shared" si="10"/>
        <v>2.9477441681102534E-4</v>
      </c>
      <c r="S17" s="2"/>
      <c r="T17" s="2">
        <v>133882.69</v>
      </c>
      <c r="U17" s="2"/>
      <c r="V17" s="19">
        <f t="shared" si="11"/>
        <v>0.47562710518405715</v>
      </c>
      <c r="W17" s="2"/>
      <c r="X17" s="2">
        <f t="shared" si="12"/>
        <v>-133881.96</v>
      </c>
      <c r="Y17" s="2"/>
      <c r="Z17" s="19">
        <f t="shared" si="13"/>
        <v>-0.99999454746539673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0"/>
      <c r="P18" s="2">
        <v>19579</v>
      </c>
      <c r="Q18" s="2"/>
      <c r="R18" s="19">
        <f t="shared" si="10"/>
        <v>7.9060113791000894</v>
      </c>
      <c r="S18" s="2"/>
      <c r="T18" s="2">
        <v>12727.79</v>
      </c>
      <c r="U18" s="2"/>
      <c r="V18" s="19">
        <f t="shared" si="11"/>
        <v>4.5216315216631747E-2</v>
      </c>
      <c r="W18" s="2"/>
      <c r="X18" s="2">
        <f t="shared" si="12"/>
        <v>6851.2099999999991</v>
      </c>
      <c r="Y18" s="2"/>
      <c r="Z18" s="19">
        <f t="shared" si="13"/>
        <v>0.53828747960172174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-113.35</v>
      </c>
      <c r="I20" s="14"/>
      <c r="J20" s="21">
        <f>IF(H$12=0,0,H20/H$12)</f>
        <v>0</v>
      </c>
      <c r="K20" s="15"/>
      <c r="L20" s="20">
        <f>+D20-H20</f>
        <v>113.35</v>
      </c>
      <c r="M20" s="15"/>
      <c r="N20" s="21">
        <f>IF(H20=0,0,L20/H20)</f>
        <v>-1</v>
      </c>
      <c r="O20" s="29"/>
      <c r="P20" s="20">
        <f>P12-P16</f>
        <v>-17103.259999999998</v>
      </c>
      <c r="Q20" s="14"/>
      <c r="R20" s="21">
        <f>IF(P$12=0,0,P20/P$12)</f>
        <v>-6.9063061535168995</v>
      </c>
      <c r="S20" s="14"/>
      <c r="T20" s="20">
        <f>T12-T16</f>
        <v>134876.19000000003</v>
      </c>
      <c r="U20" s="14"/>
      <c r="V20" s="21">
        <f>IF(T$12=0,0,T20/T$12)</f>
        <v>0.47915657959931107</v>
      </c>
      <c r="W20" s="15"/>
      <c r="X20" s="20">
        <f>+P20-T20</f>
        <v>-151979.45000000004</v>
      </c>
      <c r="Y20" s="15"/>
      <c r="Z20" s="21">
        <f>IF(T20=0,0,X20/T20)</f>
        <v>-1.126807111025304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630.44999999999993</v>
      </c>
      <c r="E22" s="22"/>
      <c r="F22" s="32">
        <f t="shared" ref="F22:F31" si="14">IF(D$12=0,0,D22/D$12)</f>
        <v>0</v>
      </c>
      <c r="G22" s="22"/>
      <c r="H22" s="22">
        <f>SUM(OSRRefH22x_0)</f>
        <v>1215.1599999999999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-584.70999999999992</v>
      </c>
      <c r="M22" s="4"/>
      <c r="N22" s="32">
        <f t="shared" ref="N22:N31" si="17">IF(H22=0,0,L22/H22)</f>
        <v>-0.48117943316106521</v>
      </c>
      <c r="O22" s="11"/>
      <c r="P22" s="22">
        <f>SUM(OSRRefP22x_0)</f>
        <v>41688.12999999999</v>
      </c>
      <c r="Q22" s="22"/>
      <c r="R22" s="32">
        <f t="shared" ref="R22:R31" si="18">IF(P$12=0,0,P22/P$12)</f>
        <v>16.833690696838641</v>
      </c>
      <c r="S22" s="22"/>
      <c r="T22" s="22">
        <f>SUM(OSRRefT22x_0)</f>
        <v>120942.66000000002</v>
      </c>
      <c r="U22" s="22"/>
      <c r="V22" s="32">
        <f t="shared" ref="V22:V31" si="19">IF(T$12=0,0,T22/T$12)</f>
        <v>0.42965679333945012</v>
      </c>
      <c r="W22" s="4"/>
      <c r="X22" s="22">
        <f t="shared" ref="X22:X31" si="20">+P22-T22</f>
        <v>-79254.530000000028</v>
      </c>
      <c r="Y22" s="4"/>
      <c r="Z22" s="32">
        <f t="shared" ref="Z22:Z31" si="21">IF(T22=0,0,X22/T22)</f>
        <v>-0.65530665523645681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2"/>
      <c r="P23" s="1">
        <f>SUM(OSRRefP22_0x_0)</f>
        <v>8751.99</v>
      </c>
      <c r="Q23" s="1"/>
      <c r="R23" s="5">
        <f t="shared" si="18"/>
        <v>3.5340585591588023</v>
      </c>
      <c r="S23" s="1"/>
      <c r="T23" s="1">
        <f>SUM(OSRRefT22_0x_0)</f>
        <v>10263.029999999999</v>
      </c>
      <c r="U23" s="1"/>
      <c r="V23" s="5">
        <f t="shared" si="19"/>
        <v>3.646009240863874E-2</v>
      </c>
      <c r="W23" s="1"/>
      <c r="X23" s="1">
        <f t="shared" si="20"/>
        <v>-1511.0399999999991</v>
      </c>
      <c r="Y23" s="1"/>
      <c r="Z23" s="5">
        <f t="shared" si="21"/>
        <v>-0.14723137319095814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0"/>
      <c r="P24" s="6">
        <v>1667.09</v>
      </c>
      <c r="Q24" s="2"/>
      <c r="R24" s="7">
        <f t="shared" si="18"/>
        <v>0.67317189386505782</v>
      </c>
      <c r="S24" s="2"/>
      <c r="T24" s="6">
        <v>2418.25</v>
      </c>
      <c r="U24" s="2"/>
      <c r="V24" s="7">
        <f t="shared" si="19"/>
        <v>8.5909929589205753E-3</v>
      </c>
      <c r="W24" s="2"/>
      <c r="X24" s="6">
        <f t="shared" si="20"/>
        <v>-751.16000000000008</v>
      </c>
      <c r="Y24" s="2"/>
      <c r="Z24" s="7">
        <f t="shared" si="21"/>
        <v>-0.31062131706812779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>
        <v>331.61</v>
      </c>
      <c r="Q25" s="2"/>
      <c r="R25" s="7">
        <f t="shared" si="18"/>
        <v>0.13390430734069056</v>
      </c>
      <c r="S25" s="2"/>
      <c r="T25" s="6">
        <v>874.82</v>
      </c>
      <c r="U25" s="2"/>
      <c r="V25" s="7">
        <f t="shared" si="19"/>
        <v>3.1078558711146072E-3</v>
      </c>
      <c r="W25" s="2"/>
      <c r="X25" s="6">
        <f t="shared" si="20"/>
        <v>-543.21</v>
      </c>
      <c r="Y25" s="2"/>
      <c r="Z25" s="7">
        <f t="shared" si="21"/>
        <v>-0.62093916462815213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0"/>
      <c r="P26" s="6">
        <v>3385.22</v>
      </c>
      <c r="Q26" s="2"/>
      <c r="R26" s="7">
        <f t="shared" si="18"/>
        <v>1.366953768872629</v>
      </c>
      <c r="S26" s="2"/>
      <c r="T26" s="6">
        <v>4676.5</v>
      </c>
      <c r="U26" s="2"/>
      <c r="V26" s="7">
        <f t="shared" si="19"/>
        <v>1.6613575342661873E-2</v>
      </c>
      <c r="W26" s="2"/>
      <c r="X26" s="6">
        <f t="shared" si="20"/>
        <v>-1291.2800000000002</v>
      </c>
      <c r="Y26" s="2"/>
      <c r="Z26" s="7">
        <f t="shared" si="21"/>
        <v>-0.27612103068534166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/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0"/>
      <c r="P27" s="6">
        <v>62.01</v>
      </c>
      <c r="Q27" s="2"/>
      <c r="R27" s="7">
        <f t="shared" si="18"/>
        <v>2.5039673406098192E-2</v>
      </c>
      <c r="S27" s="2"/>
      <c r="T27" s="6">
        <v>125.59</v>
      </c>
      <c r="U27" s="2"/>
      <c r="V27" s="7">
        <f t="shared" si="19"/>
        <v>4.4616677585478554E-4</v>
      </c>
      <c r="W27" s="2"/>
      <c r="X27" s="6">
        <f t="shared" si="20"/>
        <v>-63.580000000000005</v>
      </c>
      <c r="Y27" s="2"/>
      <c r="Z27" s="7">
        <f t="shared" si="21"/>
        <v>-0.50625049765108687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>
        <v>1254.1099999999999</v>
      </c>
      <c r="Q28" s="2"/>
      <c r="R28" s="7">
        <f t="shared" si="18"/>
        <v>0.50641033406421232</v>
      </c>
      <c r="S28" s="2"/>
      <c r="T28" s="6">
        <v>670.55</v>
      </c>
      <c r="U28" s="2"/>
      <c r="V28" s="7">
        <f t="shared" si="19"/>
        <v>2.3821731949154107E-3</v>
      </c>
      <c r="W28" s="2"/>
      <c r="X28" s="6">
        <f t="shared" si="20"/>
        <v>583.55999999999995</v>
      </c>
      <c r="Y28" s="2"/>
      <c r="Z28" s="7">
        <f t="shared" si="21"/>
        <v>0.87027067332786512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>
        <v>958.88</v>
      </c>
      <c r="Q29" s="2"/>
      <c r="R29" s="7">
        <f t="shared" si="18"/>
        <v>0.38719629149555612</v>
      </c>
      <c r="S29" s="2"/>
      <c r="T29" s="6">
        <v>1098.8</v>
      </c>
      <c r="U29" s="2"/>
      <c r="V29" s="7">
        <f t="shared" si="19"/>
        <v>3.9035596250437004E-3</v>
      </c>
      <c r="W29" s="2"/>
      <c r="X29" s="6">
        <f t="shared" si="20"/>
        <v>-139.91999999999996</v>
      </c>
      <c r="Y29" s="2"/>
      <c r="Z29" s="7">
        <f t="shared" si="21"/>
        <v>-0.12733891518019655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>
        <v>767.52</v>
      </c>
      <c r="Q30" s="2"/>
      <c r="R30" s="7">
        <f t="shared" si="18"/>
        <v>0.30992501423397006</v>
      </c>
      <c r="S30" s="2"/>
      <c r="T30" s="6">
        <v>398.52</v>
      </c>
      <c r="U30" s="2"/>
      <c r="V30" s="7">
        <f t="shared" si="19"/>
        <v>1.4157686401277897E-3</v>
      </c>
      <c r="W30" s="2"/>
      <c r="X30" s="6">
        <f t="shared" si="20"/>
        <v>369</v>
      </c>
      <c r="Y30" s="2"/>
      <c r="Z30" s="7">
        <f t="shared" si="21"/>
        <v>0.92592592592592593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>
        <v>325.55</v>
      </c>
      <c r="Q31" s="2"/>
      <c r="R31" s="7">
        <f t="shared" si="18"/>
        <v>0.13145727588058809</v>
      </c>
      <c r="S31" s="2"/>
      <c r="T31" s="6"/>
      <c r="U31" s="2"/>
      <c r="V31" s="7">
        <f t="shared" si="19"/>
        <v>0</v>
      </c>
      <c r="W31" s="2"/>
      <c r="X31" s="6">
        <f t="shared" si="20"/>
        <v>325.55</v>
      </c>
      <c r="Y31" s="2"/>
      <c r="Z31" s="7">
        <f t="shared" si="21"/>
        <v>0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0</v>
      </c>
      <c r="I32" s="1"/>
      <c r="J32" s="5">
        <f t="shared" ref="J32:J37" si="23">IF(H$12=0,0,H32/H$12)</f>
        <v>0</v>
      </c>
      <c r="K32" s="1"/>
      <c r="L32" s="1">
        <f t="shared" ref="L32:L37" si="24">+D32-H32</f>
        <v>0</v>
      </c>
      <c r="M32" s="1"/>
      <c r="N32" s="5">
        <f t="shared" ref="N32:N37" si="25">IF(H32=0,0,L32/H32)</f>
        <v>0</v>
      </c>
      <c r="O32" s="12"/>
      <c r="P32" s="1">
        <f>SUM(OSRRefP22_1x_0)</f>
        <v>15859.96</v>
      </c>
      <c r="Q32" s="1"/>
      <c r="R32" s="5">
        <f t="shared" ref="R32:R37" si="26">IF(P$12=0,0,P32/P$12)</f>
        <v>6.404260903624917</v>
      </c>
      <c r="S32" s="1"/>
      <c r="T32" s="1">
        <f>SUM(OSRRefT22_1x_0)</f>
        <v>51305.1</v>
      </c>
      <c r="U32" s="1"/>
      <c r="V32" s="5">
        <f t="shared" ref="V32:V37" si="27">IF(T$12=0,0,T32/T$12)</f>
        <v>0.18226475875394024</v>
      </c>
      <c r="W32" s="1"/>
      <c r="X32" s="1">
        <f t="shared" ref="X32:X37" si="28">+P32-T32</f>
        <v>-35445.14</v>
      </c>
      <c r="Y32" s="1"/>
      <c r="Z32" s="5">
        <f t="shared" ref="Z32:Z37" si="29">IF(T32=0,0,X32/T32)</f>
        <v>-0.69086971860497304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>
        <v>13728</v>
      </c>
      <c r="Q33" s="2"/>
      <c r="R33" s="7">
        <f t="shared" si="26"/>
        <v>5.5433742383311726</v>
      </c>
      <c r="S33" s="2"/>
      <c r="T33" s="6">
        <v>10272</v>
      </c>
      <c r="U33" s="2"/>
      <c r="V33" s="7">
        <f t="shared" si="27"/>
        <v>3.6491958926509728E-2</v>
      </c>
      <c r="W33" s="2"/>
      <c r="X33" s="6">
        <f t="shared" si="28"/>
        <v>3456</v>
      </c>
      <c r="Y33" s="2"/>
      <c r="Z33" s="7">
        <f t="shared" si="29"/>
        <v>0.3364485981308411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>
        <v>2131.96</v>
      </c>
      <c r="Q34" s="2"/>
      <c r="R34" s="7">
        <f t="shared" si="26"/>
        <v>0.86088666529374469</v>
      </c>
      <c r="S34" s="2"/>
      <c r="T34" s="6">
        <v>3822.17</v>
      </c>
      <c r="U34" s="2"/>
      <c r="V34" s="7">
        <f t="shared" si="27"/>
        <v>1.3578511550831162E-2</v>
      </c>
      <c r="W34" s="2"/>
      <c r="X34" s="6">
        <f t="shared" si="28"/>
        <v>-1690.21</v>
      </c>
      <c r="Y34" s="2"/>
      <c r="Z34" s="7">
        <f t="shared" si="29"/>
        <v>-0.44221214650316443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13120.47</v>
      </c>
      <c r="U35" s="2"/>
      <c r="V35" s="7">
        <f t="shared" si="27"/>
        <v>4.6611336870765491E-2</v>
      </c>
      <c r="W35" s="2"/>
      <c r="X35" s="6">
        <f t="shared" si="28"/>
        <v>-13120.47</v>
      </c>
      <c r="Y35" s="2"/>
      <c r="Z35" s="7">
        <f t="shared" si="29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>
        <v>0</v>
      </c>
      <c r="Q36" s="2"/>
      <c r="R36" s="7">
        <f t="shared" si="26"/>
        <v>0</v>
      </c>
      <c r="S36" s="2"/>
      <c r="T36" s="6">
        <v>23036.15</v>
      </c>
      <c r="U36" s="2"/>
      <c r="V36" s="7">
        <f t="shared" si="27"/>
        <v>8.1837445446350965E-2</v>
      </c>
      <c r="W36" s="2"/>
      <c r="X36" s="6">
        <f t="shared" si="28"/>
        <v>-23036.15</v>
      </c>
      <c r="Y36" s="2"/>
      <c r="Z36" s="7">
        <f t="shared" si="29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1054.31</v>
      </c>
      <c r="U37" s="2"/>
      <c r="V37" s="7">
        <f t="shared" si="27"/>
        <v>3.7455059594829121E-3</v>
      </c>
      <c r="W37" s="2"/>
      <c r="X37" s="6">
        <f t="shared" si="28"/>
        <v>-1054.31</v>
      </c>
      <c r="Y37" s="2"/>
      <c r="Z37" s="7">
        <f t="shared" si="29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0">IF(D$12=0,0,D38/D$12)</f>
        <v>0</v>
      </c>
      <c r="G38" s="1"/>
      <c r="H38" s="1">
        <f>SUM(OSRRefH22_2x_0)</f>
        <v>0</v>
      </c>
      <c r="I38" s="1"/>
      <c r="J38" s="5">
        <f t="shared" ref="J38:J51" si="31">IF(H$12=0,0,H38/H$12)</f>
        <v>0</v>
      </c>
      <c r="K38" s="1"/>
      <c r="L38" s="1">
        <f t="shared" ref="L38:L51" si="32">+D38-H38</f>
        <v>0</v>
      </c>
      <c r="M38" s="1"/>
      <c r="N38" s="5">
        <f t="shared" ref="N38:N51" si="33">IF(H38=0,0,L38/H38)</f>
        <v>0</v>
      </c>
      <c r="O38" s="12"/>
      <c r="P38" s="1">
        <f>SUM(OSRRefP22_2x_0)</f>
        <v>0</v>
      </c>
      <c r="Q38" s="1"/>
      <c r="R38" s="5">
        <f t="shared" ref="R38:R51" si="34">IF(P$12=0,0,P38/P$12)</f>
        <v>0</v>
      </c>
      <c r="S38" s="1"/>
      <c r="T38" s="1">
        <f>SUM(OSRRefT22_2x_0)</f>
        <v>2.4900000000000002</v>
      </c>
      <c r="U38" s="1"/>
      <c r="V38" s="5">
        <f t="shared" ref="V38:V51" si="35">IF(T$12=0,0,T38/T$12)</f>
        <v>8.8458895762275348E-6</v>
      </c>
      <c r="W38" s="1"/>
      <c r="X38" s="1">
        <f t="shared" ref="X38:X51" si="36">+P38-T38</f>
        <v>-2.4900000000000002</v>
      </c>
      <c r="Y38" s="1"/>
      <c r="Z38" s="5">
        <f t="shared" ref="Z38:Z51" si="37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/>
      <c r="Q39" s="2"/>
      <c r="R39" s="7">
        <f t="shared" si="34"/>
        <v>0</v>
      </c>
      <c r="S39" s="2"/>
      <c r="T39" s="6">
        <v>2.4900000000000002</v>
      </c>
      <c r="U39" s="2"/>
      <c r="V39" s="7">
        <f t="shared" si="35"/>
        <v>8.8458895762275348E-6</v>
      </c>
      <c r="W39" s="2"/>
      <c r="X39" s="6">
        <f t="shared" si="36"/>
        <v>-2.4900000000000002</v>
      </c>
      <c r="Y39" s="2"/>
      <c r="Z39" s="7">
        <f t="shared" si="37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2"/>
      <c r="P40" s="1">
        <f>SUM(OSRRefP22_3x_0)</f>
        <v>3.31</v>
      </c>
      <c r="Q40" s="1"/>
      <c r="R40" s="5">
        <f t="shared" si="34"/>
        <v>1.3365798899239642E-3</v>
      </c>
      <c r="S40" s="1"/>
      <c r="T40" s="1">
        <f>SUM(OSRRefT22_3x_0)</f>
        <v>-74.03</v>
      </c>
      <c r="U40" s="1"/>
      <c r="V40" s="5">
        <f t="shared" si="35"/>
        <v>-2.6299646800326276E-4</v>
      </c>
      <c r="W40" s="1"/>
      <c r="X40" s="1">
        <f t="shared" si="36"/>
        <v>77.34</v>
      </c>
      <c r="Y40" s="1"/>
      <c r="Z40" s="5">
        <f t="shared" si="37"/>
        <v>-1.0447116034040254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0"/>
      <c r="P41" s="6">
        <v>3.31</v>
      </c>
      <c r="Q41" s="2"/>
      <c r="R41" s="7">
        <f t="shared" si="34"/>
        <v>1.3365798899239642E-3</v>
      </c>
      <c r="S41" s="2"/>
      <c r="T41" s="6">
        <v>-74.03</v>
      </c>
      <c r="U41" s="2"/>
      <c r="V41" s="7">
        <f t="shared" si="35"/>
        <v>-2.6299646800326276E-4</v>
      </c>
      <c r="W41" s="2"/>
      <c r="X41" s="6">
        <f t="shared" si="36"/>
        <v>77.34</v>
      </c>
      <c r="Y41" s="2"/>
      <c r="Z41" s="7">
        <f t="shared" si="37"/>
        <v>-1.0447116034040254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99.95</v>
      </c>
      <c r="E42" s="1"/>
      <c r="F42" s="5">
        <f t="shared" si="30"/>
        <v>0</v>
      </c>
      <c r="G42" s="1"/>
      <c r="H42" s="1">
        <f>SUM(OSRRefH22_4x_0)</f>
        <v>0</v>
      </c>
      <c r="I42" s="1"/>
      <c r="J42" s="5">
        <f t="shared" si="31"/>
        <v>0</v>
      </c>
      <c r="K42" s="1"/>
      <c r="L42" s="1">
        <f t="shared" si="32"/>
        <v>99.95</v>
      </c>
      <c r="M42" s="1"/>
      <c r="N42" s="5">
        <f t="shared" si="33"/>
        <v>0</v>
      </c>
      <c r="O42" s="12"/>
      <c r="P42" s="1">
        <f>SUM(OSRRefP22_4x_0)</f>
        <v>1673.08</v>
      </c>
      <c r="Q42" s="1"/>
      <c r="R42" s="5">
        <f t="shared" si="34"/>
        <v>0.67559065928519213</v>
      </c>
      <c r="S42" s="1"/>
      <c r="T42" s="1">
        <f>SUM(OSRRefT22_4x_0)</f>
        <v>10703.22</v>
      </c>
      <c r="U42" s="1"/>
      <c r="V42" s="5">
        <f t="shared" si="35"/>
        <v>3.802389647793978E-2</v>
      </c>
      <c r="W42" s="1"/>
      <c r="X42" s="1">
        <f t="shared" si="36"/>
        <v>-9030.14</v>
      </c>
      <c r="Y42" s="1"/>
      <c r="Z42" s="5">
        <f t="shared" si="37"/>
        <v>-0.84368442393971155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>
        <v>99.95</v>
      </c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99.95</v>
      </c>
      <c r="M43" s="2"/>
      <c r="N43" s="7">
        <f t="shared" si="33"/>
        <v>0</v>
      </c>
      <c r="O43" s="10"/>
      <c r="P43" s="6">
        <v>1673.08</v>
      </c>
      <c r="Q43" s="2"/>
      <c r="R43" s="7">
        <f t="shared" si="34"/>
        <v>0.67559065928519213</v>
      </c>
      <c r="S43" s="2"/>
      <c r="T43" s="6">
        <v>10703.22</v>
      </c>
      <c r="U43" s="2"/>
      <c r="V43" s="7">
        <f t="shared" si="35"/>
        <v>3.802389647793978E-2</v>
      </c>
      <c r="W43" s="2"/>
      <c r="X43" s="6">
        <f t="shared" si="36"/>
        <v>-9030.14</v>
      </c>
      <c r="Y43" s="2"/>
      <c r="Z43" s="7">
        <f t="shared" si="37"/>
        <v>-0.84368442393971155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1075.3699999999999</v>
      </c>
      <c r="E44" s="1"/>
      <c r="F44" s="5">
        <f t="shared" si="30"/>
        <v>0</v>
      </c>
      <c r="G44" s="1"/>
      <c r="H44" s="1">
        <f>SUM(OSRRefH22_5x_0)</f>
        <v>1075.3699999999999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2"/>
      <c r="P44" s="1">
        <f>SUM(OSRRefP22_5x_0)</f>
        <v>11829.07</v>
      </c>
      <c r="Q44" s="1"/>
      <c r="R44" s="5">
        <f t="shared" si="34"/>
        <v>4.7765852200915004</v>
      </c>
      <c r="S44" s="1"/>
      <c r="T44" s="1">
        <f>SUM(OSRRefT22_5x_0)</f>
        <v>10976.99</v>
      </c>
      <c r="U44" s="1"/>
      <c r="V44" s="5">
        <f t="shared" si="35"/>
        <v>3.8996482497732479E-2</v>
      </c>
      <c r="W44" s="1"/>
      <c r="X44" s="1">
        <f t="shared" si="36"/>
        <v>852.07999999999993</v>
      </c>
      <c r="Y44" s="1"/>
      <c r="Z44" s="5">
        <f t="shared" si="37"/>
        <v>7.7624193881929371E-2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1075.3699999999999</v>
      </c>
      <c r="E45" s="2"/>
      <c r="F45" s="7">
        <f t="shared" si="30"/>
        <v>0</v>
      </c>
      <c r="G45" s="2"/>
      <c r="H45" s="6">
        <v>1075.3699999999999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>
        <v>11829.07</v>
      </c>
      <c r="Q45" s="2"/>
      <c r="R45" s="7">
        <f t="shared" si="34"/>
        <v>4.7765852200915004</v>
      </c>
      <c r="S45" s="2"/>
      <c r="T45" s="6">
        <v>10976.99</v>
      </c>
      <c r="U45" s="2"/>
      <c r="V45" s="7">
        <f t="shared" si="35"/>
        <v>3.8996482497732479E-2</v>
      </c>
      <c r="W45" s="2"/>
      <c r="X45" s="6">
        <f t="shared" si="36"/>
        <v>852.07999999999993</v>
      </c>
      <c r="Y45" s="2"/>
      <c r="Z45" s="7">
        <f t="shared" si="37"/>
        <v>7.7624193881929371E-2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-646.37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-646.37</v>
      </c>
      <c r="M46" s="1"/>
      <c r="N46" s="5">
        <f t="shared" si="33"/>
        <v>0</v>
      </c>
      <c r="O46" s="12"/>
      <c r="P46" s="1">
        <f>SUM(OSRRefP22_6x_0)</f>
        <v>1138.94</v>
      </c>
      <c r="Q46" s="1"/>
      <c r="R46" s="5">
        <f t="shared" si="34"/>
        <v>0.4599046223051359</v>
      </c>
      <c r="S46" s="1"/>
      <c r="T46" s="1">
        <f>SUM(OSRRefT22_6x_0)</f>
        <v>1356.19</v>
      </c>
      <c r="U46" s="1"/>
      <c r="V46" s="5">
        <f t="shared" si="35"/>
        <v>4.8179546122024174E-3</v>
      </c>
      <c r="W46" s="1"/>
      <c r="X46" s="1">
        <f t="shared" si="36"/>
        <v>-217.25</v>
      </c>
      <c r="Y46" s="1"/>
      <c r="Z46" s="5">
        <f t="shared" si="37"/>
        <v>-0.16019141860653743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>
        <v>-646.37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-646.37</v>
      </c>
      <c r="M47" s="2"/>
      <c r="N47" s="7">
        <f t="shared" si="33"/>
        <v>0</v>
      </c>
      <c r="O47" s="10"/>
      <c r="P47" s="6">
        <v>1138.94</v>
      </c>
      <c r="Q47" s="2"/>
      <c r="R47" s="7">
        <f t="shared" si="34"/>
        <v>0.4599046223051359</v>
      </c>
      <c r="S47" s="2"/>
      <c r="T47" s="6">
        <v>1356.19</v>
      </c>
      <c r="U47" s="2"/>
      <c r="V47" s="7">
        <f t="shared" si="35"/>
        <v>4.8179546122024174E-3</v>
      </c>
      <c r="W47" s="2"/>
      <c r="X47" s="6">
        <f t="shared" si="36"/>
        <v>-217.25</v>
      </c>
      <c r="Y47" s="2"/>
      <c r="Z47" s="7">
        <f t="shared" si="37"/>
        <v>-0.16019141860653743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2"/>
      <c r="P48" s="1">
        <f>SUM(OSRRefP22_7x_0)</f>
        <v>540.85</v>
      </c>
      <c r="Q48" s="1"/>
      <c r="R48" s="5">
        <f t="shared" si="34"/>
        <v>0.21839553881129187</v>
      </c>
      <c r="S48" s="1"/>
      <c r="T48" s="1">
        <f>SUM(OSRRefT22_7x_0)</f>
        <v>1665.12</v>
      </c>
      <c r="U48" s="1"/>
      <c r="V48" s="5">
        <f t="shared" si="35"/>
        <v>5.9154488558907587E-3</v>
      </c>
      <c r="W48" s="1"/>
      <c r="X48" s="1">
        <f t="shared" si="36"/>
        <v>-1124.27</v>
      </c>
      <c r="Y48" s="1"/>
      <c r="Z48" s="5">
        <f t="shared" si="37"/>
        <v>-0.67518857499759777</v>
      </c>
    </row>
    <row r="49" spans="1:26" s="23" customFormat="1" hidden="1" outlineLevel="2" x14ac:dyDescent="0.25">
      <c r="A49" s="27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0"/>
      <c r="P49" s="6"/>
      <c r="Q49" s="2"/>
      <c r="R49" s="7">
        <f t="shared" si="34"/>
        <v>0</v>
      </c>
      <c r="S49" s="2"/>
      <c r="T49" s="6">
        <v>437.31</v>
      </c>
      <c r="U49" s="2"/>
      <c r="V49" s="7">
        <f t="shared" si="35"/>
        <v>1.5535726789478164E-3</v>
      </c>
      <c r="W49" s="2"/>
      <c r="X49" s="6">
        <f t="shared" si="36"/>
        <v>-437.31</v>
      </c>
      <c r="Y49" s="2"/>
      <c r="Z49" s="7">
        <f t="shared" si="37"/>
        <v>-1</v>
      </c>
    </row>
    <row r="50" spans="1:26" s="23" customFormat="1" hidden="1" outlineLevel="2" x14ac:dyDescent="0.25">
      <c r="A50" s="27"/>
      <c r="B50" s="10" t="str">
        <f>CONCATENATE("          ", "6373", " - ", "MAINTENANCE CONTRACTS")</f>
        <v xml:space="preserve">          6373 - MAINTENANCE CONTRACTS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>
        <v>223.29</v>
      </c>
      <c r="Q50" s="2"/>
      <c r="R50" s="7">
        <f t="shared" si="34"/>
        <v>9.0164629492786086E-2</v>
      </c>
      <c r="S50" s="2"/>
      <c r="T50" s="6">
        <v>141.44999999999999</v>
      </c>
      <c r="U50" s="2"/>
      <c r="V50" s="7">
        <f t="shared" si="35"/>
        <v>5.025104741194315E-4</v>
      </c>
      <c r="W50" s="2"/>
      <c r="X50" s="6">
        <f t="shared" si="36"/>
        <v>81.84</v>
      </c>
      <c r="Y50" s="2"/>
      <c r="Z50" s="7">
        <f t="shared" si="37"/>
        <v>0.57857900318133626</v>
      </c>
    </row>
    <row r="51" spans="1:26" s="23" customFormat="1" hidden="1" outlineLevel="2" x14ac:dyDescent="0.25">
      <c r="A51" s="27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0"/>
      <c r="P51" s="6">
        <v>317.56</v>
      </c>
      <c r="Q51" s="2"/>
      <c r="R51" s="7">
        <f t="shared" si="34"/>
        <v>0.12823090931850575</v>
      </c>
      <c r="S51" s="2"/>
      <c r="T51" s="6">
        <v>1086.3599999999999</v>
      </c>
      <c r="U51" s="2"/>
      <c r="V51" s="7">
        <f t="shared" si="35"/>
        <v>3.8593657028235112E-3</v>
      </c>
      <c r="W51" s="2"/>
      <c r="X51" s="6">
        <f t="shared" si="36"/>
        <v>-768.8</v>
      </c>
      <c r="Y51" s="2"/>
      <c r="Z51" s="7">
        <f t="shared" si="37"/>
        <v>-0.70768437718619981</v>
      </c>
    </row>
    <row r="52" spans="1:26" s="26" customFormat="1" outlineLevel="1" collapsed="1" x14ac:dyDescent="0.25">
      <c r="A52" s="25"/>
      <c r="B52" s="12" t="str">
        <f>CONCATENATE("     ","Royalty &amp; Commissions                             ")</f>
        <v xml:space="preserve">     Royalty &amp; Commissions                             </v>
      </c>
      <c r="C52" s="12"/>
      <c r="D52" s="1">
        <f>SUM(OSRRefD22_8x_0)</f>
        <v>0</v>
      </c>
      <c r="E52" s="1"/>
      <c r="F52" s="5">
        <f t="shared" ref="F52:F57" si="38">IF(D$12=0,0,D52/D$12)</f>
        <v>0</v>
      </c>
      <c r="G52" s="1"/>
      <c r="H52" s="1">
        <f>SUM(OSRRefH22_8x_0)</f>
        <v>0</v>
      </c>
      <c r="I52" s="1"/>
      <c r="J52" s="5">
        <f t="shared" ref="J52:J57" si="39">IF(H$12=0,0,H52/H$12)</f>
        <v>0</v>
      </c>
      <c r="K52" s="1"/>
      <c r="L52" s="1">
        <f t="shared" ref="L52:L57" si="40">+D52-H52</f>
        <v>0</v>
      </c>
      <c r="M52" s="1"/>
      <c r="N52" s="5">
        <f t="shared" ref="N52:N57" si="41">IF(H52=0,0,L52/H52)</f>
        <v>0</v>
      </c>
      <c r="O52" s="12"/>
      <c r="P52" s="1">
        <f>SUM(OSRRefP22_8x_0)</f>
        <v>185.7</v>
      </c>
      <c r="Q52" s="1"/>
      <c r="R52" s="5">
        <f t="shared" ref="R52:R57" si="42">IF(P$12=0,0,P52/P$12)</f>
        <v>7.4985766029873155E-2</v>
      </c>
      <c r="S52" s="1"/>
      <c r="T52" s="1">
        <f>SUM(OSRRefT22_8x_0)</f>
        <v>24556.14</v>
      </c>
      <c r="U52" s="1"/>
      <c r="V52" s="5">
        <f t="shared" ref="V52:V57" si="43">IF(T$12=0,0,T52/T$12)</f>
        <v>8.7237310384893171E-2</v>
      </c>
      <c r="W52" s="1"/>
      <c r="X52" s="1">
        <f t="shared" ref="X52:X57" si="44">+P52-T52</f>
        <v>-24370.44</v>
      </c>
      <c r="Y52" s="1"/>
      <c r="Z52" s="5">
        <f t="shared" ref="Z52:Z57" si="45">IF(T52=0,0,X52/T52)</f>
        <v>-0.99243773654979972</v>
      </c>
    </row>
    <row r="53" spans="1:26" s="23" customFormat="1" hidden="1" outlineLevel="2" x14ac:dyDescent="0.25">
      <c r="A53" s="27"/>
      <c r="B53" s="10" t="str">
        <f>CONCATENATE("          ", "6254", " - ", "ROYALTY &amp; COMMISSIONS")</f>
        <v xml:space="preserve">          6254 - ROYALTY &amp; COMMISSIONS</v>
      </c>
      <c r="C53" s="10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0"/>
      <c r="P53" s="6">
        <v>185.7</v>
      </c>
      <c r="Q53" s="2"/>
      <c r="R53" s="7">
        <f t="shared" si="42"/>
        <v>7.4985766029873155E-2</v>
      </c>
      <c r="S53" s="2"/>
      <c r="T53" s="6">
        <v>24556.14</v>
      </c>
      <c r="U53" s="2"/>
      <c r="V53" s="7">
        <f t="shared" si="43"/>
        <v>8.7237310384893171E-2</v>
      </c>
      <c r="W53" s="2"/>
      <c r="X53" s="6">
        <f t="shared" si="44"/>
        <v>-24370.44</v>
      </c>
      <c r="Y53" s="2"/>
      <c r="Z53" s="7">
        <f t="shared" si="45"/>
        <v>-0.99243773654979972</v>
      </c>
    </row>
    <row r="54" spans="1:26" s="26" customFormat="1" outlineLevel="1" collapsed="1" x14ac:dyDescent="0.25">
      <c r="A54" s="25"/>
      <c r="B54" s="12" t="str">
        <f>CONCATENATE("     ","Services                                          ")</f>
        <v xml:space="preserve">     Services                                          </v>
      </c>
      <c r="C54" s="12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24.22</v>
      </c>
      <c r="I54" s="1"/>
      <c r="J54" s="5">
        <f t="shared" si="39"/>
        <v>0</v>
      </c>
      <c r="K54" s="1"/>
      <c r="L54" s="1">
        <f t="shared" si="40"/>
        <v>-24.22</v>
      </c>
      <c r="M54" s="1"/>
      <c r="N54" s="5">
        <f t="shared" si="41"/>
        <v>-1</v>
      </c>
      <c r="O54" s="12"/>
      <c r="P54" s="1">
        <f>SUM(OSRRefP22_9x_0)</f>
        <v>-63.319999999999993</v>
      </c>
      <c r="Q54" s="1"/>
      <c r="R54" s="5">
        <f t="shared" si="42"/>
        <v>-2.556865215407414E-2</v>
      </c>
      <c r="S54" s="1"/>
      <c r="T54" s="1">
        <f>SUM(OSRRefT22_9x_0)</f>
        <v>1919.3999999999999</v>
      </c>
      <c r="U54" s="1"/>
      <c r="V54" s="5">
        <f t="shared" si="43"/>
        <v>6.8187953624944285E-3</v>
      </c>
      <c r="W54" s="1"/>
      <c r="X54" s="1">
        <f t="shared" si="44"/>
        <v>-1982.7199999999998</v>
      </c>
      <c r="Y54" s="1"/>
      <c r="Z54" s="5">
        <f t="shared" si="45"/>
        <v>-1.0329894758778784</v>
      </c>
    </row>
    <row r="55" spans="1:26" s="23" customFormat="1" hidden="1" outlineLevel="2" x14ac:dyDescent="0.25">
      <c r="A55" s="27"/>
      <c r="B55" s="10" t="str">
        <f>CONCATENATE("          ", "6282", " - ", "JANITORIAL/EXTERMINATOR EXPENS")</f>
        <v xml:space="preserve">          6282 - JANITORIAL/EXTERMINATOR EXPENS</v>
      </c>
      <c r="C55" s="10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0"/>
      <c r="P55" s="6">
        <v>82</v>
      </c>
      <c r="Q55" s="2"/>
      <c r="R55" s="7">
        <f t="shared" si="42"/>
        <v>3.3111646819868598E-2</v>
      </c>
      <c r="S55" s="2"/>
      <c r="T55" s="6">
        <v>328</v>
      </c>
      <c r="U55" s="2"/>
      <c r="V55" s="7">
        <f t="shared" si="43"/>
        <v>1.1652416791175224E-3</v>
      </c>
      <c r="W55" s="2"/>
      <c r="X55" s="6">
        <f t="shared" si="44"/>
        <v>-246</v>
      </c>
      <c r="Y55" s="2"/>
      <c r="Z55" s="7">
        <f t="shared" si="45"/>
        <v>-0.75</v>
      </c>
    </row>
    <row r="56" spans="1:26" s="23" customFormat="1" hidden="1" outlineLevel="2" x14ac:dyDescent="0.25">
      <c r="A56" s="27"/>
      <c r="B56" s="10" t="str">
        <f>CONCATENATE("          ", "6285", " - ", "JANITORIAL SERVICES")</f>
        <v xml:space="preserve">          6285 - JANITORIAL SERVICES</v>
      </c>
      <c r="C56" s="10"/>
      <c r="D56" s="6"/>
      <c r="E56" s="2"/>
      <c r="F56" s="7">
        <f t="shared" si="38"/>
        <v>0</v>
      </c>
      <c r="G56" s="2"/>
      <c r="H56" s="6">
        <v>24.22</v>
      </c>
      <c r="I56" s="2"/>
      <c r="J56" s="7">
        <f t="shared" si="39"/>
        <v>0</v>
      </c>
      <c r="K56" s="2"/>
      <c r="L56" s="6">
        <f t="shared" si="40"/>
        <v>-24.22</v>
      </c>
      <c r="M56" s="2"/>
      <c r="N56" s="7">
        <f t="shared" si="41"/>
        <v>-1</v>
      </c>
      <c r="O56" s="10"/>
      <c r="P56" s="6">
        <v>-145.32</v>
      </c>
      <c r="Q56" s="2"/>
      <c r="R56" s="7">
        <f t="shared" si="42"/>
        <v>-5.8680298973942738E-2</v>
      </c>
      <c r="S56" s="2"/>
      <c r="T56" s="6">
        <v>256.82</v>
      </c>
      <c r="U56" s="2"/>
      <c r="V56" s="7">
        <f t="shared" si="43"/>
        <v>9.1237002448464057E-4</v>
      </c>
      <c r="W56" s="2"/>
      <c r="X56" s="6">
        <f t="shared" si="44"/>
        <v>-402.14</v>
      </c>
      <c r="Y56" s="2"/>
      <c r="Z56" s="7">
        <f t="shared" si="45"/>
        <v>-1.5658437816369442</v>
      </c>
    </row>
    <row r="57" spans="1:26" s="23" customFormat="1" hidden="1" outlineLevel="2" x14ac:dyDescent="0.25">
      <c r="A57" s="27"/>
      <c r="B57" s="10" t="str">
        <f>CONCATENATE("          ", "6286", " - ", "LAUNDRY EXPENSE")</f>
        <v xml:space="preserve">          6286 - LAUNDRY EXPENSE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1334.58</v>
      </c>
      <c r="U57" s="2"/>
      <c r="V57" s="7">
        <f t="shared" si="43"/>
        <v>4.7411836588922658E-3</v>
      </c>
      <c r="W57" s="2"/>
      <c r="X57" s="6">
        <f t="shared" si="44"/>
        <v>-1334.58</v>
      </c>
      <c r="Y57" s="2"/>
      <c r="Z57" s="7">
        <f t="shared" si="45"/>
        <v>-1</v>
      </c>
    </row>
    <row r="58" spans="1:26" s="26" customFormat="1" outlineLevel="1" collapsed="1" x14ac:dyDescent="0.25">
      <c r="A58" s="25"/>
      <c r="B58" s="12" t="str">
        <f>CONCATENATE("     ","Supplies                                          ")</f>
        <v xml:space="preserve">     Supplies                                          </v>
      </c>
      <c r="C58" s="12"/>
      <c r="D58" s="1">
        <f>SUM(OSRRefD22_10x_0)</f>
        <v>0</v>
      </c>
      <c r="E58" s="1"/>
      <c r="F58" s="5">
        <f t="shared" ref="F58:F63" si="46">IF(D$12=0,0,D58/D$12)</f>
        <v>0</v>
      </c>
      <c r="G58" s="1"/>
      <c r="H58" s="1">
        <f>SUM(OSRRefH22_10x_0)</f>
        <v>41.07</v>
      </c>
      <c r="I58" s="1"/>
      <c r="J58" s="5">
        <f t="shared" ref="J58:J63" si="47">IF(H$12=0,0,H58/H$12)</f>
        <v>0</v>
      </c>
      <c r="K58" s="1"/>
      <c r="L58" s="1">
        <f t="shared" ref="L58:L63" si="48">+D58-H58</f>
        <v>-41.07</v>
      </c>
      <c r="M58" s="1"/>
      <c r="N58" s="5">
        <f t="shared" ref="N58:N63" si="49">IF(H58=0,0,L58/H58)</f>
        <v>-1</v>
      </c>
      <c r="O58" s="12"/>
      <c r="P58" s="1">
        <f>SUM(OSRRefP22_10x_0)</f>
        <v>328.55</v>
      </c>
      <c r="Q58" s="1"/>
      <c r="R58" s="5">
        <f t="shared" ref="R58:R63" si="50">IF(P$12=0,0,P58/P$12)</f>
        <v>0.13266867759351011</v>
      </c>
      <c r="S58" s="1"/>
      <c r="T58" s="1">
        <f>SUM(OSRRefT22_10x_0)</f>
        <v>7668.1800000000012</v>
      </c>
      <c r="U58" s="1"/>
      <c r="V58" s="5">
        <f t="shared" ref="V58:V63" si="51">IF(T$12=0,0,T58/T$12)</f>
        <v>2.7241716277364041E-2</v>
      </c>
      <c r="W58" s="1"/>
      <c r="X58" s="1">
        <f t="shared" ref="X58:X63" si="52">+P58-T58</f>
        <v>-7339.630000000001</v>
      </c>
      <c r="Y58" s="1"/>
      <c r="Z58" s="5">
        <f t="shared" ref="Z58:Z63" si="53">IF(T58=0,0,X58/T58)</f>
        <v>-0.95715410958010894</v>
      </c>
    </row>
    <row r="59" spans="1:26" s="23" customFormat="1" hidden="1" outlineLevel="2" x14ac:dyDescent="0.25">
      <c r="A59" s="27"/>
      <c r="B59" s="10" t="str">
        <f>CONCATENATE("          ", "6234", " - ", "EXPENDABLE SUPPLIES &amp; EQUIPMEN")</f>
        <v xml:space="preserve">          6234 - EXPENDABLE SUPPLIES &amp; EQUIPMEN</v>
      </c>
      <c r="C59" s="10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0"/>
      <c r="P59" s="6"/>
      <c r="Q59" s="2"/>
      <c r="R59" s="7">
        <f t="shared" si="50"/>
        <v>0</v>
      </c>
      <c r="S59" s="2"/>
      <c r="T59" s="6">
        <v>354.71</v>
      </c>
      <c r="U59" s="2"/>
      <c r="V59" s="7">
        <f t="shared" si="51"/>
        <v>1.2601307195115135E-3</v>
      </c>
      <c r="W59" s="2"/>
      <c r="X59" s="6">
        <f t="shared" si="52"/>
        <v>-354.71</v>
      </c>
      <c r="Y59" s="2"/>
      <c r="Z59" s="7">
        <f t="shared" si="53"/>
        <v>-1</v>
      </c>
    </row>
    <row r="60" spans="1:26" s="23" customFormat="1" hidden="1" outlineLevel="2" x14ac:dyDescent="0.25">
      <c r="A60" s="27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>
        <v>207.27</v>
      </c>
      <c r="Q60" s="2"/>
      <c r="R60" s="7">
        <f t="shared" si="50"/>
        <v>8.3695744345782502E-2</v>
      </c>
      <c r="S60" s="2"/>
      <c r="T60" s="6"/>
      <c r="U60" s="2"/>
      <c r="V60" s="7">
        <f t="shared" si="51"/>
        <v>0</v>
      </c>
      <c r="W60" s="2"/>
      <c r="X60" s="6">
        <f t="shared" si="52"/>
        <v>207.27</v>
      </c>
      <c r="Y60" s="2"/>
      <c r="Z60" s="7">
        <f t="shared" si="53"/>
        <v>0</v>
      </c>
    </row>
    <row r="61" spans="1:26" s="23" customFormat="1" hidden="1" outlineLevel="2" x14ac:dyDescent="0.25">
      <c r="A61" s="27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0"/>
      <c r="P61" s="6"/>
      <c r="Q61" s="2"/>
      <c r="R61" s="7">
        <f t="shared" si="50"/>
        <v>0</v>
      </c>
      <c r="S61" s="2"/>
      <c r="T61" s="6">
        <v>38.56</v>
      </c>
      <c r="U61" s="2"/>
      <c r="V61" s="7">
        <f t="shared" si="51"/>
        <v>1.369869486182063E-4</v>
      </c>
      <c r="W61" s="2"/>
      <c r="X61" s="6">
        <f t="shared" si="52"/>
        <v>-38.56</v>
      </c>
      <c r="Y61" s="2"/>
      <c r="Z61" s="7">
        <f t="shared" si="53"/>
        <v>-1</v>
      </c>
    </row>
    <row r="62" spans="1:26" s="23" customFormat="1" hidden="1" outlineLevel="2" x14ac:dyDescent="0.25">
      <c r="A62" s="27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>
        <v>121.28</v>
      </c>
      <c r="Q62" s="2"/>
      <c r="R62" s="7">
        <f t="shared" si="50"/>
        <v>4.8972933247727606E-2</v>
      </c>
      <c r="S62" s="2"/>
      <c r="T62" s="6">
        <v>7192.77</v>
      </c>
      <c r="U62" s="2"/>
      <c r="V62" s="7">
        <f t="shared" si="51"/>
        <v>2.5552790830201656E-2</v>
      </c>
      <c r="W62" s="2"/>
      <c r="X62" s="6">
        <f t="shared" si="52"/>
        <v>-7071.4900000000007</v>
      </c>
      <c r="Y62" s="2"/>
      <c r="Z62" s="7">
        <f t="shared" si="53"/>
        <v>-0.98313862392374574</v>
      </c>
    </row>
    <row r="63" spans="1:26" s="23" customFormat="1" hidden="1" outlineLevel="2" x14ac:dyDescent="0.25">
      <c r="A63" s="27"/>
      <c r="B63" s="10" t="str">
        <f>CONCATENATE("          ", "6248", " - ", "UNIFORMS")</f>
        <v xml:space="preserve">          6248 - UNIFORMS</v>
      </c>
      <c r="C63" s="10"/>
      <c r="D63" s="6"/>
      <c r="E63" s="2"/>
      <c r="F63" s="7">
        <f t="shared" si="46"/>
        <v>0</v>
      </c>
      <c r="G63" s="2"/>
      <c r="H63" s="6">
        <v>41.07</v>
      </c>
      <c r="I63" s="2"/>
      <c r="J63" s="7">
        <f t="shared" si="47"/>
        <v>0</v>
      </c>
      <c r="K63" s="2"/>
      <c r="L63" s="6">
        <f t="shared" si="48"/>
        <v>-41.07</v>
      </c>
      <c r="M63" s="2"/>
      <c r="N63" s="7">
        <f t="shared" si="49"/>
        <v>-1</v>
      </c>
      <c r="O63" s="10"/>
      <c r="P63" s="6"/>
      <c r="Q63" s="2"/>
      <c r="R63" s="7">
        <f t="shared" si="50"/>
        <v>0</v>
      </c>
      <c r="S63" s="2"/>
      <c r="T63" s="6">
        <v>82.14</v>
      </c>
      <c r="U63" s="2"/>
      <c r="V63" s="7">
        <f t="shared" si="51"/>
        <v>2.9180777903266248E-4</v>
      </c>
      <c r="W63" s="2"/>
      <c r="X63" s="6">
        <f t="shared" si="52"/>
        <v>-82.14</v>
      </c>
      <c r="Y63" s="2"/>
      <c r="Z63" s="7">
        <f t="shared" si="53"/>
        <v>-1</v>
      </c>
    </row>
    <row r="64" spans="1:26" s="26" customFormat="1" outlineLevel="1" collapsed="1" x14ac:dyDescent="0.25">
      <c r="A64" s="25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SUM(OSRRefD22_11x_0)</f>
        <v>51.5</v>
      </c>
      <c r="E64" s="1"/>
      <c r="F64" s="5">
        <f t="shared" ref="F64:F67" si="54">IF(D$12=0,0,D64/D$12)</f>
        <v>0</v>
      </c>
      <c r="G64" s="1"/>
      <c r="H64" s="1">
        <f>SUM(OSRRefH22_11x_0)</f>
        <v>51.5</v>
      </c>
      <c r="I64" s="1"/>
      <c r="J64" s="5">
        <f t="shared" ref="J64:J67" si="55">IF(H$12=0,0,H64/H$12)</f>
        <v>0</v>
      </c>
      <c r="K64" s="1"/>
      <c r="L64" s="1">
        <f t="shared" ref="L64:L67" si="56">+D64-H64</f>
        <v>0</v>
      </c>
      <c r="M64" s="1"/>
      <c r="N64" s="5">
        <f t="shared" ref="N64:N67" si="57">IF(H64=0,0,L64/H64)</f>
        <v>0</v>
      </c>
      <c r="O64" s="12"/>
      <c r="P64" s="1">
        <f>SUM(OSRRefP22_11x_0)</f>
        <v>890</v>
      </c>
      <c r="Q64" s="1"/>
      <c r="R64" s="5">
        <f t="shared" ref="R64:R67" si="58">IF(P$12=0,0,P64/P$12)</f>
        <v>0.35938250816686651</v>
      </c>
      <c r="S64" s="1"/>
      <c r="T64" s="1">
        <f>SUM(OSRRefT22_11x_0)</f>
        <v>628.09</v>
      </c>
      <c r="U64" s="1"/>
      <c r="V64" s="5">
        <f t="shared" ref="V64:V67" si="59">IF(T$12=0,0,T64/T$12)</f>
        <v>2.2313312385272097E-3</v>
      </c>
      <c r="W64" s="1"/>
      <c r="X64" s="1">
        <f t="shared" ref="X64:X67" si="60">+P64-T64</f>
        <v>261.90999999999997</v>
      </c>
      <c r="Y64" s="1"/>
      <c r="Z64" s="5">
        <f t="shared" ref="Z64:Z67" si="61">IF(T64=0,0,X64/T64)</f>
        <v>0.4169943797863363</v>
      </c>
    </row>
    <row r="65" spans="1:26" s="23" customFormat="1" hidden="1" outlineLevel="2" x14ac:dyDescent="0.25">
      <c r="A65" s="27"/>
      <c r="B65" s="10" t="str">
        <f>CONCATENATE("          ", "6309", " - ", "TELEPHONE")</f>
        <v xml:space="preserve">          6309 - TELEPHONE</v>
      </c>
      <c r="C65" s="10"/>
      <c r="D65" s="6">
        <v>51.5</v>
      </c>
      <c r="E65" s="2"/>
      <c r="F65" s="7">
        <f t="shared" si="54"/>
        <v>0</v>
      </c>
      <c r="G65" s="2"/>
      <c r="H65" s="6">
        <v>51.5</v>
      </c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0"/>
      <c r="P65" s="6">
        <v>890</v>
      </c>
      <c r="Q65" s="2"/>
      <c r="R65" s="7">
        <f t="shared" si="58"/>
        <v>0.35938250816686651</v>
      </c>
      <c r="S65" s="2"/>
      <c r="T65" s="6">
        <v>628.09</v>
      </c>
      <c r="U65" s="2"/>
      <c r="V65" s="7">
        <f t="shared" si="59"/>
        <v>2.2313312385272097E-3</v>
      </c>
      <c r="W65" s="2"/>
      <c r="X65" s="6">
        <f t="shared" si="60"/>
        <v>261.90999999999997</v>
      </c>
      <c r="Y65" s="2"/>
      <c r="Z65" s="7">
        <f t="shared" si="61"/>
        <v>0.4169943797863363</v>
      </c>
    </row>
    <row r="66" spans="1:26" s="26" customFormat="1" outlineLevel="1" collapsed="1" x14ac:dyDescent="0.25">
      <c r="A66" s="25"/>
      <c r="B66" s="12" t="str">
        <f>CONCATENATE("     ","Utilities                                         ")</f>
        <v xml:space="preserve">     Utilities                                         </v>
      </c>
      <c r="C66" s="12"/>
      <c r="D66" s="1">
        <f>SUM(OSRRefD22_12x_0)</f>
        <v>50</v>
      </c>
      <c r="E66" s="1"/>
      <c r="F66" s="5">
        <f t="shared" si="54"/>
        <v>0</v>
      </c>
      <c r="G66" s="1"/>
      <c r="H66" s="1">
        <f>SUM(OSRRefH22_12x_0)</f>
        <v>23</v>
      </c>
      <c r="I66" s="1"/>
      <c r="J66" s="5">
        <f t="shared" si="55"/>
        <v>0</v>
      </c>
      <c r="K66" s="1"/>
      <c r="L66" s="1">
        <f t="shared" si="56"/>
        <v>27</v>
      </c>
      <c r="M66" s="1"/>
      <c r="N66" s="5">
        <f t="shared" si="57"/>
        <v>1.173913043478261</v>
      </c>
      <c r="O66" s="12"/>
      <c r="P66" s="1">
        <f>SUM(OSRRefP22_12x_0)</f>
        <v>550</v>
      </c>
      <c r="Q66" s="1"/>
      <c r="R66" s="5">
        <f t="shared" si="58"/>
        <v>0.22209031403570403</v>
      </c>
      <c r="S66" s="1"/>
      <c r="T66" s="1">
        <f>SUM(OSRRefT22_12x_0)</f>
        <v>-27.26</v>
      </c>
      <c r="U66" s="1"/>
      <c r="V66" s="5">
        <f t="shared" si="59"/>
        <v>-9.6842951746169714E-5</v>
      </c>
      <c r="W66" s="1"/>
      <c r="X66" s="1">
        <f t="shared" si="60"/>
        <v>577.26</v>
      </c>
      <c r="Y66" s="1"/>
      <c r="Z66" s="5">
        <f t="shared" si="61"/>
        <v>-21.176082171680115</v>
      </c>
    </row>
    <row r="67" spans="1:26" s="23" customFormat="1" hidden="1" outlineLevel="2" x14ac:dyDescent="0.25">
      <c r="A67" s="27"/>
      <c r="B67" s="10" t="str">
        <f>CONCATENATE("          ", "6274", " - ", "UTILITIES")</f>
        <v xml:space="preserve">          6274 - UTILITIES</v>
      </c>
      <c r="C67" s="10"/>
      <c r="D67" s="6">
        <v>50</v>
      </c>
      <c r="E67" s="2"/>
      <c r="F67" s="7">
        <f t="shared" si="54"/>
        <v>0</v>
      </c>
      <c r="G67" s="2"/>
      <c r="H67" s="6">
        <v>23</v>
      </c>
      <c r="I67" s="2"/>
      <c r="J67" s="7">
        <f t="shared" si="55"/>
        <v>0</v>
      </c>
      <c r="K67" s="2"/>
      <c r="L67" s="6">
        <f t="shared" si="56"/>
        <v>27</v>
      </c>
      <c r="M67" s="2"/>
      <c r="N67" s="7">
        <f t="shared" si="57"/>
        <v>1.173913043478261</v>
      </c>
      <c r="O67" s="10"/>
      <c r="P67" s="6">
        <v>550</v>
      </c>
      <c r="Q67" s="2"/>
      <c r="R67" s="7">
        <f t="shared" si="58"/>
        <v>0.22209031403570403</v>
      </c>
      <c r="S67" s="2"/>
      <c r="T67" s="6">
        <v>-27.26</v>
      </c>
      <c r="U67" s="2"/>
      <c r="V67" s="7">
        <f t="shared" si="59"/>
        <v>-9.6842951746169714E-5</v>
      </c>
      <c r="W67" s="2"/>
      <c r="X67" s="6">
        <f t="shared" si="60"/>
        <v>577.26</v>
      </c>
      <c r="Y67" s="2"/>
      <c r="Z67" s="7">
        <f t="shared" si="61"/>
        <v>-21.176082171680115</v>
      </c>
    </row>
    <row r="68" spans="1:26" s="57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4" customFormat="1" x14ac:dyDescent="0.25">
      <c r="A69" s="11"/>
      <c r="B69" s="29" t="s">
        <v>292</v>
      </c>
      <c r="C69" s="11"/>
      <c r="D69" s="4">
        <f>SUM(0)</f>
        <v>0</v>
      </c>
      <c r="E69" s="4"/>
      <c r="F69" s="13">
        <f>IF(D$12=0,0,D69/D$12)</f>
        <v>0</v>
      </c>
      <c r="G69" s="4"/>
      <c r="H69" s="4">
        <f>SUM(0)</f>
        <v>0</v>
      </c>
      <c r="I69" s="4"/>
      <c r="J69" s="13">
        <f>IF(H$12=0,0,H69/H$12)</f>
        <v>0</v>
      </c>
      <c r="K69" s="4"/>
      <c r="L69" s="4">
        <f>+D69-H69</f>
        <v>0</v>
      </c>
      <c r="M69" s="4"/>
      <c r="N69" s="13">
        <f>IF(H69=0,0,L69/H69)</f>
        <v>0</v>
      </c>
      <c r="O69" s="11"/>
      <c r="P69" s="4">
        <f>SUM(0)</f>
        <v>0</v>
      </c>
      <c r="Q69" s="4"/>
      <c r="R69" s="13">
        <f>IF(P$12=0,0,P69/P$12)</f>
        <v>0</v>
      </c>
      <c r="S69" s="4"/>
      <c r="T69" s="4">
        <f>SUM(0)</f>
        <v>0</v>
      </c>
      <c r="U69" s="4"/>
      <c r="V69" s="13">
        <f>IF(T$12=0,0,T69/T$12)</f>
        <v>0</v>
      </c>
      <c r="W69" s="4"/>
      <c r="X69" s="4">
        <f>+P69-T69</f>
        <v>0</v>
      </c>
      <c r="Y69" s="4"/>
      <c r="Z69" s="13">
        <f>IF(T69=0,0,X69/T69)</f>
        <v>0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8" t="s">
        <v>276</v>
      </c>
      <c r="C71" s="28"/>
      <c r="D71" s="20">
        <f>+D20-D22+D69</f>
        <v>-630.44999999999993</v>
      </c>
      <c r="E71" s="14"/>
      <c r="F71" s="21">
        <f>IF(D$12=0,0,D71/D$12)</f>
        <v>0</v>
      </c>
      <c r="G71" s="14"/>
      <c r="H71" s="20">
        <f>+H20-H22+H69</f>
        <v>-1328.5099999999998</v>
      </c>
      <c r="I71" s="14"/>
      <c r="J71" s="21">
        <f>IF(H$12=0,0,H71/H$12)</f>
        <v>0</v>
      </c>
      <c r="K71" s="15"/>
      <c r="L71" s="20">
        <f>+D71-H71</f>
        <v>698.05999999999983</v>
      </c>
      <c r="M71" s="15"/>
      <c r="N71" s="21">
        <f>IF(H71=0,0,L71/H71)</f>
        <v>-0.52544580018215892</v>
      </c>
      <c r="O71" s="29"/>
      <c r="P71" s="20">
        <f>+P20-P22+P69</f>
        <v>-58791.389999999985</v>
      </c>
      <c r="Q71" s="14"/>
      <c r="R71" s="21">
        <f>IF(P$12=0,0,P71/P$12)</f>
        <v>-23.739996850355539</v>
      </c>
      <c r="S71" s="14"/>
      <c r="T71" s="20">
        <f>+T20-T22+T69</f>
        <v>13933.530000000013</v>
      </c>
      <c r="U71" s="14"/>
      <c r="V71" s="21">
        <f>IF(T$12=0,0,T71/T$12)</f>
        <v>4.9499786259860942E-2</v>
      </c>
      <c r="W71" s="15"/>
      <c r="X71" s="20">
        <f>+P71-T71</f>
        <v>-72724.92</v>
      </c>
      <c r="Y71" s="15"/>
      <c r="Z71" s="21">
        <f>IF(T71=0,0,X71/T71)</f>
        <v>-5.2194181948149483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>
        <v>11.11</v>
      </c>
      <c r="E73" s="4"/>
      <c r="F73" s="13">
        <f>IF(D$12=0,0,D73/D$12)</f>
        <v>0</v>
      </c>
      <c r="G73" s="4"/>
      <c r="H73" s="4">
        <v>1373.01</v>
      </c>
      <c r="I73" s="4"/>
      <c r="J73" s="13">
        <f>IF(H$12=0,0,H73/H$12)</f>
        <v>0</v>
      </c>
      <c r="K73" s="4"/>
      <c r="L73" s="4">
        <f>+D73-H73</f>
        <v>-1361.9</v>
      </c>
      <c r="M73" s="4"/>
      <c r="N73" s="13">
        <f>IF(H73=0,0,L73/H73)</f>
        <v>-0.99190828908747941</v>
      </c>
      <c r="O73" s="11"/>
      <c r="P73" s="4">
        <v>529.20000000000005</v>
      </c>
      <c r="Q73" s="4"/>
      <c r="R73" s="13">
        <f>IF(P$12=0,0,P73/P$12)</f>
        <v>0.2136912621594447</v>
      </c>
      <c r="S73" s="4"/>
      <c r="T73" s="4">
        <v>33333.81</v>
      </c>
      <c r="U73" s="4"/>
      <c r="V73" s="13">
        <f>IF(T$12=0,0,T73/T$12)</f>
        <v>0.11842056321885507</v>
      </c>
      <c r="W73" s="4"/>
      <c r="X73" s="4">
        <f>+P73-T73</f>
        <v>-32804.61</v>
      </c>
      <c r="Y73" s="4"/>
      <c r="Z73" s="13">
        <f>IF(T73=0,0,X73/T73)</f>
        <v>-0.98412422702355362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125</v>
      </c>
      <c r="C75" s="28"/>
      <c r="D75" s="35">
        <f>+D71-D73</f>
        <v>-641.55999999999995</v>
      </c>
      <c r="E75" s="14"/>
      <c r="F75" s="36">
        <f>IF(D$12=0,0,D75/D$12)</f>
        <v>0</v>
      </c>
      <c r="G75" s="14"/>
      <c r="H75" s="35">
        <f>+H71-H73</f>
        <v>-2701.5199999999995</v>
      </c>
      <c r="I75" s="14"/>
      <c r="J75" s="36">
        <f>IF(H$12=0,0,H75/H$12)</f>
        <v>0</v>
      </c>
      <c r="K75" s="15"/>
      <c r="L75" s="35">
        <f>D75-H75</f>
        <v>2059.9599999999996</v>
      </c>
      <c r="M75" s="15"/>
      <c r="N75" s="36">
        <f>IF(H75=0,0,L75/H75)</f>
        <v>-0.76251887826112708</v>
      </c>
      <c r="O75" s="29"/>
      <c r="P75" s="35">
        <f>+P71-P73</f>
        <v>-59320.589999999982</v>
      </c>
      <c r="Q75" s="14"/>
      <c r="R75" s="36">
        <f>IF(P$12=0,0,P75/P$12)</f>
        <v>-23.953688112514982</v>
      </c>
      <c r="S75" s="14"/>
      <c r="T75" s="35">
        <f>+T71-T73</f>
        <v>-19400.279999999984</v>
      </c>
      <c r="U75" s="14"/>
      <c r="V75" s="36">
        <f>IF(T$12=0,0,T75/T$12)</f>
        <v>-6.8920776958994123E-2</v>
      </c>
      <c r="W75" s="15"/>
      <c r="X75" s="35">
        <f>P75-T75</f>
        <v>-39920.31</v>
      </c>
      <c r="Y75" s="15"/>
      <c r="Z75" s="36">
        <f>IF(T75=0,0,X75/T75)</f>
        <v>2.0577182391181998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293</v>
      </c>
      <c r="C78" s="28"/>
      <c r="D78" s="30">
        <f>SUM(D75:D77)</f>
        <v>-641.55999999999995</v>
      </c>
      <c r="E78" s="14"/>
      <c r="F78" s="31">
        <f>IF(D$12=0,0,D78/D$12)</f>
        <v>0</v>
      </c>
      <c r="G78" s="14"/>
      <c r="H78" s="30">
        <f>SUM(H75:H77)</f>
        <v>-2701.5199999999995</v>
      </c>
      <c r="I78" s="14"/>
      <c r="J78" s="31">
        <f>IF(H$12=0,0,H78/H$12)</f>
        <v>0</v>
      </c>
      <c r="K78" s="15"/>
      <c r="L78" s="30">
        <f>+D78-H78</f>
        <v>2059.9599999999996</v>
      </c>
      <c r="M78" s="15"/>
      <c r="N78" s="31">
        <f>IF(H78=0,0,L78/H78)</f>
        <v>-0.76251887826112708</v>
      </c>
      <c r="O78" s="29"/>
      <c r="P78" s="30">
        <f>SUM(P75:P77)</f>
        <v>-59320.589999999982</v>
      </c>
      <c r="Q78" s="14"/>
      <c r="R78" s="31">
        <f>IF(P$12=0,0,P78/P$12)</f>
        <v>-23.953688112514982</v>
      </c>
      <c r="S78" s="14"/>
      <c r="T78" s="30">
        <f>SUM(T75:T77)</f>
        <v>-19400.279999999984</v>
      </c>
      <c r="U78" s="14"/>
      <c r="V78" s="31">
        <f>IF(T$12=0,0,T78/T$12)</f>
        <v>-6.8920776958994123E-2</v>
      </c>
      <c r="W78" s="15"/>
      <c r="X78" s="30">
        <f>+P78-T78</f>
        <v>-39920.31</v>
      </c>
      <c r="Y78" s="15"/>
      <c r="Z78" s="31">
        <f>IF(T78=0,0,X78/T78)</f>
        <v>2.0577182391181998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9">
        <v>44356.893348032405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2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","322", " - ", "Beach Hut")</f>
        <v>Department 322 - Beach Hut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689915.82</v>
      </c>
      <c r="U12" s="4"/>
      <c r="V12" s="13"/>
      <c r="W12" s="4"/>
      <c r="X12" s="4">
        <f t="shared" ref="X12:X14" si="2">+P12-T12</f>
        <v>-689915.82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--85250.21</f>
        <v>85250.21</v>
      </c>
      <c r="U13" s="2"/>
      <c r="V13" s="19"/>
      <c r="W13" s="2"/>
      <c r="X13" s="2">
        <f t="shared" si="2"/>
        <v>-85250.21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--604665.61</f>
        <v>604665.61</v>
      </c>
      <c r="U14" s="2"/>
      <c r="V14" s="19"/>
      <c r="W14" s="2"/>
      <c r="X14" s="2">
        <f t="shared" si="2"/>
        <v>-604665.61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-62.34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62.34</v>
      </c>
      <c r="M16" s="4"/>
      <c r="N16" s="13">
        <f t="shared" ref="N16:N18" si="10">IF(H16=0,0,L16/H16)</f>
        <v>-1</v>
      </c>
      <c r="O16" s="11"/>
      <c r="P16" s="4">
        <f>SUM(OSRRefP16x_0)</f>
        <v>-1222.33</v>
      </c>
      <c r="Q16" s="4"/>
      <c r="R16" s="13">
        <f t="shared" ref="R16:R18" si="11">IF(P$12=0,0,P16/P$12)</f>
        <v>0</v>
      </c>
      <c r="S16" s="4"/>
      <c r="T16" s="4">
        <f>SUM(OSRRefT16x_0)</f>
        <v>393216.82</v>
      </c>
      <c r="U16" s="4"/>
      <c r="V16" s="13">
        <f t="shared" ref="V16:V18" si="12">IF(T$12=0,0,T16/T$12)</f>
        <v>0.5699489830512946</v>
      </c>
      <c r="W16" s="4"/>
      <c r="X16" s="4">
        <f t="shared" ref="X16:X18" si="13">+P16-T16</f>
        <v>-394439.15</v>
      </c>
      <c r="Y16" s="4"/>
      <c r="Z16" s="13">
        <f t="shared" ref="Z16:Z18" si="14">IF(T16=0,0,X16/T16)</f>
        <v>-1.0031085394566794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-62.34</v>
      </c>
      <c r="I17" s="2"/>
      <c r="J17" s="19">
        <f t="shared" si="8"/>
        <v>0</v>
      </c>
      <c r="K17" s="2"/>
      <c r="L17" s="2">
        <f t="shared" si="9"/>
        <v>62.34</v>
      </c>
      <c r="M17" s="2"/>
      <c r="N17" s="19">
        <f t="shared" si="10"/>
        <v>-1</v>
      </c>
      <c r="O17" s="10"/>
      <c r="P17" s="2">
        <v>-1222.33</v>
      </c>
      <c r="Q17" s="2"/>
      <c r="R17" s="19">
        <f t="shared" si="11"/>
        <v>0</v>
      </c>
      <c r="S17" s="2"/>
      <c r="T17" s="2">
        <v>367064.24</v>
      </c>
      <c r="U17" s="2"/>
      <c r="V17" s="19">
        <f t="shared" si="12"/>
        <v>0.53204206855265335</v>
      </c>
      <c r="W17" s="2"/>
      <c r="X17" s="2">
        <f t="shared" si="13"/>
        <v>-368286.57</v>
      </c>
      <c r="Y17" s="2"/>
      <c r="Z17" s="19">
        <f t="shared" si="14"/>
        <v>-1.0033300165660377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26152.58</v>
      </c>
      <c r="U18" s="2"/>
      <c r="V18" s="19">
        <f t="shared" si="12"/>
        <v>3.7906914498641302E-2</v>
      </c>
      <c r="W18" s="2"/>
      <c r="X18" s="2">
        <f t="shared" si="13"/>
        <v>-26152.58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62.34</v>
      </c>
      <c r="I20" s="14"/>
      <c r="J20" s="21">
        <f>IF(H$12=0,0,H20/H$12)</f>
        <v>0</v>
      </c>
      <c r="K20" s="15"/>
      <c r="L20" s="20">
        <f>+D20-H20</f>
        <v>-62.34</v>
      </c>
      <c r="M20" s="15"/>
      <c r="N20" s="21">
        <f>IF(H20=0,0,L20/H20)</f>
        <v>-1</v>
      </c>
      <c r="O20" s="29"/>
      <c r="P20" s="20">
        <f>P12-P16</f>
        <v>1222.33</v>
      </c>
      <c r="Q20" s="14"/>
      <c r="R20" s="21">
        <f>IF(P$12=0,0,P20/P$12)</f>
        <v>0</v>
      </c>
      <c r="S20" s="14"/>
      <c r="T20" s="20">
        <f>T12-T16</f>
        <v>296698.99999999994</v>
      </c>
      <c r="U20" s="14"/>
      <c r="V20" s="21">
        <f>IF(T$12=0,0,T20/T$12)</f>
        <v>0.43005101694870534</v>
      </c>
      <c r="W20" s="15"/>
      <c r="X20" s="20">
        <f>+P20-T20</f>
        <v>-295476.66999999993</v>
      </c>
      <c r="Y20" s="15"/>
      <c r="Z20" s="21">
        <f>IF(T20=0,0,X20/T20)</f>
        <v>-0.99588023552489213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2225.34</v>
      </c>
      <c r="E22" s="22"/>
      <c r="F22" s="32">
        <f t="shared" ref="F22:F31" si="15">IF(D$12=0,0,D22/D$12)</f>
        <v>0</v>
      </c>
      <c r="G22" s="22"/>
      <c r="H22" s="22">
        <f>SUM(OSRRefH22x_0)</f>
        <v>8909.3500000000022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-6684.010000000002</v>
      </c>
      <c r="M22" s="4"/>
      <c r="N22" s="32">
        <f t="shared" ref="N22:N31" si="18">IF(H22=0,0,L22/H22)</f>
        <v>-0.75022420266349399</v>
      </c>
      <c r="O22" s="11"/>
      <c r="P22" s="22">
        <f>SUM(OSRRefP22x_0)</f>
        <v>26488.340000000004</v>
      </c>
      <c r="Q22" s="22"/>
      <c r="R22" s="32">
        <f t="shared" ref="R22:R31" si="19">IF(P$12=0,0,P22/P$12)</f>
        <v>0</v>
      </c>
      <c r="S22" s="22"/>
      <c r="T22" s="22">
        <f>SUM(OSRRefT22x_0)</f>
        <v>279155.81000000006</v>
      </c>
      <c r="U22" s="22"/>
      <c r="V22" s="32">
        <f t="shared" ref="V22:V31" si="20">IF(T$12=0,0,T22/T$12)</f>
        <v>0.40462300168736537</v>
      </c>
      <c r="W22" s="4"/>
      <c r="X22" s="22">
        <f t="shared" ref="X22:X31" si="21">+P22-T22</f>
        <v>-252667.47000000006</v>
      </c>
      <c r="Y22" s="4"/>
      <c r="Z22" s="32">
        <f t="shared" ref="Z22:Z31" si="22">IF(T22=0,0,X22/T22)</f>
        <v>-0.90511270390539256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1858.88</v>
      </c>
      <c r="I23" s="1"/>
      <c r="J23" s="5">
        <f t="shared" si="16"/>
        <v>0</v>
      </c>
      <c r="K23" s="1"/>
      <c r="L23" s="1">
        <f t="shared" si="17"/>
        <v>-1858.88</v>
      </c>
      <c r="M23" s="1"/>
      <c r="N23" s="5">
        <f t="shared" si="18"/>
        <v>-1</v>
      </c>
      <c r="O23" s="12"/>
      <c r="P23" s="1">
        <f>SUM(OSRRefP22_0x_0)</f>
        <v>1595.9699999999998</v>
      </c>
      <c r="Q23" s="1"/>
      <c r="R23" s="5">
        <f t="shared" si="19"/>
        <v>0</v>
      </c>
      <c r="S23" s="1"/>
      <c r="T23" s="1">
        <f>SUM(OSRRefT22_0x_0)</f>
        <v>25657.98</v>
      </c>
      <c r="U23" s="1"/>
      <c r="V23" s="5">
        <f t="shared" si="20"/>
        <v>3.7190015442753584E-2</v>
      </c>
      <c r="W23" s="1"/>
      <c r="X23" s="1">
        <f t="shared" si="21"/>
        <v>-24062.01</v>
      </c>
      <c r="Y23" s="1"/>
      <c r="Z23" s="5">
        <f t="shared" si="22"/>
        <v>-0.93779829900872935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318.24</v>
      </c>
      <c r="I24" s="2"/>
      <c r="J24" s="7">
        <f t="shared" si="16"/>
        <v>0</v>
      </c>
      <c r="K24" s="2"/>
      <c r="L24" s="6">
        <f t="shared" si="17"/>
        <v>-318.24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5486.3</v>
      </c>
      <c r="U24" s="2"/>
      <c r="V24" s="7">
        <f t="shared" si="20"/>
        <v>7.9521295800986276E-3</v>
      </c>
      <c r="W24" s="2"/>
      <c r="X24" s="6">
        <f t="shared" si="21"/>
        <v>-5327.18</v>
      </c>
      <c r="Y24" s="2"/>
      <c r="Z24" s="7">
        <f t="shared" si="22"/>
        <v>-0.97099684669084818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118.56</v>
      </c>
      <c r="I25" s="2"/>
      <c r="J25" s="7">
        <f t="shared" si="16"/>
        <v>0</v>
      </c>
      <c r="K25" s="2"/>
      <c r="L25" s="6">
        <f t="shared" si="17"/>
        <v>-118.56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3035.01</v>
      </c>
      <c r="U25" s="2"/>
      <c r="V25" s="7">
        <f t="shared" si="20"/>
        <v>4.3991019078240597E-3</v>
      </c>
      <c r="W25" s="2"/>
      <c r="X25" s="6">
        <f t="shared" si="21"/>
        <v>-3035.01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683.68</v>
      </c>
      <c r="I26" s="2"/>
      <c r="J26" s="7">
        <f t="shared" si="16"/>
        <v>0</v>
      </c>
      <c r="K26" s="2"/>
      <c r="L26" s="6">
        <f t="shared" si="17"/>
        <v>-683.68</v>
      </c>
      <c r="M26" s="2"/>
      <c r="N26" s="7">
        <f t="shared" si="18"/>
        <v>-1</v>
      </c>
      <c r="O26" s="10"/>
      <c r="P26" s="6">
        <v>683.68</v>
      </c>
      <c r="Q26" s="2"/>
      <c r="R26" s="7">
        <f t="shared" si="19"/>
        <v>0</v>
      </c>
      <c r="S26" s="2"/>
      <c r="T26" s="6">
        <v>7265.24</v>
      </c>
      <c r="U26" s="2"/>
      <c r="V26" s="7">
        <f t="shared" si="20"/>
        <v>1.0530618068737721E-2</v>
      </c>
      <c r="W26" s="2"/>
      <c r="X26" s="6">
        <f t="shared" si="21"/>
        <v>-6581.5599999999995</v>
      </c>
      <c r="Y26" s="2"/>
      <c r="Z26" s="7">
        <f t="shared" si="22"/>
        <v>-0.90589712108615816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16.22</v>
      </c>
      <c r="I27" s="2"/>
      <c r="J27" s="7">
        <f t="shared" si="16"/>
        <v>0</v>
      </c>
      <c r="K27" s="2"/>
      <c r="L27" s="6">
        <f t="shared" si="17"/>
        <v>-16.22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460.49</v>
      </c>
      <c r="U27" s="2"/>
      <c r="V27" s="7">
        <f t="shared" si="20"/>
        <v>6.6745824149966597E-4</v>
      </c>
      <c r="W27" s="2"/>
      <c r="X27" s="6">
        <f t="shared" si="21"/>
        <v>-460.49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290.58</v>
      </c>
      <c r="I28" s="2"/>
      <c r="J28" s="7">
        <f t="shared" si="16"/>
        <v>0</v>
      </c>
      <c r="K28" s="2"/>
      <c r="L28" s="6">
        <f t="shared" si="17"/>
        <v>-290.58</v>
      </c>
      <c r="M28" s="2"/>
      <c r="N28" s="7">
        <f t="shared" si="18"/>
        <v>-1</v>
      </c>
      <c r="O28" s="10"/>
      <c r="P28" s="6">
        <v>321.57</v>
      </c>
      <c r="Q28" s="2"/>
      <c r="R28" s="7">
        <f t="shared" si="19"/>
        <v>0</v>
      </c>
      <c r="S28" s="2"/>
      <c r="T28" s="6">
        <v>3062.22</v>
      </c>
      <c r="U28" s="2"/>
      <c r="V28" s="7">
        <f t="shared" si="20"/>
        <v>4.4385415020632519E-3</v>
      </c>
      <c r="W28" s="2"/>
      <c r="X28" s="6">
        <f t="shared" si="21"/>
        <v>-2740.6499999999996</v>
      </c>
      <c r="Y28" s="2"/>
      <c r="Z28" s="7">
        <f t="shared" si="22"/>
        <v>-0.89498794991868635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239.72</v>
      </c>
      <c r="I29" s="2"/>
      <c r="J29" s="7">
        <f t="shared" si="16"/>
        <v>0</v>
      </c>
      <c r="K29" s="2"/>
      <c r="L29" s="6">
        <f t="shared" si="17"/>
        <v>-239.72</v>
      </c>
      <c r="M29" s="2"/>
      <c r="N29" s="7">
        <f t="shared" si="18"/>
        <v>-1</v>
      </c>
      <c r="O29" s="10"/>
      <c r="P29" s="6">
        <v>239.72</v>
      </c>
      <c r="Q29" s="2"/>
      <c r="R29" s="7">
        <f t="shared" si="19"/>
        <v>0</v>
      </c>
      <c r="S29" s="2"/>
      <c r="T29" s="6">
        <v>2756.78</v>
      </c>
      <c r="U29" s="2"/>
      <c r="V29" s="7">
        <f t="shared" si="20"/>
        <v>3.9958208234737976E-3</v>
      </c>
      <c r="W29" s="2"/>
      <c r="X29" s="6">
        <f t="shared" si="21"/>
        <v>-2517.0600000000004</v>
      </c>
      <c r="Y29" s="2"/>
      <c r="Z29" s="7">
        <f t="shared" si="22"/>
        <v>-0.91304347826086962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191.88</v>
      </c>
      <c r="I30" s="2"/>
      <c r="J30" s="7">
        <f t="shared" si="16"/>
        <v>0</v>
      </c>
      <c r="K30" s="2"/>
      <c r="L30" s="6">
        <f t="shared" si="17"/>
        <v>-191.88</v>
      </c>
      <c r="M30" s="2"/>
      <c r="N30" s="7">
        <f t="shared" si="18"/>
        <v>-1</v>
      </c>
      <c r="O30" s="10"/>
      <c r="P30" s="6">
        <v>191.88</v>
      </c>
      <c r="Q30" s="2"/>
      <c r="R30" s="7">
        <f t="shared" si="19"/>
        <v>0</v>
      </c>
      <c r="S30" s="2"/>
      <c r="T30" s="6">
        <v>2206.62</v>
      </c>
      <c r="U30" s="2"/>
      <c r="V30" s="7">
        <f t="shared" si="20"/>
        <v>3.1983902036048398E-3</v>
      </c>
      <c r="W30" s="2"/>
      <c r="X30" s="6">
        <f t="shared" si="21"/>
        <v>-2014.7399999999998</v>
      </c>
      <c r="Y30" s="2"/>
      <c r="Z30" s="7">
        <f t="shared" si="22"/>
        <v>-0.91304347826086951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1385.32</v>
      </c>
      <c r="U31" s="2"/>
      <c r="V31" s="7">
        <f t="shared" si="20"/>
        <v>2.0079551154516214E-3</v>
      </c>
      <c r="W31" s="2"/>
      <c r="X31" s="6">
        <f t="shared" si="21"/>
        <v>-1385.32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3328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-3328</v>
      </c>
      <c r="M32" s="1"/>
      <c r="N32" s="5">
        <f t="shared" ref="N32:N37" si="26">IF(H32=0,0,L32/H32)</f>
        <v>-1</v>
      </c>
      <c r="O32" s="12"/>
      <c r="P32" s="1">
        <f>SUM(OSRRefP22_1x_0)</f>
        <v>2080</v>
      </c>
      <c r="Q32" s="1"/>
      <c r="R32" s="5">
        <f t="shared" ref="R32:R37" si="27">IF(P$12=0,0,P32/P$12)</f>
        <v>0</v>
      </c>
      <c r="S32" s="1"/>
      <c r="T32" s="1">
        <f>SUM(OSRRefT22_1x_0)</f>
        <v>164593.34</v>
      </c>
      <c r="U32" s="1"/>
      <c r="V32" s="5">
        <f t="shared" ref="V32:V37" si="28">IF(T$12=0,0,T32/T$12)</f>
        <v>0.23857017802548725</v>
      </c>
      <c r="W32" s="1"/>
      <c r="X32" s="1">
        <f t="shared" ref="X32:X37" si="29">+P32-T32</f>
        <v>-162513.34</v>
      </c>
      <c r="Y32" s="1"/>
      <c r="Z32" s="5">
        <f t="shared" ref="Z32:Z37" si="30">IF(T32=0,0,X32/T32)</f>
        <v>-0.98736279365860125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3328</v>
      </c>
      <c r="I33" s="2"/>
      <c r="J33" s="7">
        <f t="shared" si="24"/>
        <v>0</v>
      </c>
      <c r="K33" s="2"/>
      <c r="L33" s="6">
        <f t="shared" si="25"/>
        <v>-3328</v>
      </c>
      <c r="M33" s="2"/>
      <c r="N33" s="7">
        <f t="shared" si="26"/>
        <v>-1</v>
      </c>
      <c r="O33" s="10"/>
      <c r="P33" s="6">
        <v>2080</v>
      </c>
      <c r="Q33" s="2"/>
      <c r="R33" s="7">
        <f t="shared" si="27"/>
        <v>0</v>
      </c>
      <c r="S33" s="2"/>
      <c r="T33" s="6">
        <v>42152</v>
      </c>
      <c r="U33" s="2"/>
      <c r="V33" s="7">
        <f t="shared" si="28"/>
        <v>6.1097308944154959E-2</v>
      </c>
      <c r="W33" s="2"/>
      <c r="X33" s="6">
        <f t="shared" si="29"/>
        <v>-40072</v>
      </c>
      <c r="Y33" s="2"/>
      <c r="Z33" s="7">
        <f t="shared" si="30"/>
        <v>-0.95065477320174607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9018.76</v>
      </c>
      <c r="U34" s="2"/>
      <c r="V34" s="7">
        <f t="shared" si="28"/>
        <v>1.3072261482567541E-2</v>
      </c>
      <c r="W34" s="2"/>
      <c r="X34" s="6">
        <f t="shared" si="29"/>
        <v>-9018.76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1199.43</v>
      </c>
      <c r="U35" s="2"/>
      <c r="V35" s="7">
        <f t="shared" si="28"/>
        <v>1.7385164468326007E-3</v>
      </c>
      <c r="W35" s="2"/>
      <c r="X35" s="6">
        <f t="shared" si="29"/>
        <v>-1199.43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109564.35</v>
      </c>
      <c r="U36" s="2"/>
      <c r="V36" s="7">
        <f t="shared" si="28"/>
        <v>0.15880828765457214</v>
      </c>
      <c r="W36" s="2"/>
      <c r="X36" s="6">
        <f t="shared" si="29"/>
        <v>-109564.35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2658.8</v>
      </c>
      <c r="U37" s="2"/>
      <c r="V37" s="7">
        <f t="shared" si="28"/>
        <v>3.8538034973600119E-3</v>
      </c>
      <c r="W37" s="2"/>
      <c r="X37" s="6">
        <f t="shared" si="29"/>
        <v>-2658.8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2" si="31">IF(D$12=0,0,D38/D$12)</f>
        <v>0</v>
      </c>
      <c r="G38" s="1"/>
      <c r="H38" s="1">
        <f>SUM(OSRRefH22_2x_0)</f>
        <v>0</v>
      </c>
      <c r="I38" s="1"/>
      <c r="J38" s="5">
        <f t="shared" ref="J38:J52" si="32">IF(H$12=0,0,H38/H$12)</f>
        <v>0</v>
      </c>
      <c r="K38" s="1"/>
      <c r="L38" s="1">
        <f t="shared" ref="L38:L52" si="33">+D38-H38</f>
        <v>0</v>
      </c>
      <c r="M38" s="1"/>
      <c r="N38" s="5">
        <f t="shared" ref="N38:N52" si="34">IF(H38=0,0,L38/H38)</f>
        <v>0</v>
      </c>
      <c r="O38" s="12"/>
      <c r="P38" s="1">
        <f>SUM(OSRRefP22_2x_0)</f>
        <v>0</v>
      </c>
      <c r="Q38" s="1"/>
      <c r="R38" s="5">
        <f t="shared" ref="R38:R52" si="35">IF(P$12=0,0,P38/P$12)</f>
        <v>0</v>
      </c>
      <c r="S38" s="1"/>
      <c r="T38" s="1">
        <f>SUM(OSRRefT22_2x_0)</f>
        <v>262.2</v>
      </c>
      <c r="U38" s="1"/>
      <c r="V38" s="5">
        <f t="shared" ref="V38:V52" si="36">IF(T$12=0,0,T38/T$12)</f>
        <v>3.8004636565661012E-4</v>
      </c>
      <c r="W38" s="1"/>
      <c r="X38" s="1">
        <f t="shared" ref="X38:X52" si="37">+P38-T38</f>
        <v>-262.2</v>
      </c>
      <c r="Y38" s="1"/>
      <c r="Z38" s="5">
        <f t="shared" ref="Z38:Z52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262.2</v>
      </c>
      <c r="U39" s="2"/>
      <c r="V39" s="7">
        <f t="shared" si="36"/>
        <v>3.8004636565661012E-4</v>
      </c>
      <c r="W39" s="2"/>
      <c r="X39" s="6">
        <f t="shared" si="37"/>
        <v>-262.2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-53.23</v>
      </c>
      <c r="U40" s="1"/>
      <c r="V40" s="5">
        <f t="shared" si="36"/>
        <v>-7.7154340365756508E-5</v>
      </c>
      <c r="W40" s="1"/>
      <c r="X40" s="1">
        <f t="shared" si="37"/>
        <v>53.23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-53.23</v>
      </c>
      <c r="U41" s="2"/>
      <c r="V41" s="7">
        <f t="shared" si="36"/>
        <v>-7.7154340365756508E-5</v>
      </c>
      <c r="W41" s="2"/>
      <c r="X41" s="6">
        <f t="shared" si="37"/>
        <v>53.23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25665.63</v>
      </c>
      <c r="U42" s="1"/>
      <c r="V42" s="5">
        <f t="shared" si="36"/>
        <v>3.7201103752049061E-2</v>
      </c>
      <c r="W42" s="1"/>
      <c r="X42" s="1">
        <f t="shared" si="37"/>
        <v>-25665.63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25665.63</v>
      </c>
      <c r="U43" s="2"/>
      <c r="V43" s="7">
        <f t="shared" si="36"/>
        <v>3.7201103752049061E-2</v>
      </c>
      <c r="W43" s="2"/>
      <c r="X43" s="6">
        <f t="shared" si="37"/>
        <v>-25665.63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2017.34</v>
      </c>
      <c r="E44" s="1"/>
      <c r="F44" s="5">
        <f t="shared" si="31"/>
        <v>0</v>
      </c>
      <c r="G44" s="1"/>
      <c r="H44" s="1">
        <f>SUM(OSRRefH22_5x_0)</f>
        <v>2017.34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SUM(OSRRefP22_5x_0)</f>
        <v>22190.74</v>
      </c>
      <c r="Q44" s="1"/>
      <c r="R44" s="5">
        <f t="shared" si="35"/>
        <v>0</v>
      </c>
      <c r="S44" s="1"/>
      <c r="T44" s="1">
        <f>SUM(OSRRefT22_5x_0)</f>
        <v>20912.66</v>
      </c>
      <c r="U44" s="1"/>
      <c r="V44" s="5">
        <f t="shared" si="36"/>
        <v>3.0311900950466684E-2</v>
      </c>
      <c r="W44" s="1"/>
      <c r="X44" s="1">
        <f t="shared" si="37"/>
        <v>1278.0800000000017</v>
      </c>
      <c r="Y44" s="1"/>
      <c r="Z44" s="5">
        <f t="shared" si="38"/>
        <v>6.1115133129884085E-2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2017.34</v>
      </c>
      <c r="E45" s="2"/>
      <c r="F45" s="7">
        <f t="shared" si="31"/>
        <v>0</v>
      </c>
      <c r="G45" s="2"/>
      <c r="H45" s="6">
        <v>2017.34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22190.74</v>
      </c>
      <c r="Q45" s="2"/>
      <c r="R45" s="7">
        <f t="shared" si="35"/>
        <v>0</v>
      </c>
      <c r="S45" s="2"/>
      <c r="T45" s="6">
        <v>20912.66</v>
      </c>
      <c r="U45" s="2"/>
      <c r="V45" s="7">
        <f t="shared" si="36"/>
        <v>3.0311900950466684E-2</v>
      </c>
      <c r="W45" s="2"/>
      <c r="X45" s="6">
        <f t="shared" si="37"/>
        <v>1278.0800000000017</v>
      </c>
      <c r="Y45" s="2"/>
      <c r="Z45" s="7">
        <f t="shared" si="38"/>
        <v>6.1115133129884085E-2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1231.03</v>
      </c>
      <c r="U46" s="1"/>
      <c r="V46" s="5">
        <f t="shared" si="36"/>
        <v>1.7843191362099801E-3</v>
      </c>
      <c r="W46" s="1"/>
      <c r="X46" s="1">
        <f t="shared" si="37"/>
        <v>-1231.03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1231.03</v>
      </c>
      <c r="U47" s="2"/>
      <c r="V47" s="7">
        <f t="shared" si="36"/>
        <v>1.7843191362099801E-3</v>
      </c>
      <c r="W47" s="2"/>
      <c r="X47" s="6">
        <f t="shared" si="37"/>
        <v>-1231.03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","Rent                                              ")</f>
        <v xml:space="preserve">     Rent            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1150</v>
      </c>
      <c r="I48" s="1"/>
      <c r="J48" s="5">
        <f t="shared" si="32"/>
        <v>0</v>
      </c>
      <c r="K48" s="1"/>
      <c r="L48" s="1">
        <f t="shared" si="33"/>
        <v>-1150</v>
      </c>
      <c r="M48" s="1"/>
      <c r="N48" s="5">
        <f t="shared" si="34"/>
        <v>-1</v>
      </c>
      <c r="O48" s="12"/>
      <c r="P48" s="1">
        <f>SUM(OSRRefP22_7x_0)</f>
        <v>0</v>
      </c>
      <c r="Q48" s="1"/>
      <c r="R48" s="5">
        <f t="shared" si="35"/>
        <v>0</v>
      </c>
      <c r="S48" s="1"/>
      <c r="T48" s="1">
        <f>SUM(OSRRefT22_7x_0)</f>
        <v>12650</v>
      </c>
      <c r="U48" s="1"/>
      <c r="V48" s="5">
        <f t="shared" si="36"/>
        <v>1.833557027290663E-2</v>
      </c>
      <c r="W48" s="1"/>
      <c r="X48" s="1">
        <f t="shared" si="37"/>
        <v>-12650</v>
      </c>
      <c r="Y48" s="1"/>
      <c r="Z48" s="5">
        <f t="shared" si="38"/>
        <v>-1</v>
      </c>
    </row>
    <row r="49" spans="1:26" s="23" customFormat="1" hidden="1" outlineLevel="2" x14ac:dyDescent="0.25">
      <c r="A49" s="27"/>
      <c r="B49" s="10" t="str">
        <f>CONCATENATE("          ", "6273", " - ", "RENT")</f>
        <v xml:space="preserve">          6273 - RENT</v>
      </c>
      <c r="C49" s="10"/>
      <c r="D49" s="6"/>
      <c r="E49" s="2"/>
      <c r="F49" s="7">
        <f t="shared" si="31"/>
        <v>0</v>
      </c>
      <c r="G49" s="2"/>
      <c r="H49" s="6">
        <v>1150</v>
      </c>
      <c r="I49" s="2"/>
      <c r="J49" s="7">
        <f t="shared" si="32"/>
        <v>0</v>
      </c>
      <c r="K49" s="2"/>
      <c r="L49" s="6">
        <f t="shared" si="33"/>
        <v>-1150</v>
      </c>
      <c r="M49" s="2"/>
      <c r="N49" s="7">
        <f t="shared" si="34"/>
        <v>-1</v>
      </c>
      <c r="O49" s="10"/>
      <c r="P49" s="6"/>
      <c r="Q49" s="2"/>
      <c r="R49" s="7">
        <f t="shared" si="35"/>
        <v>0</v>
      </c>
      <c r="S49" s="2"/>
      <c r="T49" s="6">
        <v>12650</v>
      </c>
      <c r="U49" s="2"/>
      <c r="V49" s="7">
        <f t="shared" si="36"/>
        <v>1.833557027290663E-2</v>
      </c>
      <c r="W49" s="2"/>
      <c r="X49" s="6">
        <f t="shared" si="37"/>
        <v>-12650</v>
      </c>
      <c r="Y49" s="2"/>
      <c r="Z49" s="7">
        <f t="shared" si="38"/>
        <v>-1</v>
      </c>
    </row>
    <row r="50" spans="1:26" s="26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SUM(OSRRefD22_8x_0)</f>
        <v>0</v>
      </c>
      <c r="E50" s="1"/>
      <c r="F50" s="5">
        <f t="shared" si="31"/>
        <v>0</v>
      </c>
      <c r="G50" s="1"/>
      <c r="H50" s="1">
        <f>SUM(OSRRefH22_8x_0)</f>
        <v>102.5</v>
      </c>
      <c r="I50" s="1"/>
      <c r="J50" s="5">
        <f t="shared" si="32"/>
        <v>0</v>
      </c>
      <c r="K50" s="1"/>
      <c r="L50" s="1">
        <f t="shared" si="33"/>
        <v>-102.5</v>
      </c>
      <c r="M50" s="1"/>
      <c r="N50" s="5">
        <f t="shared" si="34"/>
        <v>-1</v>
      </c>
      <c r="O50" s="12"/>
      <c r="P50" s="1">
        <f>SUM(OSRRefP22_8x_0)</f>
        <v>295.64999999999998</v>
      </c>
      <c r="Q50" s="1"/>
      <c r="R50" s="5">
        <f t="shared" si="35"/>
        <v>0</v>
      </c>
      <c r="S50" s="1"/>
      <c r="T50" s="1">
        <f>SUM(OSRRefT22_8x_0)</f>
        <v>6496.54</v>
      </c>
      <c r="U50" s="1"/>
      <c r="V50" s="5">
        <f t="shared" si="36"/>
        <v>9.4164241660671007E-3</v>
      </c>
      <c r="W50" s="1"/>
      <c r="X50" s="1">
        <f t="shared" si="37"/>
        <v>-6200.89</v>
      </c>
      <c r="Y50" s="1"/>
      <c r="Z50" s="5">
        <f t="shared" si="38"/>
        <v>-0.95449115990973665</v>
      </c>
    </row>
    <row r="51" spans="1:26" s="23" customFormat="1" hidden="1" outlineLevel="2" x14ac:dyDescent="0.25">
      <c r="A51" s="27"/>
      <c r="B51" s="10" t="str">
        <f>CONCATENATE("          ", "6373", " - ", "MAINTENANCE CONTRACTS")</f>
        <v xml:space="preserve">          6373 - MAINTENANCE CONTRACTS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295.64999999999998</v>
      </c>
      <c r="Q51" s="2"/>
      <c r="R51" s="7">
        <f t="shared" si="35"/>
        <v>0</v>
      </c>
      <c r="S51" s="2"/>
      <c r="T51" s="6">
        <v>212.18</v>
      </c>
      <c r="U51" s="2"/>
      <c r="V51" s="7">
        <f t="shared" si="36"/>
        <v>3.075447668383659E-4</v>
      </c>
      <c r="W51" s="2"/>
      <c r="X51" s="6">
        <f t="shared" si="37"/>
        <v>83.46999999999997</v>
      </c>
      <c r="Y51" s="2"/>
      <c r="Z51" s="7">
        <f t="shared" si="38"/>
        <v>0.39339240267697223</v>
      </c>
    </row>
    <row r="52" spans="1:26" s="23" customFormat="1" hidden="1" outlineLevel="2" x14ac:dyDescent="0.25">
      <c r="A52" s="27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31"/>
        <v>0</v>
      </c>
      <c r="G52" s="2"/>
      <c r="H52" s="6">
        <v>102.5</v>
      </c>
      <c r="I52" s="2"/>
      <c r="J52" s="7">
        <f t="shared" si="32"/>
        <v>0</v>
      </c>
      <c r="K52" s="2"/>
      <c r="L52" s="6">
        <f t="shared" si="33"/>
        <v>-102.5</v>
      </c>
      <c r="M52" s="2"/>
      <c r="N52" s="7">
        <f t="shared" si="34"/>
        <v>-1</v>
      </c>
      <c r="O52" s="10"/>
      <c r="P52" s="6"/>
      <c r="Q52" s="2"/>
      <c r="R52" s="7">
        <f t="shared" si="35"/>
        <v>0</v>
      </c>
      <c r="S52" s="2"/>
      <c r="T52" s="6">
        <v>6284.36</v>
      </c>
      <c r="U52" s="2"/>
      <c r="V52" s="7">
        <f t="shared" si="36"/>
        <v>9.1088793992287354E-3</v>
      </c>
      <c r="W52" s="2"/>
      <c r="X52" s="6">
        <f t="shared" si="37"/>
        <v>-6284.36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SUM(OSRRefD22_9x_0)</f>
        <v>0</v>
      </c>
      <c r="E53" s="1"/>
      <c r="F53" s="5">
        <f t="shared" ref="F53:F56" si="39">IF(D$12=0,0,D53/D$12)</f>
        <v>0</v>
      </c>
      <c r="G53" s="1"/>
      <c r="H53" s="1">
        <f>SUM(OSRRefH22_9x_0)</f>
        <v>158.63</v>
      </c>
      <c r="I53" s="1"/>
      <c r="J53" s="5">
        <f t="shared" ref="J53:J56" si="40">IF(H$12=0,0,H53/H$12)</f>
        <v>0</v>
      </c>
      <c r="K53" s="1"/>
      <c r="L53" s="1">
        <f t="shared" ref="L53:L56" si="41">+D53-H53</f>
        <v>-158.63</v>
      </c>
      <c r="M53" s="1"/>
      <c r="N53" s="5">
        <f t="shared" ref="N53:N56" si="42">IF(H53=0,0,L53/H53)</f>
        <v>-1</v>
      </c>
      <c r="O53" s="12"/>
      <c r="P53" s="1">
        <f>SUM(OSRRefP22_9x_0)</f>
        <v>-1053.52</v>
      </c>
      <c r="Q53" s="1"/>
      <c r="R53" s="5">
        <f t="shared" ref="R53:R56" si="43">IF(P$12=0,0,P53/P$12)</f>
        <v>0</v>
      </c>
      <c r="S53" s="1"/>
      <c r="T53" s="1">
        <f>SUM(OSRRefT22_9x_0)</f>
        <v>4420.17</v>
      </c>
      <c r="U53" s="1"/>
      <c r="V53" s="5">
        <f t="shared" ref="V53:V56" si="44">IF(T$12=0,0,T53/T$12)</f>
        <v>6.406825110924403E-3</v>
      </c>
      <c r="W53" s="1"/>
      <c r="X53" s="1">
        <f t="shared" ref="X53:X56" si="45">+P53-T53</f>
        <v>-5473.6900000000005</v>
      </c>
      <c r="Y53" s="1"/>
      <c r="Z53" s="5">
        <f t="shared" ref="Z53:Z56" si="46">IF(T53=0,0,X53/T53)</f>
        <v>-1.2383437741082357</v>
      </c>
    </row>
    <row r="54" spans="1:26" s="23" customFormat="1" hidden="1" outlineLevel="2" x14ac:dyDescent="0.25">
      <c r="A54" s="27"/>
      <c r="B54" s="10" t="str">
        <f>CONCATENATE("          ", "6282", " - ", "JANITORIAL/EXTERMINATOR EXPENS")</f>
        <v xml:space="preserve">          6282 - JANITORIAL/EXTERMINATOR EXPENS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>
        <v>-567.28</v>
      </c>
      <c r="Q54" s="2"/>
      <c r="R54" s="7">
        <f t="shared" si="43"/>
        <v>0</v>
      </c>
      <c r="S54" s="2"/>
      <c r="T54" s="6">
        <v>1051.29</v>
      </c>
      <c r="U54" s="2"/>
      <c r="V54" s="7">
        <f t="shared" si="44"/>
        <v>1.5237945985932023E-3</v>
      </c>
      <c r="W54" s="2"/>
      <c r="X54" s="6">
        <f t="shared" si="45"/>
        <v>-1618.57</v>
      </c>
      <c r="Y54" s="2"/>
      <c r="Z54" s="7">
        <f t="shared" si="46"/>
        <v>-1.5396037249474455</v>
      </c>
    </row>
    <row r="55" spans="1:26" s="23" customFormat="1" hidden="1" outlineLevel="2" x14ac:dyDescent="0.25">
      <c r="A55" s="27"/>
      <c r="B55" s="10" t="str">
        <f>CONCATENATE("          ", "6285", " - ", "JANITORIAL SERVICES")</f>
        <v xml:space="preserve">          6285 - JANITORIAL SERVICES</v>
      </c>
      <c r="C55" s="10"/>
      <c r="D55" s="6"/>
      <c r="E55" s="2"/>
      <c r="F55" s="7">
        <f t="shared" si="39"/>
        <v>0</v>
      </c>
      <c r="G55" s="2"/>
      <c r="H55" s="6">
        <v>81.040000000000006</v>
      </c>
      <c r="I55" s="2"/>
      <c r="J55" s="7">
        <f t="shared" si="40"/>
        <v>0</v>
      </c>
      <c r="K55" s="2"/>
      <c r="L55" s="6">
        <f t="shared" si="41"/>
        <v>-81.040000000000006</v>
      </c>
      <c r="M55" s="2"/>
      <c r="N55" s="7">
        <f t="shared" si="42"/>
        <v>-1</v>
      </c>
      <c r="O55" s="10"/>
      <c r="P55" s="6">
        <v>-486.24</v>
      </c>
      <c r="Q55" s="2"/>
      <c r="R55" s="7">
        <f t="shared" si="43"/>
        <v>0</v>
      </c>
      <c r="S55" s="2"/>
      <c r="T55" s="6">
        <v>759.28</v>
      </c>
      <c r="U55" s="2"/>
      <c r="V55" s="7">
        <f t="shared" si="44"/>
        <v>1.100540062989134E-3</v>
      </c>
      <c r="W55" s="2"/>
      <c r="X55" s="6">
        <f t="shared" si="45"/>
        <v>-1245.52</v>
      </c>
      <c r="Y55" s="2"/>
      <c r="Z55" s="7">
        <f t="shared" si="46"/>
        <v>-1.6403961647876937</v>
      </c>
    </row>
    <row r="56" spans="1:26" s="23" customFormat="1" hidden="1" outlineLevel="2" x14ac:dyDescent="0.25">
      <c r="A56" s="27"/>
      <c r="B56" s="10" t="str">
        <f>CONCATENATE("          ", "6286", " - ", "LAUNDRY EXPENSE")</f>
        <v xml:space="preserve">          6286 - LAUNDRY EXPENSE</v>
      </c>
      <c r="C56" s="10"/>
      <c r="D56" s="6"/>
      <c r="E56" s="2"/>
      <c r="F56" s="7">
        <f t="shared" si="39"/>
        <v>0</v>
      </c>
      <c r="G56" s="2"/>
      <c r="H56" s="6">
        <v>77.59</v>
      </c>
      <c r="I56" s="2"/>
      <c r="J56" s="7">
        <f t="shared" si="40"/>
        <v>0</v>
      </c>
      <c r="K56" s="2"/>
      <c r="L56" s="6">
        <f t="shared" si="41"/>
        <v>-77.59</v>
      </c>
      <c r="M56" s="2"/>
      <c r="N56" s="7">
        <f t="shared" si="42"/>
        <v>-1</v>
      </c>
      <c r="O56" s="10"/>
      <c r="P56" s="6"/>
      <c r="Q56" s="2"/>
      <c r="R56" s="7">
        <f t="shared" si="43"/>
        <v>0</v>
      </c>
      <c r="S56" s="2"/>
      <c r="T56" s="6">
        <v>2609.6</v>
      </c>
      <c r="U56" s="2"/>
      <c r="V56" s="7">
        <f t="shared" si="44"/>
        <v>3.7824904493420661E-3</v>
      </c>
      <c r="W56" s="2"/>
      <c r="X56" s="6">
        <f t="shared" si="45"/>
        <v>-2609.6</v>
      </c>
      <c r="Y56" s="2"/>
      <c r="Z56" s="7">
        <f t="shared" si="46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SUM(OSRRefD22_10x_0)</f>
        <v>0</v>
      </c>
      <c r="E57" s="1"/>
      <c r="F57" s="5">
        <f t="shared" ref="F57:F64" si="47">IF(D$12=0,0,D57/D$12)</f>
        <v>0</v>
      </c>
      <c r="G57" s="1"/>
      <c r="H57" s="1">
        <f>SUM(OSRRefH22_10x_0)</f>
        <v>0</v>
      </c>
      <c r="I57" s="1"/>
      <c r="J57" s="5">
        <f t="shared" ref="J57:J64" si="48">IF(H$12=0,0,H57/H$12)</f>
        <v>0</v>
      </c>
      <c r="K57" s="1"/>
      <c r="L57" s="1">
        <f t="shared" ref="L57:L64" si="49">+D57-H57</f>
        <v>0</v>
      </c>
      <c r="M57" s="1"/>
      <c r="N57" s="5">
        <f t="shared" ref="N57:N64" si="50">IF(H57=0,0,L57/H57)</f>
        <v>0</v>
      </c>
      <c r="O57" s="12"/>
      <c r="P57" s="1">
        <f>SUM(OSRRefP22_10x_0)</f>
        <v>131.30000000000001</v>
      </c>
      <c r="Q57" s="1"/>
      <c r="R57" s="5">
        <f t="shared" ref="R57:R64" si="51">IF(P$12=0,0,P57/P$12)</f>
        <v>0</v>
      </c>
      <c r="S57" s="1"/>
      <c r="T57" s="1">
        <f>SUM(OSRRefT22_10x_0)</f>
        <v>14338.21</v>
      </c>
      <c r="U57" s="1"/>
      <c r="V57" s="5">
        <f t="shared" ref="V57:V64" si="52">IF(T$12=0,0,T57/T$12)</f>
        <v>2.0782549963849213E-2</v>
      </c>
      <c r="W57" s="1"/>
      <c r="X57" s="1">
        <f t="shared" ref="X57:X64" si="53">+P57-T57</f>
        <v>-14206.91</v>
      </c>
      <c r="Y57" s="1"/>
      <c r="Z57" s="5">
        <f t="shared" ref="Z57:Z64" si="54">IF(T57=0,0,X57/T57)</f>
        <v>-0.99084265051216303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354.71</v>
      </c>
      <c r="U58" s="2"/>
      <c r="V58" s="7">
        <f t="shared" si="52"/>
        <v>5.1413518826108379E-4</v>
      </c>
      <c r="W58" s="2"/>
      <c r="X58" s="6">
        <f t="shared" si="53"/>
        <v>-354.71</v>
      </c>
      <c r="Y58" s="2"/>
      <c r="Z58" s="7">
        <f t="shared" si="54"/>
        <v>-1</v>
      </c>
    </row>
    <row r="59" spans="1:26" s="23" customFormat="1" hidden="1" outlineLevel="2" x14ac:dyDescent="0.25">
      <c r="A59" s="27"/>
      <c r="B59" s="10" t="str">
        <f>CONCATENATE("          ", "6237", " - ", "JANITORIAL SUPPLIES")</f>
        <v xml:space="preserve">          6237 - JANITORIAL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1709.62</v>
      </c>
      <c r="U59" s="2"/>
      <c r="V59" s="7">
        <f t="shared" si="52"/>
        <v>2.4780124624479549E-3</v>
      </c>
      <c r="W59" s="2"/>
      <c r="X59" s="6">
        <f t="shared" si="53"/>
        <v>-1709.62</v>
      </c>
      <c r="Y59" s="2"/>
      <c r="Z59" s="7">
        <f t="shared" si="54"/>
        <v>-1</v>
      </c>
    </row>
    <row r="60" spans="1:26" s="23" customFormat="1" hidden="1" outlineLevel="2" x14ac:dyDescent="0.25">
      <c r="A60" s="27"/>
      <c r="B60" s="10" t="str">
        <f>CONCATENATE("          ", "6239", " - ", "KITCHEN SUPPLIES")</f>
        <v xml:space="preserve">          6239 - KITCHEN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441.2</v>
      </c>
      <c r="U60" s="2"/>
      <c r="V60" s="7">
        <f t="shared" si="52"/>
        <v>6.3949830864872762E-4</v>
      </c>
      <c r="W60" s="2"/>
      <c r="X60" s="6">
        <f t="shared" si="53"/>
        <v>-441.2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"6241", " - ", "OFFICE EXPENSE")</f>
        <v xml:space="preserve">          6241 - OFFICE EXPENSE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131.30000000000001</v>
      </c>
      <c r="Q61" s="2"/>
      <c r="R61" s="7">
        <f t="shared" si="51"/>
        <v>0</v>
      </c>
      <c r="S61" s="2"/>
      <c r="T61" s="6">
        <v>1564.62</v>
      </c>
      <c r="U61" s="2"/>
      <c r="V61" s="7">
        <f t="shared" si="52"/>
        <v>2.2678418941023851E-3</v>
      </c>
      <c r="W61" s="2"/>
      <c r="X61" s="6">
        <f t="shared" si="53"/>
        <v>-1433.32</v>
      </c>
      <c r="Y61" s="2"/>
      <c r="Z61" s="7">
        <f t="shared" si="54"/>
        <v>-0.91608186013217274</v>
      </c>
    </row>
    <row r="62" spans="1:26" s="23" customFormat="1" hidden="1" outlineLevel="2" x14ac:dyDescent="0.25">
      <c r="A62" s="27"/>
      <c r="B62" s="10" t="str">
        <f>CONCATENATE("          ", "6243", " - ", "PAPER SUPPLIES")</f>
        <v xml:space="preserve">          6243 - PAPER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2823.28</v>
      </c>
      <c r="U62" s="2"/>
      <c r="V62" s="7">
        <f t="shared" si="52"/>
        <v>4.0922093944736624E-3</v>
      </c>
      <c r="W62" s="2"/>
      <c r="X62" s="6">
        <f t="shared" si="53"/>
        <v>-2823.28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"6247", " - ", "STORE SUPPLIES")</f>
        <v xml:space="preserve">          6247 - STORE SUPPLIES</v>
      </c>
      <c r="C63" s="10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/>
      <c r="Q63" s="2"/>
      <c r="R63" s="7">
        <f t="shared" si="51"/>
        <v>0</v>
      </c>
      <c r="S63" s="2"/>
      <c r="T63" s="6">
        <v>7367.19</v>
      </c>
      <c r="U63" s="2"/>
      <c r="V63" s="7">
        <f t="shared" si="52"/>
        <v>1.0678389720067587E-2</v>
      </c>
      <c r="W63" s="2"/>
      <c r="X63" s="6">
        <f t="shared" si="53"/>
        <v>-7367.19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"6248", " - ", "UNIFORMS")</f>
        <v xml:space="preserve">          6248 - UNIFORMS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77.59</v>
      </c>
      <c r="U64" s="2"/>
      <c r="V64" s="7">
        <f t="shared" si="52"/>
        <v>1.1246299584781229E-4</v>
      </c>
      <c r="W64" s="2"/>
      <c r="X64" s="6">
        <f t="shared" si="53"/>
        <v>-77.59</v>
      </c>
      <c r="Y64" s="2"/>
      <c r="Z64" s="7">
        <f t="shared" si="54"/>
        <v>-1</v>
      </c>
    </row>
    <row r="65" spans="1:26" s="26" customFormat="1" outlineLevel="1" collapsed="1" x14ac:dyDescent="0.25">
      <c r="A65" s="25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SUM(OSRRefD22_11x_0)</f>
        <v>0</v>
      </c>
      <c r="E65" s="1"/>
      <c r="F65" s="5">
        <f t="shared" ref="F65:F70" si="55">IF(D$12=0,0,D65/D$12)</f>
        <v>0</v>
      </c>
      <c r="G65" s="1"/>
      <c r="H65" s="1">
        <f>SUM(OSRRefH22_11x_0)</f>
        <v>86</v>
      </c>
      <c r="I65" s="1"/>
      <c r="J65" s="5">
        <f t="shared" ref="J65:J70" si="56">IF(H$12=0,0,H65/H$12)</f>
        <v>0</v>
      </c>
      <c r="K65" s="1"/>
      <c r="L65" s="1">
        <f t="shared" ref="L65:L70" si="57">+D65-H65</f>
        <v>-86</v>
      </c>
      <c r="M65" s="1"/>
      <c r="N65" s="5">
        <f t="shared" ref="N65:N70" si="58">IF(H65=0,0,L65/H65)</f>
        <v>-1</v>
      </c>
      <c r="O65" s="12"/>
      <c r="P65" s="1">
        <f>SUM(OSRRefP22_11x_0)</f>
        <v>85.2</v>
      </c>
      <c r="Q65" s="1"/>
      <c r="R65" s="5">
        <f t="shared" ref="R65:R70" si="59">IF(P$12=0,0,P65/P$12)</f>
        <v>0</v>
      </c>
      <c r="S65" s="1"/>
      <c r="T65" s="1">
        <f>SUM(OSRRefT22_11x_0)</f>
        <v>690.28</v>
      </c>
      <c r="U65" s="1"/>
      <c r="V65" s="5">
        <f t="shared" ref="V65:V70" si="60">IF(T$12=0,0,T65/T$12)</f>
        <v>1.0005278615005523E-3</v>
      </c>
      <c r="W65" s="1"/>
      <c r="X65" s="1">
        <f t="shared" ref="X65:X70" si="61">+P65-T65</f>
        <v>-605.07999999999993</v>
      </c>
      <c r="Y65" s="1"/>
      <c r="Z65" s="5">
        <f t="shared" ref="Z65:Z70" si="62">IF(T65=0,0,X65/T65)</f>
        <v>-0.87657182592571126</v>
      </c>
    </row>
    <row r="66" spans="1:26" s="23" customFormat="1" hidden="1" outlineLevel="2" x14ac:dyDescent="0.25">
      <c r="A66" s="27"/>
      <c r="B66" s="10" t="str">
        <f>CONCATENATE("          ", "6309", " - ", "TELEPHONE")</f>
        <v xml:space="preserve">          6309 - TELEPHONE</v>
      </c>
      <c r="C66" s="10"/>
      <c r="D66" s="6"/>
      <c r="E66" s="2"/>
      <c r="F66" s="7">
        <f t="shared" si="55"/>
        <v>0</v>
      </c>
      <c r="G66" s="2"/>
      <c r="H66" s="6">
        <v>86</v>
      </c>
      <c r="I66" s="2"/>
      <c r="J66" s="7">
        <f t="shared" si="56"/>
        <v>0</v>
      </c>
      <c r="K66" s="2"/>
      <c r="L66" s="6">
        <f t="shared" si="57"/>
        <v>-86</v>
      </c>
      <c r="M66" s="2"/>
      <c r="N66" s="7">
        <f t="shared" si="58"/>
        <v>-1</v>
      </c>
      <c r="O66" s="10"/>
      <c r="P66" s="6">
        <v>85.2</v>
      </c>
      <c r="Q66" s="2"/>
      <c r="R66" s="7">
        <f t="shared" si="59"/>
        <v>0</v>
      </c>
      <c r="S66" s="2"/>
      <c r="T66" s="6">
        <v>690.28</v>
      </c>
      <c r="U66" s="2"/>
      <c r="V66" s="7">
        <f t="shared" si="60"/>
        <v>1.0005278615005523E-3</v>
      </c>
      <c r="W66" s="2"/>
      <c r="X66" s="6">
        <f t="shared" si="61"/>
        <v>-605.07999999999993</v>
      </c>
      <c r="Y66" s="2"/>
      <c r="Z66" s="7">
        <f t="shared" si="62"/>
        <v>-0.87657182592571126</v>
      </c>
    </row>
    <row r="67" spans="1:26" s="26" customFormat="1" outlineLevel="1" collapsed="1" x14ac:dyDescent="0.25">
      <c r="A67" s="25"/>
      <c r="B67" s="12" t="str">
        <f>CONCATENATE("     ","Travel                                            ")</f>
        <v xml:space="preserve">     Travel                                            </v>
      </c>
      <c r="C67" s="12"/>
      <c r="D67" s="1">
        <f>SUM(OSRRefD22_12x_0)</f>
        <v>0</v>
      </c>
      <c r="E67" s="1"/>
      <c r="F67" s="5">
        <f t="shared" si="55"/>
        <v>0</v>
      </c>
      <c r="G67" s="1"/>
      <c r="H67" s="1">
        <f>SUM(OSRRefH22_12x_0)</f>
        <v>0</v>
      </c>
      <c r="I67" s="1"/>
      <c r="J67" s="5">
        <f t="shared" si="56"/>
        <v>0</v>
      </c>
      <c r="K67" s="1"/>
      <c r="L67" s="1">
        <f t="shared" si="57"/>
        <v>0</v>
      </c>
      <c r="M67" s="1"/>
      <c r="N67" s="5">
        <f t="shared" si="58"/>
        <v>0</v>
      </c>
      <c r="O67" s="12"/>
      <c r="P67" s="1">
        <f>SUM(OSRRefP22_12x_0)</f>
        <v>0</v>
      </c>
      <c r="Q67" s="1"/>
      <c r="R67" s="5">
        <f t="shared" si="59"/>
        <v>0</v>
      </c>
      <c r="S67" s="1"/>
      <c r="T67" s="1">
        <f>SUM(OSRRefT22_12x_0)</f>
        <v>66</v>
      </c>
      <c r="U67" s="1"/>
      <c r="V67" s="5">
        <f t="shared" si="60"/>
        <v>9.5663844902121542E-5</v>
      </c>
      <c r="W67" s="1"/>
      <c r="X67" s="1">
        <f t="shared" si="61"/>
        <v>-66</v>
      </c>
      <c r="Y67" s="1"/>
      <c r="Z67" s="5">
        <f t="shared" si="62"/>
        <v>-1</v>
      </c>
    </row>
    <row r="68" spans="1:26" s="23" customFormat="1" hidden="1" outlineLevel="2" x14ac:dyDescent="0.25">
      <c r="A68" s="27"/>
      <c r="B68" s="10" t="str">
        <f>CONCATENATE("          ", "6298", " - ", "VEHICLE MILEAGE")</f>
        <v xml:space="preserve">          6298 - VEHICLE MILEAGE</v>
      </c>
      <c r="C68" s="10"/>
      <c r="D68" s="6"/>
      <c r="E68" s="2"/>
      <c r="F68" s="7">
        <f t="shared" si="55"/>
        <v>0</v>
      </c>
      <c r="G68" s="2"/>
      <c r="H68" s="6"/>
      <c r="I68" s="2"/>
      <c r="J68" s="7">
        <f t="shared" si="56"/>
        <v>0</v>
      </c>
      <c r="K68" s="2"/>
      <c r="L68" s="6">
        <f t="shared" si="57"/>
        <v>0</v>
      </c>
      <c r="M68" s="2"/>
      <c r="N68" s="7">
        <f t="shared" si="58"/>
        <v>0</v>
      </c>
      <c r="O68" s="10"/>
      <c r="P68" s="6"/>
      <c r="Q68" s="2"/>
      <c r="R68" s="7">
        <f t="shared" si="59"/>
        <v>0</v>
      </c>
      <c r="S68" s="2"/>
      <c r="T68" s="6">
        <v>66</v>
      </c>
      <c r="U68" s="2"/>
      <c r="V68" s="7">
        <f t="shared" si="60"/>
        <v>9.5663844902121542E-5</v>
      </c>
      <c r="W68" s="2"/>
      <c r="X68" s="6">
        <f t="shared" si="61"/>
        <v>-66</v>
      </c>
      <c r="Y68" s="2"/>
      <c r="Z68" s="7">
        <f t="shared" si="62"/>
        <v>-1</v>
      </c>
    </row>
    <row r="69" spans="1:26" s="26" customFormat="1" outlineLevel="1" collapsed="1" x14ac:dyDescent="0.25">
      <c r="A69" s="25"/>
      <c r="B69" s="12" t="str">
        <f>CONCATENATE("     ","Utilities                                         ")</f>
        <v xml:space="preserve">     Utilities                                         </v>
      </c>
      <c r="C69" s="12"/>
      <c r="D69" s="1">
        <f>SUM(OSRRefD22_13x_0)</f>
        <v>208</v>
      </c>
      <c r="E69" s="1"/>
      <c r="F69" s="5">
        <f t="shared" si="55"/>
        <v>0</v>
      </c>
      <c r="G69" s="1"/>
      <c r="H69" s="1">
        <f>SUM(OSRRefH22_13x_0)</f>
        <v>208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2"/>
      <c r="P69" s="1">
        <f>SUM(OSRRefP22_13x_0)</f>
        <v>1163</v>
      </c>
      <c r="Q69" s="1"/>
      <c r="R69" s="5">
        <f t="shared" si="59"/>
        <v>0</v>
      </c>
      <c r="S69" s="1"/>
      <c r="T69" s="1">
        <f>SUM(OSRRefT22_13x_0)</f>
        <v>2225</v>
      </c>
      <c r="U69" s="1"/>
      <c r="V69" s="5">
        <f t="shared" si="60"/>
        <v>3.2250311349578853E-3</v>
      </c>
      <c r="W69" s="1"/>
      <c r="X69" s="1">
        <f t="shared" si="61"/>
        <v>-1062</v>
      </c>
      <c r="Y69" s="1"/>
      <c r="Z69" s="5">
        <f t="shared" si="62"/>
        <v>-0.47730337078651686</v>
      </c>
    </row>
    <row r="70" spans="1:26" s="23" customFormat="1" hidden="1" outlineLevel="2" x14ac:dyDescent="0.25">
      <c r="A70" s="27"/>
      <c r="B70" s="10" t="str">
        <f>CONCATENATE("          ", "6274", " - ", "UTILITIES")</f>
        <v xml:space="preserve">          6274 - UTILITIES</v>
      </c>
      <c r="C70" s="10"/>
      <c r="D70" s="6">
        <v>208</v>
      </c>
      <c r="E70" s="2"/>
      <c r="F70" s="7">
        <f t="shared" si="55"/>
        <v>0</v>
      </c>
      <c r="G70" s="2"/>
      <c r="H70" s="6">
        <v>208</v>
      </c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>
        <v>1163</v>
      </c>
      <c r="Q70" s="2"/>
      <c r="R70" s="7">
        <f t="shared" si="59"/>
        <v>0</v>
      </c>
      <c r="S70" s="2"/>
      <c r="T70" s="6">
        <v>2225</v>
      </c>
      <c r="U70" s="2"/>
      <c r="V70" s="7">
        <f t="shared" si="60"/>
        <v>3.2250311349578853E-3</v>
      </c>
      <c r="W70" s="2"/>
      <c r="X70" s="6">
        <f t="shared" si="61"/>
        <v>-1062</v>
      </c>
      <c r="Y70" s="2"/>
      <c r="Z70" s="7">
        <f t="shared" si="62"/>
        <v>-0.47730337078651686</v>
      </c>
    </row>
    <row r="71" spans="1:26" s="57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4" customFormat="1" x14ac:dyDescent="0.25">
      <c r="A72" s="11"/>
      <c r="B72" s="29" t="s">
        <v>292</v>
      </c>
      <c r="C72" s="11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8" t="s">
        <v>276</v>
      </c>
      <c r="C74" s="28"/>
      <c r="D74" s="20">
        <f>+D20-D22+D72</f>
        <v>-2225.34</v>
      </c>
      <c r="E74" s="14"/>
      <c r="F74" s="21">
        <f>IF(D$12=0,0,D74/D$12)</f>
        <v>0</v>
      </c>
      <c r="G74" s="14"/>
      <c r="H74" s="20">
        <f>+H20-H22+H72</f>
        <v>-8847.010000000002</v>
      </c>
      <c r="I74" s="14"/>
      <c r="J74" s="21">
        <f>IF(H$12=0,0,H74/H$12)</f>
        <v>0</v>
      </c>
      <c r="K74" s="15"/>
      <c r="L74" s="20">
        <f>+D74-H74</f>
        <v>6621.6700000000019</v>
      </c>
      <c r="M74" s="15"/>
      <c r="N74" s="21">
        <f>IF(H74=0,0,L74/H74)</f>
        <v>-0.74846417038072754</v>
      </c>
      <c r="O74" s="29"/>
      <c r="P74" s="20">
        <f>+P20-P22+P72</f>
        <v>-25266.010000000002</v>
      </c>
      <c r="Q74" s="14"/>
      <c r="R74" s="21">
        <f>IF(P$12=0,0,P74/P$12)</f>
        <v>0</v>
      </c>
      <c r="S74" s="14"/>
      <c r="T74" s="20">
        <f>+T20-T22+T72</f>
        <v>17543.189999999886</v>
      </c>
      <c r="U74" s="14"/>
      <c r="V74" s="21">
        <f>IF(T$12=0,0,T74/T$12)</f>
        <v>2.5428015261339979E-2</v>
      </c>
      <c r="W74" s="15"/>
      <c r="X74" s="20">
        <f>+P74-T74</f>
        <v>-42809.199999999888</v>
      </c>
      <c r="Y74" s="15"/>
      <c r="Z74" s="21">
        <f>IF(T74=0,0,X74/T74)</f>
        <v>-2.4402175431036297</v>
      </c>
    </row>
    <row r="75" spans="1:26" x14ac:dyDescent="0.25">
      <c r="A75" s="9"/>
      <c r="B75" s="11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51"/>
      <c r="B76" s="11" t="s">
        <v>127</v>
      </c>
      <c r="C76" s="11"/>
      <c r="D76" s="4"/>
      <c r="E76" s="4"/>
      <c r="F76" s="13">
        <f>IF(D$12=0,0,D76/D$12)</f>
        <v>0</v>
      </c>
      <c r="G76" s="4"/>
      <c r="H76" s="4">
        <v>3365.23</v>
      </c>
      <c r="I76" s="4"/>
      <c r="J76" s="13">
        <f>IF(H$12=0,0,H76/H$12)</f>
        <v>0</v>
      </c>
      <c r="K76" s="4"/>
      <c r="L76" s="4">
        <f>+D76-H76</f>
        <v>-3365.23</v>
      </c>
      <c r="M76" s="4"/>
      <c r="N76" s="13">
        <f>IF(H76=0,0,L76/H76)</f>
        <v>-1</v>
      </c>
      <c r="O76" s="11"/>
      <c r="P76" s="4"/>
      <c r="Q76" s="4"/>
      <c r="R76" s="13">
        <f>IF(P$12=0,0,P76/P$12)</f>
        <v>0</v>
      </c>
      <c r="S76" s="4"/>
      <c r="T76" s="4">
        <v>81700.23</v>
      </c>
      <c r="U76" s="4"/>
      <c r="V76" s="13">
        <f>IF(T$12=0,0,T76/T$12)</f>
        <v>0.11842057774526753</v>
      </c>
      <c r="W76" s="4"/>
      <c r="X76" s="4">
        <f>+P76-T76</f>
        <v>-81700.23</v>
      </c>
      <c r="Y76" s="4"/>
      <c r="Z76" s="13">
        <f>IF(T76=0,0,X76/T76)</f>
        <v>-1</v>
      </c>
    </row>
    <row r="77" spans="1:26" x14ac:dyDescent="0.25">
      <c r="A77" s="9"/>
      <c r="B77" s="11"/>
      <c r="C77" s="11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1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125</v>
      </c>
      <c r="C78" s="28"/>
      <c r="D78" s="35">
        <f>+D74-D76</f>
        <v>-2225.34</v>
      </c>
      <c r="E78" s="14"/>
      <c r="F78" s="36">
        <f>IF(D$12=0,0,D78/D$12)</f>
        <v>0</v>
      </c>
      <c r="G78" s="14"/>
      <c r="H78" s="35">
        <f>+H74-H76</f>
        <v>-12212.240000000002</v>
      </c>
      <c r="I78" s="14"/>
      <c r="J78" s="36">
        <f>IF(H$12=0,0,H78/H$12)</f>
        <v>0</v>
      </c>
      <c r="K78" s="15"/>
      <c r="L78" s="35">
        <f>D78-H78</f>
        <v>9986.9000000000015</v>
      </c>
      <c r="M78" s="15"/>
      <c r="N78" s="36">
        <f>IF(H78=0,0,L78/H78)</f>
        <v>-0.81777790151520113</v>
      </c>
      <c r="O78" s="29"/>
      <c r="P78" s="35">
        <f>+P74-P76</f>
        <v>-25266.010000000002</v>
      </c>
      <c r="Q78" s="14"/>
      <c r="R78" s="36">
        <f>IF(P$12=0,0,P78/P$12)</f>
        <v>0</v>
      </c>
      <c r="S78" s="14"/>
      <c r="T78" s="35">
        <f>+T74-T76</f>
        <v>-64157.04000000011</v>
      </c>
      <c r="U78" s="14"/>
      <c r="V78" s="36">
        <f>IF(T$12=0,0,T78/T$12)</f>
        <v>-9.2992562483927552E-2</v>
      </c>
      <c r="W78" s="15"/>
      <c r="X78" s="35">
        <f>P78-T78</f>
        <v>38891.030000000108</v>
      </c>
      <c r="Y78" s="15"/>
      <c r="Z78" s="36">
        <f>IF(T78=0,0,X78/T78)</f>
        <v>-0.60618491750866377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8" t="s">
        <v>293</v>
      </c>
      <c r="C81" s="28"/>
      <c r="D81" s="30">
        <f>SUM(D78:D80)</f>
        <v>-2225.34</v>
      </c>
      <c r="E81" s="14"/>
      <c r="F81" s="31">
        <f>IF(D$12=0,0,D81/D$12)</f>
        <v>0</v>
      </c>
      <c r="G81" s="14"/>
      <c r="H81" s="30">
        <f>SUM(H78:H80)</f>
        <v>-12212.240000000002</v>
      </c>
      <c r="I81" s="14"/>
      <c r="J81" s="31">
        <f>IF(H$12=0,0,H81/H$12)</f>
        <v>0</v>
      </c>
      <c r="K81" s="15"/>
      <c r="L81" s="30">
        <f>+D81-H81</f>
        <v>9986.9000000000015</v>
      </c>
      <c r="M81" s="15"/>
      <c r="N81" s="31">
        <f>IF(H81=0,0,L81/H81)</f>
        <v>-0.81777790151520113</v>
      </c>
      <c r="O81" s="29"/>
      <c r="P81" s="30">
        <f>SUM(P78:P80)</f>
        <v>-25266.010000000002</v>
      </c>
      <c r="Q81" s="14"/>
      <c r="R81" s="31">
        <f>IF(P$12=0,0,P81/P$12)</f>
        <v>0</v>
      </c>
      <c r="S81" s="14"/>
      <c r="T81" s="30">
        <f>SUM(T78:T80)</f>
        <v>-64157.04000000011</v>
      </c>
      <c r="U81" s="14"/>
      <c r="V81" s="31">
        <f>IF(T$12=0,0,T81/T$12)</f>
        <v>-9.2992562483927552E-2</v>
      </c>
      <c r="W81" s="15"/>
      <c r="X81" s="30">
        <f>+P81-T81</f>
        <v>38891.030000000108</v>
      </c>
      <c r="Y81" s="15"/>
      <c r="Z81" s="31">
        <f>IF(T81=0,0,X81/T81)</f>
        <v>-0.60618491750866377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9">
        <v>44356.893348032405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2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4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596954.75</v>
      </c>
      <c r="U12" s="4"/>
      <c r="V12" s="13"/>
      <c r="W12" s="4"/>
      <c r="X12" s="4">
        <f t="shared" ref="X12:X14" si="2">+P12-T12</f>
        <v>-596954.75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--105564.32</f>
        <v>105564.32</v>
      </c>
      <c r="U13" s="2"/>
      <c r="V13" s="19"/>
      <c r="W13" s="2"/>
      <c r="X13" s="2">
        <f t="shared" si="2"/>
        <v>-105564.32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--491390.43</f>
        <v>491390.43</v>
      </c>
      <c r="U14" s="2"/>
      <c r="V14" s="19"/>
      <c r="W14" s="2"/>
      <c r="X14" s="2">
        <f t="shared" si="2"/>
        <v>-491390.43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-828.9</v>
      </c>
      <c r="I16" s="4"/>
      <c r="J16" s="13">
        <f t="shared" ref="J16:J18" si="8">IF(H$12=0,0,H16/H$12)</f>
        <v>0</v>
      </c>
      <c r="K16" s="4"/>
      <c r="L16" s="4">
        <f t="shared" ref="L16:L18" si="9">+D16-H16</f>
        <v>828.9</v>
      </c>
      <c r="M16" s="4"/>
      <c r="N16" s="13">
        <f t="shared" ref="N16:N18" si="10">IF(H16=0,0,L16/H16)</f>
        <v>-1</v>
      </c>
      <c r="O16" s="11"/>
      <c r="P16" s="4">
        <f>SUM(OSRRefP16x_0)</f>
        <v>10994.04</v>
      </c>
      <c r="Q16" s="4"/>
      <c r="R16" s="13">
        <f t="shared" ref="R16:R18" si="11">IF(P$12=0,0,P16/P$12)</f>
        <v>0</v>
      </c>
      <c r="S16" s="4"/>
      <c r="T16" s="4">
        <f>SUM(OSRRefT16x_0)</f>
        <v>292875.49</v>
      </c>
      <c r="U16" s="4"/>
      <c r="V16" s="13">
        <f t="shared" ref="V16:V18" si="12">IF(T$12=0,0,T16/T$12)</f>
        <v>0.49061589676604467</v>
      </c>
      <c r="W16" s="4"/>
      <c r="X16" s="4">
        <f t="shared" ref="X16:X18" si="13">+P16-T16</f>
        <v>-281881.45</v>
      </c>
      <c r="Y16" s="4"/>
      <c r="Z16" s="13">
        <f t="shared" ref="Z16:Z18" si="14">IF(T16=0,0,X16/T16)</f>
        <v>-0.96246172733676016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-828.9</v>
      </c>
      <c r="I17" s="2"/>
      <c r="J17" s="19">
        <f t="shared" si="8"/>
        <v>0</v>
      </c>
      <c r="K17" s="2"/>
      <c r="L17" s="2">
        <f t="shared" si="9"/>
        <v>828.9</v>
      </c>
      <c r="M17" s="2"/>
      <c r="N17" s="19">
        <f t="shared" si="10"/>
        <v>-1</v>
      </c>
      <c r="O17" s="10"/>
      <c r="P17" s="2">
        <v>-634.96</v>
      </c>
      <c r="Q17" s="2"/>
      <c r="R17" s="19">
        <f t="shared" si="11"/>
        <v>0</v>
      </c>
      <c r="S17" s="2"/>
      <c r="T17" s="2">
        <v>281898.5</v>
      </c>
      <c r="U17" s="2"/>
      <c r="V17" s="19">
        <f t="shared" si="12"/>
        <v>0.47222758508915458</v>
      </c>
      <c r="W17" s="2"/>
      <c r="X17" s="2">
        <f t="shared" si="13"/>
        <v>-282533.46000000002</v>
      </c>
      <c r="Y17" s="2"/>
      <c r="Z17" s="19">
        <f t="shared" si="14"/>
        <v>-1.0022524419250192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>
        <v>11629</v>
      </c>
      <c r="Q18" s="2"/>
      <c r="R18" s="19">
        <f t="shared" si="11"/>
        <v>0</v>
      </c>
      <c r="S18" s="2"/>
      <c r="T18" s="2">
        <v>10976.99</v>
      </c>
      <c r="U18" s="2"/>
      <c r="V18" s="19">
        <f t="shared" si="12"/>
        <v>1.8388311676890083E-2</v>
      </c>
      <c r="W18" s="2"/>
      <c r="X18" s="2">
        <f t="shared" si="13"/>
        <v>652.01000000000022</v>
      </c>
      <c r="Y18" s="2"/>
      <c r="Z18" s="19">
        <f t="shared" si="14"/>
        <v>5.939788594141019E-2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828.9</v>
      </c>
      <c r="I20" s="14"/>
      <c r="J20" s="21">
        <f>IF(H$12=0,0,H20/H$12)</f>
        <v>0</v>
      </c>
      <c r="K20" s="15"/>
      <c r="L20" s="20">
        <f>+D20-H20</f>
        <v>-828.9</v>
      </c>
      <c r="M20" s="15"/>
      <c r="N20" s="21">
        <f>IF(H20=0,0,L20/H20)</f>
        <v>-1</v>
      </c>
      <c r="O20" s="29"/>
      <c r="P20" s="20">
        <f>P12-P16</f>
        <v>-10994.04</v>
      </c>
      <c r="Q20" s="14"/>
      <c r="R20" s="21">
        <f>IF(P$12=0,0,P20/P$12)</f>
        <v>0</v>
      </c>
      <c r="S20" s="14"/>
      <c r="T20" s="20">
        <f>T12-T16</f>
        <v>304079.26</v>
      </c>
      <c r="U20" s="14"/>
      <c r="V20" s="21">
        <f>IF(T$12=0,0,T20/T$12)</f>
        <v>0.50938410323395533</v>
      </c>
      <c r="W20" s="15"/>
      <c r="X20" s="20">
        <f>+P20-T20</f>
        <v>-315073.3</v>
      </c>
      <c r="Y20" s="15"/>
      <c r="Z20" s="21">
        <f>IF(T20=0,0,X20/T20)</f>
        <v>-1.0361551787517504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11171.279999999999</v>
      </c>
      <c r="E22" s="22"/>
      <c r="F22" s="32">
        <f t="shared" ref="F22:F31" si="15">IF(D$12=0,0,D22/D$12)</f>
        <v>0</v>
      </c>
      <c r="G22" s="22"/>
      <c r="H22" s="22">
        <f>SUM(OSRRefH22x_0)</f>
        <v>16506.460000000003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-5335.1800000000039</v>
      </c>
      <c r="M22" s="4"/>
      <c r="N22" s="32">
        <f t="shared" ref="N22:N31" si="18">IF(H22=0,0,L22/H22)</f>
        <v>-0.32321769779831672</v>
      </c>
      <c r="O22" s="11"/>
      <c r="P22" s="22">
        <f>SUM(OSRRefP22x_0)</f>
        <v>122081.77</v>
      </c>
      <c r="Q22" s="22"/>
      <c r="R22" s="32">
        <f t="shared" ref="R22:R31" si="19">IF(P$12=0,0,P22/P$12)</f>
        <v>0</v>
      </c>
      <c r="S22" s="22"/>
      <c r="T22" s="22">
        <f>SUM(OSRRefT22x_0)</f>
        <v>310222.73</v>
      </c>
      <c r="U22" s="22"/>
      <c r="V22" s="32">
        <f t="shared" ref="V22:V31" si="20">IF(T$12=0,0,T22/T$12)</f>
        <v>0.51967545278766936</v>
      </c>
      <c r="W22" s="4"/>
      <c r="X22" s="22">
        <f t="shared" ref="X22:X31" si="21">+P22-T22</f>
        <v>-188140.95999999996</v>
      </c>
      <c r="Y22" s="4"/>
      <c r="Z22" s="32">
        <f t="shared" ref="Z22:Z31" si="22">IF(T22=0,0,X22/T22)</f>
        <v>-0.60647058324836478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3289.92</v>
      </c>
      <c r="I23" s="1"/>
      <c r="J23" s="5">
        <f t="shared" si="16"/>
        <v>0</v>
      </c>
      <c r="K23" s="1"/>
      <c r="L23" s="1">
        <f t="shared" si="17"/>
        <v>-3289.92</v>
      </c>
      <c r="M23" s="1"/>
      <c r="N23" s="5">
        <f t="shared" si="18"/>
        <v>-1</v>
      </c>
      <c r="O23" s="12"/>
      <c r="P23" s="1">
        <f>SUM(OSRRefP22_0x_0)</f>
        <v>2889.72</v>
      </c>
      <c r="Q23" s="1"/>
      <c r="R23" s="5">
        <f t="shared" si="19"/>
        <v>0</v>
      </c>
      <c r="S23" s="1"/>
      <c r="T23" s="1">
        <f>SUM(OSRRefT22_0x_0)</f>
        <v>41432.700000000004</v>
      </c>
      <c r="U23" s="1"/>
      <c r="V23" s="5">
        <f t="shared" si="20"/>
        <v>6.9406768268449159E-2</v>
      </c>
      <c r="W23" s="1"/>
      <c r="X23" s="1">
        <f t="shared" si="21"/>
        <v>-38542.980000000003</v>
      </c>
      <c r="Y23" s="1"/>
      <c r="Z23" s="5">
        <f t="shared" si="22"/>
        <v>-0.9302550883722277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318.24</v>
      </c>
      <c r="I24" s="2"/>
      <c r="J24" s="7">
        <f t="shared" si="16"/>
        <v>0</v>
      </c>
      <c r="K24" s="2"/>
      <c r="L24" s="6">
        <f t="shared" si="17"/>
        <v>-318.24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6035.4</v>
      </c>
      <c r="U24" s="2"/>
      <c r="V24" s="7">
        <f t="shared" si="20"/>
        <v>1.0110314056467428E-2</v>
      </c>
      <c r="W24" s="2"/>
      <c r="X24" s="6">
        <f t="shared" si="21"/>
        <v>-5876.28</v>
      </c>
      <c r="Y24" s="2"/>
      <c r="Z24" s="7">
        <f t="shared" si="22"/>
        <v>-0.97363555025350434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118.56</v>
      </c>
      <c r="I25" s="2"/>
      <c r="J25" s="7">
        <f t="shared" si="16"/>
        <v>0</v>
      </c>
      <c r="K25" s="2"/>
      <c r="L25" s="6">
        <f t="shared" si="17"/>
        <v>-118.56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2071.85</v>
      </c>
      <c r="U25" s="2"/>
      <c r="V25" s="7">
        <f t="shared" si="20"/>
        <v>3.4706985747244659E-3</v>
      </c>
      <c r="W25" s="2"/>
      <c r="X25" s="6">
        <f t="shared" si="21"/>
        <v>-2071.85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1915.63</v>
      </c>
      <c r="I26" s="2"/>
      <c r="J26" s="7">
        <f t="shared" si="16"/>
        <v>0</v>
      </c>
      <c r="K26" s="2"/>
      <c r="L26" s="6">
        <f t="shared" si="17"/>
        <v>-1915.63</v>
      </c>
      <c r="M26" s="2"/>
      <c r="N26" s="7">
        <f t="shared" si="18"/>
        <v>-1</v>
      </c>
      <c r="O26" s="10"/>
      <c r="P26" s="6">
        <v>1915.63</v>
      </c>
      <c r="Q26" s="2"/>
      <c r="R26" s="7">
        <f t="shared" si="19"/>
        <v>0</v>
      </c>
      <c r="S26" s="2"/>
      <c r="T26" s="6">
        <v>20940.72</v>
      </c>
      <c r="U26" s="2"/>
      <c r="V26" s="7">
        <f t="shared" si="20"/>
        <v>3.5079241768324991E-2</v>
      </c>
      <c r="W26" s="2"/>
      <c r="X26" s="6">
        <f t="shared" si="21"/>
        <v>-19025.09</v>
      </c>
      <c r="Y26" s="2"/>
      <c r="Z26" s="7">
        <f t="shared" si="22"/>
        <v>-0.90852129248660018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16.22</v>
      </c>
      <c r="I27" s="2"/>
      <c r="J27" s="7">
        <f t="shared" si="16"/>
        <v>0</v>
      </c>
      <c r="K27" s="2"/>
      <c r="L27" s="6">
        <f t="shared" si="17"/>
        <v>-16.22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319.77999999999997</v>
      </c>
      <c r="U27" s="2"/>
      <c r="V27" s="7">
        <f t="shared" si="20"/>
        <v>5.3568549374973559E-4</v>
      </c>
      <c r="W27" s="2"/>
      <c r="X27" s="6">
        <f t="shared" si="21"/>
        <v>-319.77999999999997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425.19</v>
      </c>
      <c r="I28" s="2"/>
      <c r="J28" s="7">
        <f t="shared" si="16"/>
        <v>0</v>
      </c>
      <c r="K28" s="2"/>
      <c r="L28" s="6">
        <f t="shared" si="17"/>
        <v>-425.19</v>
      </c>
      <c r="M28" s="2"/>
      <c r="N28" s="7">
        <f t="shared" si="18"/>
        <v>-1</v>
      </c>
      <c r="O28" s="10"/>
      <c r="P28" s="6">
        <v>458.89</v>
      </c>
      <c r="Q28" s="2"/>
      <c r="R28" s="7">
        <f t="shared" si="19"/>
        <v>0</v>
      </c>
      <c r="S28" s="2"/>
      <c r="T28" s="6">
        <v>4957.76</v>
      </c>
      <c r="U28" s="2"/>
      <c r="V28" s="7">
        <f t="shared" si="20"/>
        <v>8.3050851006713656E-3</v>
      </c>
      <c r="W28" s="2"/>
      <c r="X28" s="6">
        <f t="shared" si="21"/>
        <v>-4498.87</v>
      </c>
      <c r="Y28" s="2"/>
      <c r="Z28" s="7">
        <f t="shared" si="22"/>
        <v>-0.90744005357258106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304.2</v>
      </c>
      <c r="I29" s="2"/>
      <c r="J29" s="7">
        <f t="shared" si="16"/>
        <v>0</v>
      </c>
      <c r="K29" s="2"/>
      <c r="L29" s="6">
        <f t="shared" si="17"/>
        <v>-304.2</v>
      </c>
      <c r="M29" s="2"/>
      <c r="N29" s="7">
        <f t="shared" si="18"/>
        <v>-1</v>
      </c>
      <c r="O29" s="10"/>
      <c r="P29" s="6">
        <v>152.1</v>
      </c>
      <c r="Q29" s="2"/>
      <c r="R29" s="7">
        <f t="shared" si="19"/>
        <v>0</v>
      </c>
      <c r="S29" s="2"/>
      <c r="T29" s="6">
        <v>3498.3</v>
      </c>
      <c r="U29" s="2"/>
      <c r="V29" s="7">
        <f t="shared" si="20"/>
        <v>5.8602431758856101E-3</v>
      </c>
      <c r="W29" s="2"/>
      <c r="X29" s="6">
        <f t="shared" si="21"/>
        <v>-3346.2000000000003</v>
      </c>
      <c r="Y29" s="2"/>
      <c r="Z29" s="7">
        <f t="shared" si="22"/>
        <v>-0.95652173913043481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191.88</v>
      </c>
      <c r="I30" s="2"/>
      <c r="J30" s="7">
        <f t="shared" si="16"/>
        <v>0</v>
      </c>
      <c r="K30" s="2"/>
      <c r="L30" s="6">
        <f t="shared" si="17"/>
        <v>-191.88</v>
      </c>
      <c r="M30" s="2"/>
      <c r="N30" s="7">
        <f t="shared" si="18"/>
        <v>-1</v>
      </c>
      <c r="O30" s="10"/>
      <c r="P30" s="6">
        <v>203.98</v>
      </c>
      <c r="Q30" s="2"/>
      <c r="R30" s="7">
        <f t="shared" si="19"/>
        <v>0</v>
      </c>
      <c r="S30" s="2"/>
      <c r="T30" s="6">
        <v>2206.62</v>
      </c>
      <c r="U30" s="2"/>
      <c r="V30" s="7">
        <f t="shared" si="20"/>
        <v>3.6964610801739997E-3</v>
      </c>
      <c r="W30" s="2"/>
      <c r="X30" s="6">
        <f t="shared" si="21"/>
        <v>-2002.6399999999999</v>
      </c>
      <c r="Y30" s="2"/>
      <c r="Z30" s="7">
        <f t="shared" si="22"/>
        <v>-0.90755997860981952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1402.27</v>
      </c>
      <c r="U31" s="2"/>
      <c r="V31" s="7">
        <f t="shared" si="20"/>
        <v>2.349039018451566E-3</v>
      </c>
      <c r="W31" s="2"/>
      <c r="X31" s="6">
        <f t="shared" si="21"/>
        <v>-1402.27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1872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-1872</v>
      </c>
      <c r="M32" s="1"/>
      <c r="N32" s="5">
        <f t="shared" ref="N32:N37" si="26">IF(H32=0,0,L32/H32)</f>
        <v>-1</v>
      </c>
      <c r="O32" s="12"/>
      <c r="P32" s="1">
        <f>SUM(OSRRefP22_1x_0)</f>
        <v>884</v>
      </c>
      <c r="Q32" s="1"/>
      <c r="R32" s="5">
        <f t="shared" ref="R32:R37" si="27">IF(P$12=0,0,P32/P$12)</f>
        <v>0</v>
      </c>
      <c r="S32" s="1"/>
      <c r="T32" s="1">
        <f>SUM(OSRRefT22_1x_0)</f>
        <v>105483.43000000001</v>
      </c>
      <c r="U32" s="1"/>
      <c r="V32" s="5">
        <f t="shared" ref="V32:V37" si="28">IF(T$12=0,0,T32/T$12)</f>
        <v>0.17670255576322996</v>
      </c>
      <c r="W32" s="1"/>
      <c r="X32" s="1">
        <f t="shared" ref="X32:X37" si="29">+P32-T32</f>
        <v>-104599.43000000001</v>
      </c>
      <c r="Y32" s="1"/>
      <c r="Z32" s="5">
        <f t="shared" ref="Z32:Z37" si="30">IF(T32=0,0,X32/T32)</f>
        <v>-0.99161953683151938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1872</v>
      </c>
      <c r="I33" s="2"/>
      <c r="J33" s="7">
        <f t="shared" si="24"/>
        <v>0</v>
      </c>
      <c r="K33" s="2"/>
      <c r="L33" s="6">
        <f t="shared" si="25"/>
        <v>-1872</v>
      </c>
      <c r="M33" s="2"/>
      <c r="N33" s="7">
        <f t="shared" si="26"/>
        <v>-1</v>
      </c>
      <c r="O33" s="10"/>
      <c r="P33" s="6">
        <v>884</v>
      </c>
      <c r="Q33" s="2"/>
      <c r="R33" s="7">
        <f t="shared" si="27"/>
        <v>0</v>
      </c>
      <c r="S33" s="2"/>
      <c r="T33" s="6">
        <v>37264</v>
      </c>
      <c r="U33" s="2"/>
      <c r="V33" s="7">
        <f t="shared" si="28"/>
        <v>6.2423491897836476E-2</v>
      </c>
      <c r="W33" s="2"/>
      <c r="X33" s="6">
        <f t="shared" si="29"/>
        <v>-36380</v>
      </c>
      <c r="Y33" s="2"/>
      <c r="Z33" s="7">
        <f t="shared" si="30"/>
        <v>-0.97627737226277367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254.64</v>
      </c>
      <c r="U34" s="2"/>
      <c r="V34" s="7">
        <f t="shared" si="28"/>
        <v>4.2656499508547338E-4</v>
      </c>
      <c r="W34" s="2"/>
      <c r="X34" s="6">
        <f t="shared" si="29"/>
        <v>-254.64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23945.94</v>
      </c>
      <c r="U35" s="2"/>
      <c r="V35" s="7">
        <f t="shared" si="28"/>
        <v>4.0113492689353755E-2</v>
      </c>
      <c r="W35" s="2"/>
      <c r="X35" s="6">
        <f t="shared" si="29"/>
        <v>-23945.94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40507.550000000003</v>
      </c>
      <c r="U36" s="2"/>
      <c r="V36" s="7">
        <f t="shared" si="28"/>
        <v>6.7856985810063497E-2</v>
      </c>
      <c r="W36" s="2"/>
      <c r="X36" s="6">
        <f t="shared" si="29"/>
        <v>-40507.550000000003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3511.3</v>
      </c>
      <c r="U37" s="2"/>
      <c r="V37" s="7">
        <f t="shared" si="28"/>
        <v>5.882020370890759E-3</v>
      </c>
      <c r="W37" s="2"/>
      <c r="X37" s="6">
        <f t="shared" si="29"/>
        <v>-3511.3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6" si="31">IF(D$12=0,0,D38/D$12)</f>
        <v>0</v>
      </c>
      <c r="G38" s="1"/>
      <c r="H38" s="1">
        <f>SUM(OSRRefH22_2x_0)</f>
        <v>0</v>
      </c>
      <c r="I38" s="1"/>
      <c r="J38" s="5">
        <f t="shared" ref="J38:J46" si="32">IF(H$12=0,0,H38/H$12)</f>
        <v>0</v>
      </c>
      <c r="K38" s="1"/>
      <c r="L38" s="1">
        <f t="shared" ref="L38:L46" si="33">+D38-H38</f>
        <v>0</v>
      </c>
      <c r="M38" s="1"/>
      <c r="N38" s="5">
        <f t="shared" ref="N38:N46" si="34">IF(H38=0,0,L38/H38)</f>
        <v>0</v>
      </c>
      <c r="O38" s="12"/>
      <c r="P38" s="1">
        <f>SUM(OSRRefP22_2x_0)</f>
        <v>0</v>
      </c>
      <c r="Q38" s="1"/>
      <c r="R38" s="5">
        <f t="shared" ref="R38:R46" si="35">IF(P$12=0,0,P38/P$12)</f>
        <v>0</v>
      </c>
      <c r="S38" s="1"/>
      <c r="T38" s="1">
        <f>SUM(OSRRefT22_2x_0)</f>
        <v>968.17</v>
      </c>
      <c r="U38" s="1"/>
      <c r="V38" s="5">
        <f t="shared" ref="V38:V46" si="36">IF(T$12=0,0,T38/T$12)</f>
        <v>1.6218482221642427E-3</v>
      </c>
      <c r="W38" s="1"/>
      <c r="X38" s="1">
        <f t="shared" ref="X38:X46" si="37">+P38-T38</f>
        <v>-968.17</v>
      </c>
      <c r="Y38" s="1"/>
      <c r="Z38" s="5">
        <f t="shared" ref="Z38:Z46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968.17</v>
      </c>
      <c r="U39" s="2"/>
      <c r="V39" s="7">
        <f t="shared" si="36"/>
        <v>1.6218482221642427E-3</v>
      </c>
      <c r="W39" s="2"/>
      <c r="X39" s="6">
        <f t="shared" si="37"/>
        <v>-968.17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-84.11</v>
      </c>
      <c r="U40" s="1"/>
      <c r="V40" s="5">
        <f t="shared" si="36"/>
        <v>-1.4089845168331435E-4</v>
      </c>
      <c r="W40" s="1"/>
      <c r="X40" s="1">
        <f t="shared" si="37"/>
        <v>84.11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-84.11</v>
      </c>
      <c r="U41" s="2"/>
      <c r="V41" s="7">
        <f t="shared" si="36"/>
        <v>-1.4089845168331435E-4</v>
      </c>
      <c r="W41" s="2"/>
      <c r="X41" s="6">
        <f t="shared" si="37"/>
        <v>84.11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22867.9</v>
      </c>
      <c r="U42" s="1"/>
      <c r="V42" s="5">
        <f t="shared" si="36"/>
        <v>3.8307593666019074E-2</v>
      </c>
      <c r="W42" s="1"/>
      <c r="X42" s="1">
        <f t="shared" si="37"/>
        <v>-22867.9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22867.9</v>
      </c>
      <c r="U43" s="2"/>
      <c r="V43" s="7">
        <f t="shared" si="36"/>
        <v>3.8307593666019074E-2</v>
      </c>
      <c r="W43" s="2"/>
      <c r="X43" s="6">
        <f t="shared" si="37"/>
        <v>-22867.9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5471.21</v>
      </c>
      <c r="E44" s="1"/>
      <c r="F44" s="5">
        <f t="shared" si="31"/>
        <v>0</v>
      </c>
      <c r="G44" s="1"/>
      <c r="H44" s="1">
        <f>SUM(OSRRefH22_5x_0)</f>
        <v>5582.59</v>
      </c>
      <c r="I44" s="1"/>
      <c r="J44" s="5">
        <f t="shared" si="32"/>
        <v>0</v>
      </c>
      <c r="K44" s="1"/>
      <c r="L44" s="1">
        <f t="shared" si="33"/>
        <v>-111.38000000000011</v>
      </c>
      <c r="M44" s="1"/>
      <c r="N44" s="5">
        <f t="shared" si="34"/>
        <v>-1.995131292106354E-2</v>
      </c>
      <c r="O44" s="12"/>
      <c r="P44" s="1">
        <f>SUM(OSRRefP22_5x_0)</f>
        <v>60628.81</v>
      </c>
      <c r="Q44" s="1"/>
      <c r="R44" s="5">
        <f t="shared" si="35"/>
        <v>0</v>
      </c>
      <c r="S44" s="1"/>
      <c r="T44" s="1">
        <f>SUM(OSRRefT22_5x_0)</f>
        <v>60637.66</v>
      </c>
      <c r="U44" s="1"/>
      <c r="V44" s="5">
        <f t="shared" si="36"/>
        <v>0.10157831895968665</v>
      </c>
      <c r="W44" s="1"/>
      <c r="X44" s="1">
        <f t="shared" si="37"/>
        <v>-8.8500000000058208</v>
      </c>
      <c r="Y44" s="1"/>
      <c r="Z44" s="5">
        <f t="shared" si="38"/>
        <v>-1.4594890370119528E-4</v>
      </c>
    </row>
    <row r="45" spans="1:26" s="23" customFormat="1" hidden="1" outlineLevel="2" x14ac:dyDescent="0.25">
      <c r="A45" s="27"/>
      <c r="B45" s="10" t="str">
        <f>CONCATENATE("          ", "6321", " - ", "BUILDING DEPRECIATION")</f>
        <v xml:space="preserve">          6321 - BUILDING DEPRECIATION</v>
      </c>
      <c r="C45" s="10"/>
      <c r="D45" s="6">
        <v>5080.51</v>
      </c>
      <c r="E45" s="2"/>
      <c r="F45" s="7">
        <f t="shared" si="31"/>
        <v>0</v>
      </c>
      <c r="G45" s="2"/>
      <c r="H45" s="6">
        <v>5080.51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55885.61</v>
      </c>
      <c r="Q45" s="2"/>
      <c r="R45" s="7">
        <f t="shared" si="35"/>
        <v>0</v>
      </c>
      <c r="S45" s="2"/>
      <c r="T45" s="6">
        <v>55885.61</v>
      </c>
      <c r="U45" s="2"/>
      <c r="V45" s="7">
        <f t="shared" si="36"/>
        <v>9.3617832842439061E-2</v>
      </c>
      <c r="W45" s="2"/>
      <c r="X45" s="6">
        <f t="shared" si="37"/>
        <v>0</v>
      </c>
      <c r="Y45" s="2"/>
      <c r="Z45" s="7">
        <f t="shared" si="38"/>
        <v>0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390.7</v>
      </c>
      <c r="E46" s="2"/>
      <c r="F46" s="7">
        <f t="shared" si="31"/>
        <v>0</v>
      </c>
      <c r="G46" s="2"/>
      <c r="H46" s="6">
        <v>502.08</v>
      </c>
      <c r="I46" s="2"/>
      <c r="J46" s="7">
        <f t="shared" si="32"/>
        <v>0</v>
      </c>
      <c r="K46" s="2"/>
      <c r="L46" s="6">
        <f t="shared" si="33"/>
        <v>-111.38</v>
      </c>
      <c r="M46" s="2"/>
      <c r="N46" s="7">
        <f t="shared" si="34"/>
        <v>-0.22183715742511154</v>
      </c>
      <c r="O46" s="10"/>
      <c r="P46" s="6">
        <v>4743.2</v>
      </c>
      <c r="Q46" s="2"/>
      <c r="R46" s="7">
        <f t="shared" si="35"/>
        <v>0</v>
      </c>
      <c r="S46" s="2"/>
      <c r="T46" s="6">
        <v>4752.05</v>
      </c>
      <c r="U46" s="2"/>
      <c r="V46" s="7">
        <f t="shared" si="36"/>
        <v>7.9604861172475807E-3</v>
      </c>
      <c r="W46" s="2"/>
      <c r="X46" s="6">
        <f t="shared" si="37"/>
        <v>-8.8500000000003638</v>
      </c>
      <c r="Y46" s="2"/>
      <c r="Z46" s="7">
        <f t="shared" si="38"/>
        <v>-1.8623541418967317E-3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ref="F47:F60" si="39">IF(D$12=0,0,D47/D$12)</f>
        <v>0</v>
      </c>
      <c r="G47" s="1"/>
      <c r="H47" s="1">
        <f>SUM(OSRRefH22_6x_0)</f>
        <v>0</v>
      </c>
      <c r="I47" s="1"/>
      <c r="J47" s="5">
        <f t="shared" ref="J47:J60" si="40">IF(H$12=0,0,H47/H$12)</f>
        <v>0</v>
      </c>
      <c r="K47" s="1"/>
      <c r="L47" s="1">
        <f t="shared" ref="L47:L60" si="41">+D47-H47</f>
        <v>0</v>
      </c>
      <c r="M47" s="1"/>
      <c r="N47" s="5">
        <f t="shared" ref="N47:N60" si="42">IF(H47=0,0,L47/H47)</f>
        <v>0</v>
      </c>
      <c r="O47" s="12"/>
      <c r="P47" s="1">
        <f>SUM(OSRRefP22_6x_0)</f>
        <v>0</v>
      </c>
      <c r="Q47" s="1"/>
      <c r="R47" s="5">
        <f t="shared" ref="R47:R60" si="43">IF(P$12=0,0,P47/P$12)</f>
        <v>0</v>
      </c>
      <c r="S47" s="1"/>
      <c r="T47" s="1">
        <f>SUM(OSRRefT22_6x_0)</f>
        <v>101.58</v>
      </c>
      <c r="U47" s="1"/>
      <c r="V47" s="5">
        <f t="shared" ref="V47:V60" si="44">IF(T$12=0,0,T47/T$12)</f>
        <v>1.7016365143254157E-4</v>
      </c>
      <c r="W47" s="1"/>
      <c r="X47" s="1">
        <f t="shared" ref="X47:X60" si="45">+P47-T47</f>
        <v>-101.58</v>
      </c>
      <c r="Y47" s="1"/>
      <c r="Z47" s="5">
        <f t="shared" ref="Z47:Z60" si="46">IF(T47=0,0,X47/T47)</f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101.58</v>
      </c>
      <c r="U48" s="2"/>
      <c r="V48" s="7">
        <f t="shared" si="44"/>
        <v>1.7016365143254157E-4</v>
      </c>
      <c r="W48" s="2"/>
      <c r="X48" s="6">
        <f t="shared" si="45"/>
        <v>-101.58</v>
      </c>
      <c r="Y48" s="2"/>
      <c r="Z48" s="7">
        <f t="shared" si="46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9"/>
        <v>0</v>
      </c>
      <c r="G49" s="1"/>
      <c r="H49" s="1">
        <f>SUM(OSRRefH22_7x_0)</f>
        <v>36.270000000000003</v>
      </c>
      <c r="I49" s="1"/>
      <c r="J49" s="5">
        <f t="shared" si="40"/>
        <v>0</v>
      </c>
      <c r="K49" s="1"/>
      <c r="L49" s="1">
        <f t="shared" si="41"/>
        <v>-36.270000000000003</v>
      </c>
      <c r="M49" s="1"/>
      <c r="N49" s="5">
        <f t="shared" si="42"/>
        <v>-1</v>
      </c>
      <c r="O49" s="12"/>
      <c r="P49" s="1">
        <f>SUM(OSRRefP22_7x_0)</f>
        <v>605.35</v>
      </c>
      <c r="Q49" s="1"/>
      <c r="R49" s="5">
        <f t="shared" si="43"/>
        <v>0</v>
      </c>
      <c r="S49" s="1"/>
      <c r="T49" s="1">
        <f>SUM(OSRRefT22_7x_0)</f>
        <v>974.12</v>
      </c>
      <c r="U49" s="1"/>
      <c r="V49" s="5">
        <f t="shared" si="44"/>
        <v>1.6318154768012148E-3</v>
      </c>
      <c r="W49" s="1"/>
      <c r="X49" s="1">
        <f t="shared" si="45"/>
        <v>-368.77</v>
      </c>
      <c r="Y49" s="1"/>
      <c r="Z49" s="5">
        <f t="shared" si="46"/>
        <v>-0.37856732230115386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9"/>
        <v>0</v>
      </c>
      <c r="G50" s="2"/>
      <c r="H50" s="6">
        <v>36.270000000000003</v>
      </c>
      <c r="I50" s="2"/>
      <c r="J50" s="7">
        <f t="shared" si="40"/>
        <v>0</v>
      </c>
      <c r="K50" s="2"/>
      <c r="L50" s="6">
        <f t="shared" si="41"/>
        <v>-36.270000000000003</v>
      </c>
      <c r="M50" s="2"/>
      <c r="N50" s="7">
        <f t="shared" si="42"/>
        <v>-1</v>
      </c>
      <c r="O50" s="10"/>
      <c r="P50" s="6">
        <v>605.35</v>
      </c>
      <c r="Q50" s="2"/>
      <c r="R50" s="7">
        <f t="shared" si="43"/>
        <v>0</v>
      </c>
      <c r="S50" s="2"/>
      <c r="T50" s="6">
        <v>974.12</v>
      </c>
      <c r="U50" s="2"/>
      <c r="V50" s="7">
        <f t="shared" si="44"/>
        <v>1.6318154768012148E-3</v>
      </c>
      <c r="W50" s="2"/>
      <c r="X50" s="6">
        <f t="shared" si="45"/>
        <v>-368.77</v>
      </c>
      <c r="Y50" s="2"/>
      <c r="Z50" s="7">
        <f t="shared" si="46"/>
        <v>-0.37856732230115386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9"/>
        <v>0</v>
      </c>
      <c r="G51" s="1"/>
      <c r="H51" s="1">
        <f>SUM(OSRRefH22_8x_0)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2"/>
      <c r="P51" s="1">
        <f>SUM(OSRRefP22_8x_0)</f>
        <v>914.55</v>
      </c>
      <c r="Q51" s="1"/>
      <c r="R51" s="5">
        <f t="shared" si="43"/>
        <v>0</v>
      </c>
      <c r="S51" s="1"/>
      <c r="T51" s="1">
        <f>SUM(OSRRefT22_8x_0)</f>
        <v>1345.73</v>
      </c>
      <c r="U51" s="1"/>
      <c r="V51" s="5">
        <f t="shared" si="44"/>
        <v>2.2543249718676331E-3</v>
      </c>
      <c r="W51" s="1"/>
      <c r="X51" s="1">
        <f t="shared" si="45"/>
        <v>-431.18000000000006</v>
      </c>
      <c r="Y51" s="1"/>
      <c r="Z51" s="5">
        <f t="shared" si="46"/>
        <v>-0.32040602498272319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>
        <v>914.55</v>
      </c>
      <c r="Q52" s="2"/>
      <c r="R52" s="7">
        <f t="shared" si="43"/>
        <v>0</v>
      </c>
      <c r="S52" s="2"/>
      <c r="T52" s="6">
        <v>1345.73</v>
      </c>
      <c r="U52" s="2"/>
      <c r="V52" s="7">
        <f t="shared" si="44"/>
        <v>2.2543249718676331E-3</v>
      </c>
      <c r="W52" s="2"/>
      <c r="X52" s="6">
        <f t="shared" si="45"/>
        <v>-431.18000000000006</v>
      </c>
      <c r="Y52" s="2"/>
      <c r="Z52" s="7">
        <f t="shared" si="46"/>
        <v>-0.32040602498272319</v>
      </c>
    </row>
    <row r="53" spans="1:26" s="26" customFormat="1" outlineLevel="1" collapsed="1" x14ac:dyDescent="0.25">
      <c r="A53" s="25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SUM(OSRRefD22_9x_0)</f>
        <v>243.54</v>
      </c>
      <c r="E53" s="1"/>
      <c r="F53" s="5">
        <f t="shared" si="39"/>
        <v>0</v>
      </c>
      <c r="G53" s="1"/>
      <c r="H53" s="1">
        <f>SUM(OSRRefH22_9x_0)</f>
        <v>243.54</v>
      </c>
      <c r="I53" s="1"/>
      <c r="J53" s="5">
        <f t="shared" si="40"/>
        <v>0</v>
      </c>
      <c r="K53" s="1"/>
      <c r="L53" s="1">
        <f t="shared" si="41"/>
        <v>0</v>
      </c>
      <c r="M53" s="1"/>
      <c r="N53" s="5">
        <f t="shared" si="42"/>
        <v>0</v>
      </c>
      <c r="O53" s="12"/>
      <c r="P53" s="1">
        <f>SUM(OSRRefP22_9x_0)</f>
        <v>2678.94</v>
      </c>
      <c r="Q53" s="1"/>
      <c r="R53" s="5">
        <f t="shared" si="43"/>
        <v>0</v>
      </c>
      <c r="S53" s="1"/>
      <c r="T53" s="1">
        <f>SUM(OSRRefT22_9x_0)</f>
        <v>2678.94</v>
      </c>
      <c r="U53" s="1"/>
      <c r="V53" s="5">
        <f t="shared" si="44"/>
        <v>4.4876768297764614E-3</v>
      </c>
      <c r="W53" s="1"/>
      <c r="X53" s="1">
        <f t="shared" si="45"/>
        <v>0</v>
      </c>
      <c r="Y53" s="1"/>
      <c r="Z53" s="5">
        <f t="shared" si="46"/>
        <v>0</v>
      </c>
    </row>
    <row r="54" spans="1:26" s="23" customFormat="1" hidden="1" outlineLevel="2" x14ac:dyDescent="0.25">
      <c r="A54" s="27"/>
      <c r="B54" s="10" t="str">
        <f>CONCATENATE("          ", "6314", " - ", "LIABILITY INSURANCE")</f>
        <v xml:space="preserve">          6314 - LIABILITY INSURANCE</v>
      </c>
      <c r="C54" s="10"/>
      <c r="D54" s="6">
        <v>243.54</v>
      </c>
      <c r="E54" s="2"/>
      <c r="F54" s="7">
        <f t="shared" si="39"/>
        <v>0</v>
      </c>
      <c r="G54" s="2"/>
      <c r="H54" s="6">
        <v>243.54</v>
      </c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>
        <v>2678.94</v>
      </c>
      <c r="Q54" s="2"/>
      <c r="R54" s="7">
        <f t="shared" si="43"/>
        <v>0</v>
      </c>
      <c r="S54" s="2"/>
      <c r="T54" s="6">
        <v>2678.94</v>
      </c>
      <c r="U54" s="2"/>
      <c r="V54" s="7">
        <f t="shared" si="44"/>
        <v>4.4876768297764614E-3</v>
      </c>
      <c r="W54" s="2"/>
      <c r="X54" s="6">
        <f t="shared" si="45"/>
        <v>0</v>
      </c>
      <c r="Y54" s="2"/>
      <c r="Z54" s="7">
        <f t="shared" si="46"/>
        <v>0</v>
      </c>
    </row>
    <row r="55" spans="1:26" s="26" customFormat="1" outlineLevel="1" collapsed="1" x14ac:dyDescent="0.25">
      <c r="A55" s="25"/>
      <c r="B55" s="12" t="str">
        <f>CONCATENATE("     ","Interest                                          ")</f>
        <v xml:space="preserve">     Interest                                          </v>
      </c>
      <c r="C55" s="12"/>
      <c r="D55" s="1">
        <f>SUM(OSRRefD22_10x_0)</f>
        <v>4044</v>
      </c>
      <c r="E55" s="1"/>
      <c r="F55" s="5">
        <f t="shared" si="39"/>
        <v>0</v>
      </c>
      <c r="G55" s="1"/>
      <c r="H55" s="1">
        <f>SUM(OSRRefH22_10x_0)</f>
        <v>4175</v>
      </c>
      <c r="I55" s="1"/>
      <c r="J55" s="5">
        <f t="shared" si="40"/>
        <v>0</v>
      </c>
      <c r="K55" s="1"/>
      <c r="L55" s="1">
        <f t="shared" si="41"/>
        <v>-131</v>
      </c>
      <c r="M55" s="1"/>
      <c r="N55" s="5">
        <f t="shared" si="42"/>
        <v>-3.1377245508982035E-2</v>
      </c>
      <c r="O55" s="12"/>
      <c r="P55" s="1">
        <f>SUM(OSRRefP22_10x_0)</f>
        <v>43390.85</v>
      </c>
      <c r="Q55" s="1"/>
      <c r="R55" s="5">
        <f t="shared" si="43"/>
        <v>0</v>
      </c>
      <c r="S55" s="1"/>
      <c r="T55" s="1">
        <f>SUM(OSRRefT22_10x_0)</f>
        <v>44668.77</v>
      </c>
      <c r="U55" s="1"/>
      <c r="V55" s="5">
        <f t="shared" si="44"/>
        <v>7.4827731917703977E-2</v>
      </c>
      <c r="W55" s="1"/>
      <c r="X55" s="1">
        <f t="shared" si="45"/>
        <v>-1277.9199999999983</v>
      </c>
      <c r="Y55" s="1"/>
      <c r="Z55" s="5">
        <f t="shared" si="46"/>
        <v>-2.8608802078051363E-2</v>
      </c>
    </row>
    <row r="56" spans="1:26" s="23" customFormat="1" hidden="1" outlineLevel="2" x14ac:dyDescent="0.25">
      <c r="A56" s="27"/>
      <c r="B56" s="10" t="str">
        <f>CONCATENATE("          ", "6401", " - ", "INTEREST EXPENSE")</f>
        <v xml:space="preserve">          6401 - INTEREST EXPENSE</v>
      </c>
      <c r="C56" s="10"/>
      <c r="D56" s="6">
        <v>4044</v>
      </c>
      <c r="E56" s="2"/>
      <c r="F56" s="7">
        <f t="shared" si="39"/>
        <v>0</v>
      </c>
      <c r="G56" s="2"/>
      <c r="H56" s="6">
        <v>4175</v>
      </c>
      <c r="I56" s="2"/>
      <c r="J56" s="7">
        <f t="shared" si="40"/>
        <v>0</v>
      </c>
      <c r="K56" s="2"/>
      <c r="L56" s="6">
        <f t="shared" si="41"/>
        <v>-131</v>
      </c>
      <c r="M56" s="2"/>
      <c r="N56" s="7">
        <f t="shared" si="42"/>
        <v>-3.1377245508982035E-2</v>
      </c>
      <c r="O56" s="10"/>
      <c r="P56" s="6">
        <v>43390.85</v>
      </c>
      <c r="Q56" s="2"/>
      <c r="R56" s="7">
        <f t="shared" si="43"/>
        <v>0</v>
      </c>
      <c r="S56" s="2"/>
      <c r="T56" s="6">
        <v>44668.77</v>
      </c>
      <c r="U56" s="2"/>
      <c r="V56" s="7">
        <f t="shared" si="44"/>
        <v>7.4827731917703977E-2</v>
      </c>
      <c r="W56" s="2"/>
      <c r="X56" s="6">
        <f t="shared" si="45"/>
        <v>-1277.9199999999983</v>
      </c>
      <c r="Y56" s="2"/>
      <c r="Z56" s="7">
        <f t="shared" si="46"/>
        <v>-2.8608802078051363E-2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SUM(OSRRefD22_11x_0)</f>
        <v>205.13</v>
      </c>
      <c r="E57" s="1"/>
      <c r="F57" s="5">
        <f t="shared" si="39"/>
        <v>0</v>
      </c>
      <c r="G57" s="1"/>
      <c r="H57" s="1">
        <f>SUM(OSRRefH22_11x_0)</f>
        <v>0</v>
      </c>
      <c r="I57" s="1"/>
      <c r="J57" s="5">
        <f t="shared" si="40"/>
        <v>0</v>
      </c>
      <c r="K57" s="1"/>
      <c r="L57" s="1">
        <f t="shared" si="41"/>
        <v>205.13</v>
      </c>
      <c r="M57" s="1"/>
      <c r="N57" s="5">
        <f t="shared" si="42"/>
        <v>0</v>
      </c>
      <c r="O57" s="12"/>
      <c r="P57" s="1">
        <f>SUM(OSRRefP22_11x_0)</f>
        <v>842.29</v>
      </c>
      <c r="Q57" s="1"/>
      <c r="R57" s="5">
        <f t="shared" si="43"/>
        <v>0</v>
      </c>
      <c r="S57" s="1"/>
      <c r="T57" s="1">
        <f>SUM(OSRRefT22_11x_0)</f>
        <v>1046.19</v>
      </c>
      <c r="U57" s="1"/>
      <c r="V57" s="5">
        <f t="shared" si="44"/>
        <v>1.7525448955720681E-3</v>
      </c>
      <c r="W57" s="1"/>
      <c r="X57" s="1">
        <f t="shared" si="45"/>
        <v>-203.90000000000009</v>
      </c>
      <c r="Y57" s="1"/>
      <c r="Z57" s="5">
        <f t="shared" si="46"/>
        <v>-0.19489767633030336</v>
      </c>
    </row>
    <row r="58" spans="1:26" s="23" customFormat="1" hidden="1" outlineLevel="2" x14ac:dyDescent="0.25">
      <c r="A58" s="27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437.31</v>
      </c>
      <c r="U58" s="2"/>
      <c r="V58" s="7">
        <f t="shared" si="44"/>
        <v>7.3256808828474861E-4</v>
      </c>
      <c r="W58" s="2"/>
      <c r="X58" s="6">
        <f t="shared" si="45"/>
        <v>-437.31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>
        <v>404.16</v>
      </c>
      <c r="Q59" s="2"/>
      <c r="R59" s="7">
        <f t="shared" si="43"/>
        <v>0</v>
      </c>
      <c r="S59" s="2"/>
      <c r="T59" s="6">
        <v>318.26</v>
      </c>
      <c r="U59" s="2"/>
      <c r="V59" s="7">
        <f t="shared" si="44"/>
        <v>5.3313923710297968E-4</v>
      </c>
      <c r="W59" s="2"/>
      <c r="X59" s="6">
        <f t="shared" si="45"/>
        <v>85.900000000000034</v>
      </c>
      <c r="Y59" s="2"/>
      <c r="Z59" s="7">
        <f t="shared" si="46"/>
        <v>0.26990510903035264</v>
      </c>
    </row>
    <row r="60" spans="1:26" s="23" customFormat="1" hidden="1" outlineLevel="2" x14ac:dyDescent="0.25">
      <c r="A60" s="27"/>
      <c r="B60" s="10" t="str">
        <f>CONCATENATE("          ", "6375", " - ", "OUTSIDE REPAIRS &amp; MAINTENANCE")</f>
        <v xml:space="preserve">          6375 - OUTSIDE REPAIRS &amp; MAINTENANCE</v>
      </c>
      <c r="C60" s="10"/>
      <c r="D60" s="6">
        <v>205.13</v>
      </c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205.13</v>
      </c>
      <c r="M60" s="2"/>
      <c r="N60" s="7">
        <f t="shared" si="42"/>
        <v>0</v>
      </c>
      <c r="O60" s="10"/>
      <c r="P60" s="6">
        <v>438.13</v>
      </c>
      <c r="Q60" s="2"/>
      <c r="R60" s="7">
        <f t="shared" si="43"/>
        <v>0</v>
      </c>
      <c r="S60" s="2"/>
      <c r="T60" s="6">
        <v>290.62</v>
      </c>
      <c r="U60" s="2"/>
      <c r="V60" s="7">
        <f t="shared" si="44"/>
        <v>4.8683757018433979E-4</v>
      </c>
      <c r="W60" s="2"/>
      <c r="X60" s="6">
        <f t="shared" si="45"/>
        <v>147.51</v>
      </c>
      <c r="Y60" s="2"/>
      <c r="Z60" s="7">
        <f t="shared" si="46"/>
        <v>0.50757002271006812</v>
      </c>
    </row>
    <row r="61" spans="1:26" s="26" customFormat="1" outlineLevel="1" collapsed="1" x14ac:dyDescent="0.25">
      <c r="A61" s="25"/>
      <c r="B61" s="12" t="str">
        <f>CONCATENATE("     ","Services                                          ")</f>
        <v xml:space="preserve">     Services                                          </v>
      </c>
      <c r="C61" s="12"/>
      <c r="D61" s="1">
        <f>SUM(OSRRefD22_12x_0)</f>
        <v>457.4</v>
      </c>
      <c r="E61" s="1"/>
      <c r="F61" s="5">
        <f t="shared" ref="F61:F64" si="47">IF(D$12=0,0,D61/D$12)</f>
        <v>0</v>
      </c>
      <c r="G61" s="1"/>
      <c r="H61" s="1">
        <f>SUM(OSRRefH22_12x_0)</f>
        <v>340.94</v>
      </c>
      <c r="I61" s="1"/>
      <c r="J61" s="5">
        <f t="shared" ref="J61:J64" si="48">IF(H$12=0,0,H61/H$12)</f>
        <v>0</v>
      </c>
      <c r="K61" s="1"/>
      <c r="L61" s="1">
        <f t="shared" ref="L61:L64" si="49">+D61-H61</f>
        <v>116.45999999999998</v>
      </c>
      <c r="M61" s="1"/>
      <c r="N61" s="5">
        <f t="shared" ref="N61:N64" si="50">IF(H61=0,0,L61/H61)</f>
        <v>0.34158502962398068</v>
      </c>
      <c r="O61" s="12"/>
      <c r="P61" s="1">
        <f>SUM(OSRRefP22_12x_0)</f>
        <v>2408.15</v>
      </c>
      <c r="Q61" s="1"/>
      <c r="R61" s="5">
        <f t="shared" ref="R61:R64" si="51">IF(P$12=0,0,P61/P$12)</f>
        <v>0</v>
      </c>
      <c r="S61" s="1"/>
      <c r="T61" s="1">
        <f>SUM(OSRRefT22_12x_0)</f>
        <v>5628.18</v>
      </c>
      <c r="U61" s="1"/>
      <c r="V61" s="5">
        <f t="shared" ref="V61:V64" si="52">IF(T$12=0,0,T61/T$12)</f>
        <v>9.428151798775368E-3</v>
      </c>
      <c r="W61" s="1"/>
      <c r="X61" s="1">
        <f t="shared" ref="X61:X64" si="53">+P61-T61</f>
        <v>-3220.03</v>
      </c>
      <c r="Y61" s="1"/>
      <c r="Z61" s="5">
        <f t="shared" ref="Z61:Z64" si="54">IF(T61=0,0,X61/T61)</f>
        <v>-0.5721263356893348</v>
      </c>
    </row>
    <row r="62" spans="1:26" s="23" customFormat="1" hidden="1" outlineLevel="2" x14ac:dyDescent="0.25">
      <c r="A62" s="27"/>
      <c r="B62" s="10" t="str">
        <f>CONCATENATE("          ", "6282", " - ", "JANITORIAL/EXTERMINATOR EXPENS")</f>
        <v xml:space="preserve">          6282 - JANITORIAL/EXTERMINATOR EXPENS</v>
      </c>
      <c r="C62" s="10"/>
      <c r="D62" s="6">
        <v>168.4</v>
      </c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168.4</v>
      </c>
      <c r="M62" s="2"/>
      <c r="N62" s="7">
        <f t="shared" si="50"/>
        <v>0</v>
      </c>
      <c r="O62" s="10"/>
      <c r="P62" s="6">
        <v>955.15</v>
      </c>
      <c r="Q62" s="2"/>
      <c r="R62" s="7">
        <f t="shared" si="51"/>
        <v>0</v>
      </c>
      <c r="S62" s="2"/>
      <c r="T62" s="6">
        <v>1573.5</v>
      </c>
      <c r="U62" s="2"/>
      <c r="V62" s="7">
        <f t="shared" si="52"/>
        <v>2.6358781800463102E-3</v>
      </c>
      <c r="W62" s="2"/>
      <c r="X62" s="6">
        <f t="shared" si="53"/>
        <v>-618.35</v>
      </c>
      <c r="Y62" s="2"/>
      <c r="Z62" s="7">
        <f t="shared" si="54"/>
        <v>-0.39297743883063235</v>
      </c>
    </row>
    <row r="63" spans="1:26" s="23" customFormat="1" hidden="1" outlineLevel="2" x14ac:dyDescent="0.25">
      <c r="A63" s="27"/>
      <c r="B63" s="10" t="str">
        <f>CONCATENATE("          ", "6284", " - ", "TRASH REMOVAL EXPENSE")</f>
        <v xml:space="preserve">          6284 - TRASH REMOVAL EXPENSE</v>
      </c>
      <c r="C63" s="10"/>
      <c r="D63" s="6">
        <v>289</v>
      </c>
      <c r="E63" s="2"/>
      <c r="F63" s="7">
        <f t="shared" si="47"/>
        <v>0</v>
      </c>
      <c r="G63" s="2"/>
      <c r="H63" s="6">
        <v>289</v>
      </c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>
        <v>1453</v>
      </c>
      <c r="Q63" s="2"/>
      <c r="R63" s="7">
        <f t="shared" si="51"/>
        <v>0</v>
      </c>
      <c r="S63" s="2"/>
      <c r="T63" s="6">
        <v>3178</v>
      </c>
      <c r="U63" s="2"/>
      <c r="V63" s="7">
        <f t="shared" si="52"/>
        <v>5.3236865943356677E-3</v>
      </c>
      <c r="W63" s="2"/>
      <c r="X63" s="6">
        <f t="shared" si="53"/>
        <v>-1725</v>
      </c>
      <c r="Y63" s="2"/>
      <c r="Z63" s="7">
        <f t="shared" si="54"/>
        <v>-0.54279421019509122</v>
      </c>
    </row>
    <row r="64" spans="1:26" s="23" customFormat="1" hidden="1" outlineLevel="2" x14ac:dyDescent="0.25">
      <c r="A64" s="27"/>
      <c r="B64" s="10" t="str">
        <f>CONCATENATE("          ", "6286", " - ", "LAUNDRY EXPENSE")</f>
        <v xml:space="preserve">          6286 - LAUNDRY EXPENSE</v>
      </c>
      <c r="C64" s="10"/>
      <c r="D64" s="6"/>
      <c r="E64" s="2"/>
      <c r="F64" s="7">
        <f t="shared" si="47"/>
        <v>0</v>
      </c>
      <c r="G64" s="2"/>
      <c r="H64" s="6">
        <v>51.94</v>
      </c>
      <c r="I64" s="2"/>
      <c r="J64" s="7">
        <f t="shared" si="48"/>
        <v>0</v>
      </c>
      <c r="K64" s="2"/>
      <c r="L64" s="6">
        <f t="shared" si="49"/>
        <v>-51.94</v>
      </c>
      <c r="M64" s="2"/>
      <c r="N64" s="7">
        <f t="shared" si="50"/>
        <v>-1</v>
      </c>
      <c r="O64" s="10"/>
      <c r="P64" s="6"/>
      <c r="Q64" s="2"/>
      <c r="R64" s="7">
        <f t="shared" si="51"/>
        <v>0</v>
      </c>
      <c r="S64" s="2"/>
      <c r="T64" s="6">
        <v>876.68</v>
      </c>
      <c r="U64" s="2"/>
      <c r="V64" s="7">
        <f t="shared" si="52"/>
        <v>1.4685870243933898E-3</v>
      </c>
      <c r="W64" s="2"/>
      <c r="X64" s="6">
        <f t="shared" si="53"/>
        <v>-876.68</v>
      </c>
      <c r="Y64" s="2"/>
      <c r="Z64" s="7">
        <f t="shared" si="54"/>
        <v>-1</v>
      </c>
    </row>
    <row r="65" spans="1:26" s="26" customFormat="1" outlineLevel="1" collapsed="1" x14ac:dyDescent="0.25">
      <c r="A65" s="25"/>
      <c r="B65" s="12" t="str">
        <f>CONCATENATE("     ","Subscriptions &amp; Dues                              ")</f>
        <v xml:space="preserve">     Subscriptions &amp; Dues                              </v>
      </c>
      <c r="C65" s="12"/>
      <c r="D65" s="1">
        <f>SUM(OSRRefD22_13x_0)</f>
        <v>0</v>
      </c>
      <c r="E65" s="1"/>
      <c r="F65" s="5">
        <f t="shared" ref="F65:F72" si="55">IF(D$12=0,0,D65/D$12)</f>
        <v>0</v>
      </c>
      <c r="G65" s="1"/>
      <c r="H65" s="1">
        <f>SUM(OSRRefH22_13x_0)</f>
        <v>0</v>
      </c>
      <c r="I65" s="1"/>
      <c r="J65" s="5">
        <f t="shared" ref="J65:J72" si="56">IF(H$12=0,0,H65/H$12)</f>
        <v>0</v>
      </c>
      <c r="K65" s="1"/>
      <c r="L65" s="1">
        <f t="shared" ref="L65:L72" si="57">+D65-H65</f>
        <v>0</v>
      </c>
      <c r="M65" s="1"/>
      <c r="N65" s="5">
        <f t="shared" ref="N65:N72" si="58">IF(H65=0,0,L65/H65)</f>
        <v>0</v>
      </c>
      <c r="O65" s="12"/>
      <c r="P65" s="1">
        <f>SUM(OSRRefP22_13x_0)</f>
        <v>0</v>
      </c>
      <c r="Q65" s="1"/>
      <c r="R65" s="5">
        <f t="shared" ref="R65:R72" si="59">IF(P$12=0,0,P65/P$12)</f>
        <v>0</v>
      </c>
      <c r="S65" s="1"/>
      <c r="T65" s="1">
        <f>SUM(OSRRefT22_13x_0)</f>
        <v>1411.2</v>
      </c>
      <c r="U65" s="1"/>
      <c r="V65" s="5">
        <f t="shared" ref="V65:V72" si="60">IF(T$12=0,0,T65/T$12)</f>
        <v>2.3639982762512571E-3</v>
      </c>
      <c r="W65" s="1"/>
      <c r="X65" s="1">
        <f t="shared" ref="X65:X72" si="61">+P65-T65</f>
        <v>-1411.2</v>
      </c>
      <c r="Y65" s="1"/>
      <c r="Z65" s="5">
        <f t="shared" ref="Z65:Z72" si="62">IF(T65=0,0,X65/T65)</f>
        <v>-1</v>
      </c>
    </row>
    <row r="66" spans="1:26" s="23" customFormat="1" hidden="1" outlineLevel="2" x14ac:dyDescent="0.25">
      <c r="A66" s="27"/>
      <c r="B66" s="10" t="str">
        <f>CONCATENATE("          ", "6275", " - ", "SUBSCRIPTIONS")</f>
        <v xml:space="preserve">          6275 - SUBSCRIPTIONS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1411.2</v>
      </c>
      <c r="U66" s="2"/>
      <c r="V66" s="7">
        <f t="shared" si="60"/>
        <v>2.3639982762512571E-3</v>
      </c>
      <c r="W66" s="2"/>
      <c r="X66" s="6">
        <f t="shared" si="61"/>
        <v>-1411.2</v>
      </c>
      <c r="Y66" s="2"/>
      <c r="Z66" s="7">
        <f t="shared" si="62"/>
        <v>-1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SUM(OSRRefD22_14x_0)</f>
        <v>0</v>
      </c>
      <c r="E67" s="1"/>
      <c r="F67" s="5">
        <f t="shared" si="55"/>
        <v>0</v>
      </c>
      <c r="G67" s="1"/>
      <c r="H67" s="1">
        <f>SUM(OSRRefH22_14x_0)</f>
        <v>0</v>
      </c>
      <c r="I67" s="1"/>
      <c r="J67" s="5">
        <f t="shared" si="56"/>
        <v>0</v>
      </c>
      <c r="K67" s="1"/>
      <c r="L67" s="1">
        <f t="shared" si="57"/>
        <v>0</v>
      </c>
      <c r="M67" s="1"/>
      <c r="N67" s="5">
        <f t="shared" si="58"/>
        <v>0</v>
      </c>
      <c r="O67" s="12"/>
      <c r="P67" s="1">
        <f>SUM(OSRRefP22_14x_0)</f>
        <v>634.24</v>
      </c>
      <c r="Q67" s="1"/>
      <c r="R67" s="5">
        <f t="shared" si="59"/>
        <v>0</v>
      </c>
      <c r="S67" s="1"/>
      <c r="T67" s="1">
        <f>SUM(OSRRefT22_14x_0)</f>
        <v>10919.900000000001</v>
      </c>
      <c r="U67" s="1"/>
      <c r="V67" s="5">
        <f t="shared" si="60"/>
        <v>1.8292676287440551E-2</v>
      </c>
      <c r="W67" s="1"/>
      <c r="X67" s="1">
        <f t="shared" si="61"/>
        <v>-10285.660000000002</v>
      </c>
      <c r="Y67" s="1"/>
      <c r="Z67" s="5">
        <f t="shared" si="62"/>
        <v>-0.94191888204104435</v>
      </c>
    </row>
    <row r="68" spans="1:26" s="23" customFormat="1" hidden="1" outlineLevel="2" x14ac:dyDescent="0.25">
      <c r="A68" s="27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55"/>
        <v>0</v>
      </c>
      <c r="G68" s="2"/>
      <c r="H68" s="6"/>
      <c r="I68" s="2"/>
      <c r="J68" s="7">
        <f t="shared" si="56"/>
        <v>0</v>
      </c>
      <c r="K68" s="2"/>
      <c r="L68" s="6">
        <f t="shared" si="57"/>
        <v>0</v>
      </c>
      <c r="M68" s="2"/>
      <c r="N68" s="7">
        <f t="shared" si="58"/>
        <v>0</v>
      </c>
      <c r="O68" s="10"/>
      <c r="P68" s="6">
        <v>316.67</v>
      </c>
      <c r="Q68" s="2"/>
      <c r="R68" s="7">
        <f t="shared" si="59"/>
        <v>0</v>
      </c>
      <c r="S68" s="2"/>
      <c r="T68" s="6">
        <v>28.22</v>
      </c>
      <c r="U68" s="2"/>
      <c r="V68" s="7">
        <f t="shared" si="60"/>
        <v>4.7273264849638937E-5</v>
      </c>
      <c r="W68" s="2"/>
      <c r="X68" s="6">
        <f t="shared" si="61"/>
        <v>288.45000000000005</v>
      </c>
      <c r="Y68" s="2"/>
      <c r="Z68" s="7">
        <f t="shared" si="62"/>
        <v>10.221474131821406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55"/>
        <v>0</v>
      </c>
      <c r="G69" s="2"/>
      <c r="H69" s="6"/>
      <c r="I69" s="2"/>
      <c r="J69" s="7">
        <f t="shared" si="56"/>
        <v>0</v>
      </c>
      <c r="K69" s="2"/>
      <c r="L69" s="6">
        <f t="shared" si="57"/>
        <v>0</v>
      </c>
      <c r="M69" s="2"/>
      <c r="N69" s="7">
        <f t="shared" si="58"/>
        <v>0</v>
      </c>
      <c r="O69" s="10"/>
      <c r="P69" s="6">
        <v>317.57</v>
      </c>
      <c r="Q69" s="2"/>
      <c r="R69" s="7">
        <f t="shared" si="59"/>
        <v>0</v>
      </c>
      <c r="S69" s="2"/>
      <c r="T69" s="6">
        <v>1422.57</v>
      </c>
      <c r="U69" s="2"/>
      <c r="V69" s="7">
        <f t="shared" si="60"/>
        <v>2.3830449460365295E-3</v>
      </c>
      <c r="W69" s="2"/>
      <c r="X69" s="6">
        <f t="shared" si="61"/>
        <v>-1105</v>
      </c>
      <c r="Y69" s="2"/>
      <c r="Z69" s="7">
        <f t="shared" si="62"/>
        <v>-0.77676318212812023</v>
      </c>
    </row>
    <row r="70" spans="1:26" s="23" customFormat="1" hidden="1" outlineLevel="2" x14ac:dyDescent="0.25">
      <c r="A70" s="27"/>
      <c r="B70" s="10" t="str">
        <f>CONCATENATE("          ", "6241", " - ", "OFFICE EXPENSE")</f>
        <v xml:space="preserve">          6241 - OFFICE EXPENSE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/>
      <c r="Q70" s="2"/>
      <c r="R70" s="7">
        <f t="shared" si="59"/>
        <v>0</v>
      </c>
      <c r="S70" s="2"/>
      <c r="T70" s="6">
        <v>484.03</v>
      </c>
      <c r="U70" s="2"/>
      <c r="V70" s="7">
        <f t="shared" si="60"/>
        <v>8.1083197679556113E-4</v>
      </c>
      <c r="W70" s="2"/>
      <c r="X70" s="6">
        <f t="shared" si="61"/>
        <v>-484.03</v>
      </c>
      <c r="Y70" s="2"/>
      <c r="Z70" s="7">
        <f t="shared" si="62"/>
        <v>-1</v>
      </c>
    </row>
    <row r="71" spans="1:26" s="23" customFormat="1" hidden="1" outlineLevel="2" x14ac:dyDescent="0.25">
      <c r="A71" s="27"/>
      <c r="B71" s="10" t="str">
        <f>CONCATENATE("          ", "6243", " - ", "PAPER SUPPLIES")</f>
        <v xml:space="preserve">          6243 - PAPER SUPPLIES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1399.73</v>
      </c>
      <c r="U71" s="2"/>
      <c r="V71" s="7">
        <f t="shared" si="60"/>
        <v>2.3447840895813293E-3</v>
      </c>
      <c r="W71" s="2"/>
      <c r="X71" s="6">
        <f t="shared" si="61"/>
        <v>-1399.73</v>
      </c>
      <c r="Y71" s="2"/>
      <c r="Z71" s="7">
        <f t="shared" si="62"/>
        <v>-1</v>
      </c>
    </row>
    <row r="72" spans="1:26" s="23" customFormat="1" hidden="1" outlineLevel="2" x14ac:dyDescent="0.25">
      <c r="A72" s="27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7585.35</v>
      </c>
      <c r="U72" s="2"/>
      <c r="V72" s="7">
        <f t="shared" si="60"/>
        <v>1.2706742010177489E-2</v>
      </c>
      <c r="W72" s="2"/>
      <c r="X72" s="6">
        <f t="shared" si="61"/>
        <v>-7585.35</v>
      </c>
      <c r="Y72" s="2"/>
      <c r="Z72" s="7">
        <f t="shared" si="62"/>
        <v>-1</v>
      </c>
    </row>
    <row r="73" spans="1:26" s="26" customFormat="1" outlineLevel="1" collapsed="1" x14ac:dyDescent="0.25">
      <c r="A73" s="25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SUM(OSRRefD22_15x_0)</f>
        <v>-128</v>
      </c>
      <c r="E73" s="1"/>
      <c r="F73" s="5">
        <f t="shared" ref="F73:F78" si="63">IF(D$12=0,0,D73/D$12)</f>
        <v>0</v>
      </c>
      <c r="G73" s="1"/>
      <c r="H73" s="1">
        <f>SUM(OSRRefH22_15x_0)</f>
        <v>88.2</v>
      </c>
      <c r="I73" s="1"/>
      <c r="J73" s="5">
        <f t="shared" ref="J73:J78" si="64">IF(H$12=0,0,H73/H$12)</f>
        <v>0</v>
      </c>
      <c r="K73" s="1"/>
      <c r="L73" s="1">
        <f t="shared" ref="L73:L78" si="65">+D73-H73</f>
        <v>-216.2</v>
      </c>
      <c r="M73" s="1"/>
      <c r="N73" s="5">
        <f t="shared" ref="N73:N78" si="66">IF(H73=0,0,L73/H73)</f>
        <v>-2.4512471655328798</v>
      </c>
      <c r="O73" s="12"/>
      <c r="P73" s="1">
        <f>SUM(OSRRefP22_15x_0)</f>
        <v>997.87</v>
      </c>
      <c r="Q73" s="1"/>
      <c r="R73" s="5">
        <f t="shared" ref="R73:R78" si="67">IF(P$12=0,0,P73/P$12)</f>
        <v>0</v>
      </c>
      <c r="S73" s="1"/>
      <c r="T73" s="1">
        <f>SUM(OSRRefT22_15x_0)</f>
        <v>722.37</v>
      </c>
      <c r="U73" s="1"/>
      <c r="V73" s="5">
        <f t="shared" ref="V73:V78" si="68">IF(T$12=0,0,T73/T$12)</f>
        <v>1.2100917196822708E-3</v>
      </c>
      <c r="W73" s="1"/>
      <c r="X73" s="1">
        <f t="shared" ref="X73:X78" si="69">+P73-T73</f>
        <v>275.5</v>
      </c>
      <c r="Y73" s="1"/>
      <c r="Z73" s="5">
        <f t="shared" ref="Z73:Z78" si="70">IF(T73=0,0,X73/T73)</f>
        <v>0.38138350152968697</v>
      </c>
    </row>
    <row r="74" spans="1:26" s="23" customFormat="1" hidden="1" outlineLevel="2" x14ac:dyDescent="0.25">
      <c r="A74" s="27"/>
      <c r="B74" s="10" t="str">
        <f>CONCATENATE("          ", "6309", " - ", "TELEPHONE")</f>
        <v xml:space="preserve">          6309 - TELEPHONE</v>
      </c>
      <c r="C74" s="10"/>
      <c r="D74" s="6">
        <v>-128</v>
      </c>
      <c r="E74" s="2"/>
      <c r="F74" s="7">
        <f t="shared" si="63"/>
        <v>0</v>
      </c>
      <c r="G74" s="2"/>
      <c r="H74" s="6">
        <v>88.2</v>
      </c>
      <c r="I74" s="2"/>
      <c r="J74" s="7">
        <f t="shared" si="64"/>
        <v>0</v>
      </c>
      <c r="K74" s="2"/>
      <c r="L74" s="6">
        <f t="shared" si="65"/>
        <v>-216.2</v>
      </c>
      <c r="M74" s="2"/>
      <c r="N74" s="7">
        <f t="shared" si="66"/>
        <v>-2.4512471655328798</v>
      </c>
      <c r="O74" s="10"/>
      <c r="P74" s="6">
        <v>997.87</v>
      </c>
      <c r="Q74" s="2"/>
      <c r="R74" s="7">
        <f t="shared" si="67"/>
        <v>0</v>
      </c>
      <c r="S74" s="2"/>
      <c r="T74" s="6">
        <v>722.37</v>
      </c>
      <c r="U74" s="2"/>
      <c r="V74" s="7">
        <f t="shared" si="68"/>
        <v>1.2100917196822708E-3</v>
      </c>
      <c r="W74" s="2"/>
      <c r="X74" s="6">
        <f t="shared" si="69"/>
        <v>275.5</v>
      </c>
      <c r="Y74" s="2"/>
      <c r="Z74" s="7">
        <f t="shared" si="70"/>
        <v>0.38138350152968697</v>
      </c>
    </row>
    <row r="75" spans="1:26" s="26" customFormat="1" outlineLevel="1" collapsed="1" x14ac:dyDescent="0.25">
      <c r="A75" s="25"/>
      <c r="B75" s="12" t="str">
        <f>CONCATENATE("     ","Training                                          ")</f>
        <v xml:space="preserve">     Training                                          </v>
      </c>
      <c r="C75" s="12"/>
      <c r="D75" s="1">
        <f>SUM(OSRRefD22_16x_0)</f>
        <v>0</v>
      </c>
      <c r="E75" s="1"/>
      <c r="F75" s="5">
        <f t="shared" si="63"/>
        <v>0</v>
      </c>
      <c r="G75" s="1"/>
      <c r="H75" s="1">
        <f>SUM(OSRRefH22_16x_0)</f>
        <v>0</v>
      </c>
      <c r="I75" s="1"/>
      <c r="J75" s="5">
        <f t="shared" si="64"/>
        <v>0</v>
      </c>
      <c r="K75" s="1"/>
      <c r="L75" s="1">
        <f t="shared" si="65"/>
        <v>0</v>
      </c>
      <c r="M75" s="1"/>
      <c r="N75" s="5">
        <f t="shared" si="66"/>
        <v>0</v>
      </c>
      <c r="O75" s="12"/>
      <c r="P75" s="1">
        <f>SUM(OSRRefP22_16x_0)</f>
        <v>0</v>
      </c>
      <c r="Q75" s="1"/>
      <c r="R75" s="5">
        <f t="shared" si="67"/>
        <v>0</v>
      </c>
      <c r="S75" s="1"/>
      <c r="T75" s="1">
        <f>SUM(OSRRefT22_16x_0)</f>
        <v>14</v>
      </c>
      <c r="U75" s="1"/>
      <c r="V75" s="5">
        <f t="shared" si="68"/>
        <v>2.3452363851698979E-5</v>
      </c>
      <c r="W75" s="1"/>
      <c r="X75" s="1">
        <f t="shared" si="69"/>
        <v>-14</v>
      </c>
      <c r="Y75" s="1"/>
      <c r="Z75" s="5">
        <f t="shared" si="70"/>
        <v>-1</v>
      </c>
    </row>
    <row r="76" spans="1:26" s="23" customFormat="1" hidden="1" outlineLevel="2" x14ac:dyDescent="0.25">
      <c r="A76" s="27"/>
      <c r="B76" s="10" t="str">
        <f>CONCATENATE("          ", "6376", " - ", "TRAINING")</f>
        <v xml:space="preserve">          6376 - TRAINING</v>
      </c>
      <c r="C76" s="10"/>
      <c r="D76" s="6"/>
      <c r="E76" s="2"/>
      <c r="F76" s="7">
        <f t="shared" si="63"/>
        <v>0</v>
      </c>
      <c r="G76" s="2"/>
      <c r="H76" s="6"/>
      <c r="I76" s="2"/>
      <c r="J76" s="7">
        <f t="shared" si="64"/>
        <v>0</v>
      </c>
      <c r="K76" s="2"/>
      <c r="L76" s="6">
        <f t="shared" si="65"/>
        <v>0</v>
      </c>
      <c r="M76" s="2"/>
      <c r="N76" s="7">
        <f t="shared" si="66"/>
        <v>0</v>
      </c>
      <c r="O76" s="10"/>
      <c r="P76" s="6"/>
      <c r="Q76" s="2"/>
      <c r="R76" s="7">
        <f t="shared" si="67"/>
        <v>0</v>
      </c>
      <c r="S76" s="2"/>
      <c r="T76" s="6">
        <v>14</v>
      </c>
      <c r="U76" s="2"/>
      <c r="V76" s="7">
        <f t="shared" si="68"/>
        <v>2.3452363851698979E-5</v>
      </c>
      <c r="W76" s="2"/>
      <c r="X76" s="6">
        <f t="shared" si="69"/>
        <v>-14</v>
      </c>
      <c r="Y76" s="2"/>
      <c r="Z76" s="7">
        <f t="shared" si="70"/>
        <v>-1</v>
      </c>
    </row>
    <row r="77" spans="1:26" s="26" customFormat="1" outlineLevel="1" collapsed="1" x14ac:dyDescent="0.25">
      <c r="A77" s="25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SUM(OSRRefD22_17x_0)</f>
        <v>878</v>
      </c>
      <c r="E77" s="1"/>
      <c r="F77" s="5">
        <f t="shared" si="63"/>
        <v>0</v>
      </c>
      <c r="G77" s="1"/>
      <c r="H77" s="1">
        <f>SUM(OSRRefH22_17x_0)</f>
        <v>878</v>
      </c>
      <c r="I77" s="1"/>
      <c r="J77" s="5">
        <f t="shared" si="64"/>
        <v>0</v>
      </c>
      <c r="K77" s="1"/>
      <c r="L77" s="1">
        <f t="shared" si="65"/>
        <v>0</v>
      </c>
      <c r="M77" s="1"/>
      <c r="N77" s="5">
        <f t="shared" si="66"/>
        <v>0</v>
      </c>
      <c r="O77" s="12"/>
      <c r="P77" s="1">
        <f>SUM(OSRRefP22_17x_0)</f>
        <v>5207</v>
      </c>
      <c r="Q77" s="1"/>
      <c r="R77" s="5">
        <f t="shared" si="67"/>
        <v>0</v>
      </c>
      <c r="S77" s="1"/>
      <c r="T77" s="1">
        <f>SUM(OSRRefT22_17x_0)</f>
        <v>9406</v>
      </c>
      <c r="U77" s="1"/>
      <c r="V77" s="5">
        <f t="shared" si="68"/>
        <v>1.5756638170648613E-2</v>
      </c>
      <c r="W77" s="1"/>
      <c r="X77" s="1">
        <f t="shared" si="69"/>
        <v>-4199</v>
      </c>
      <c r="Y77" s="1"/>
      <c r="Z77" s="5">
        <f t="shared" si="70"/>
        <v>-0.44641718052307039</v>
      </c>
    </row>
    <row r="78" spans="1:26" s="23" customFormat="1" hidden="1" outlineLevel="2" x14ac:dyDescent="0.25">
      <c r="A78" s="27"/>
      <c r="B78" s="10" t="str">
        <f>CONCATENATE("          ", "6274", " - ", "UTILITIES")</f>
        <v xml:space="preserve">          6274 - UTILITIES</v>
      </c>
      <c r="C78" s="10"/>
      <c r="D78" s="6">
        <v>878</v>
      </c>
      <c r="E78" s="2"/>
      <c r="F78" s="7">
        <f t="shared" si="63"/>
        <v>0</v>
      </c>
      <c r="G78" s="2"/>
      <c r="H78" s="6">
        <v>878</v>
      </c>
      <c r="I78" s="2"/>
      <c r="J78" s="7">
        <f t="shared" si="64"/>
        <v>0</v>
      </c>
      <c r="K78" s="2"/>
      <c r="L78" s="6">
        <f t="shared" si="65"/>
        <v>0</v>
      </c>
      <c r="M78" s="2"/>
      <c r="N78" s="7">
        <f t="shared" si="66"/>
        <v>0</v>
      </c>
      <c r="O78" s="10"/>
      <c r="P78" s="6">
        <v>5207</v>
      </c>
      <c r="Q78" s="2"/>
      <c r="R78" s="7">
        <f t="shared" si="67"/>
        <v>0</v>
      </c>
      <c r="S78" s="2"/>
      <c r="T78" s="6">
        <v>9406</v>
      </c>
      <c r="U78" s="2"/>
      <c r="V78" s="7">
        <f t="shared" si="68"/>
        <v>1.5756638170648613E-2</v>
      </c>
      <c r="W78" s="2"/>
      <c r="X78" s="6">
        <f t="shared" si="69"/>
        <v>-4199</v>
      </c>
      <c r="Y78" s="2"/>
      <c r="Z78" s="7">
        <f t="shared" si="70"/>
        <v>-0.44641718052307039</v>
      </c>
    </row>
    <row r="79" spans="1:26" s="57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x14ac:dyDescent="0.25">
      <c r="A80" s="11"/>
      <c r="B80" s="29" t="s">
        <v>292</v>
      </c>
      <c r="C80" s="11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1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1"/>
      <c r="C81" s="11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1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x14ac:dyDescent="0.25">
      <c r="A82" s="11"/>
      <c r="B82" s="28" t="s">
        <v>276</v>
      </c>
      <c r="C82" s="28"/>
      <c r="D82" s="20">
        <f>+D20-D22+D80</f>
        <v>-11171.279999999999</v>
      </c>
      <c r="E82" s="14"/>
      <c r="F82" s="21">
        <f>IF(D$12=0,0,D82/D$12)</f>
        <v>0</v>
      </c>
      <c r="G82" s="14"/>
      <c r="H82" s="20">
        <f>+H20-H22+H80</f>
        <v>-15677.560000000003</v>
      </c>
      <c r="I82" s="14"/>
      <c r="J82" s="21">
        <f>IF(H$12=0,0,H82/H$12)</f>
        <v>0</v>
      </c>
      <c r="K82" s="15"/>
      <c r="L82" s="20">
        <f>+D82-H82</f>
        <v>4506.2800000000043</v>
      </c>
      <c r="M82" s="15"/>
      <c r="N82" s="21">
        <f>IF(H82=0,0,L82/H82)</f>
        <v>-0.28743503453343527</v>
      </c>
      <c r="O82" s="29"/>
      <c r="P82" s="20">
        <f>+P20-P22+P80</f>
        <v>-133075.81</v>
      </c>
      <c r="Q82" s="14"/>
      <c r="R82" s="21">
        <f>IF(P$12=0,0,P82/P$12)</f>
        <v>0</v>
      </c>
      <c r="S82" s="14"/>
      <c r="T82" s="20">
        <f>+T20-T22+T80</f>
        <v>-6143.4699999999721</v>
      </c>
      <c r="U82" s="14"/>
      <c r="V82" s="21">
        <f>IF(T$12=0,0,T82/T$12)</f>
        <v>-1.0291349553714033E-2</v>
      </c>
      <c r="W82" s="15"/>
      <c r="X82" s="20">
        <f>+P82-T82</f>
        <v>-126932.34000000003</v>
      </c>
      <c r="Y82" s="15"/>
      <c r="Z82" s="21">
        <f>IF(T82=0,0,X82/T82)</f>
        <v>20.661342856724392</v>
      </c>
    </row>
    <row r="83" spans="1:26" x14ac:dyDescent="0.25">
      <c r="A83" s="9"/>
      <c r="B83" s="11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51"/>
      <c r="B84" s="11" t="s">
        <v>127</v>
      </c>
      <c r="C84" s="11"/>
      <c r="D84" s="4"/>
      <c r="E84" s="4"/>
      <c r="F84" s="13">
        <f>IF(D$12=0,0,D84/D$12)</f>
        <v>0</v>
      </c>
      <c r="G84" s="4"/>
      <c r="H84" s="4">
        <v>2911.78</v>
      </c>
      <c r="I84" s="4"/>
      <c r="J84" s="13">
        <f>IF(H$12=0,0,H84/H$12)</f>
        <v>0</v>
      </c>
      <c r="K84" s="4"/>
      <c r="L84" s="4">
        <f>+D84-H84</f>
        <v>-2911.78</v>
      </c>
      <c r="M84" s="4"/>
      <c r="N84" s="13">
        <f>IF(H84=0,0,L84/H84)</f>
        <v>-1</v>
      </c>
      <c r="O84" s="11"/>
      <c r="P84" s="4"/>
      <c r="Q84" s="4"/>
      <c r="R84" s="13">
        <f>IF(P$12=0,0,P84/P$12)</f>
        <v>0</v>
      </c>
      <c r="S84" s="4"/>
      <c r="T84" s="4">
        <v>70691.72</v>
      </c>
      <c r="U84" s="4"/>
      <c r="V84" s="13">
        <f>IF(T$12=0,0,T84/T$12)</f>
        <v>0.1184205670530304</v>
      </c>
      <c r="W84" s="4"/>
      <c r="X84" s="4">
        <f>+P84-T84</f>
        <v>-70691.72</v>
      </c>
      <c r="Y84" s="4"/>
      <c r="Z84" s="13">
        <f>IF(T84=0,0,X84/T84)</f>
        <v>-1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ht="15.75" thickBot="1" x14ac:dyDescent="0.3">
      <c r="A86" s="11"/>
      <c r="B86" s="28" t="s">
        <v>125</v>
      </c>
      <c r="C86" s="28"/>
      <c r="D86" s="35">
        <f>+D82-D84</f>
        <v>-11171.279999999999</v>
      </c>
      <c r="E86" s="14"/>
      <c r="F86" s="36">
        <f>IF(D$12=0,0,D86/D$12)</f>
        <v>0</v>
      </c>
      <c r="G86" s="14"/>
      <c r="H86" s="35">
        <f>+H82-H84</f>
        <v>-18589.340000000004</v>
      </c>
      <c r="I86" s="14"/>
      <c r="J86" s="36">
        <f>IF(H$12=0,0,H86/H$12)</f>
        <v>0</v>
      </c>
      <c r="K86" s="15"/>
      <c r="L86" s="35">
        <f>D86-H86</f>
        <v>7418.0600000000049</v>
      </c>
      <c r="M86" s="15"/>
      <c r="N86" s="36">
        <f>IF(H86=0,0,L86/H86)</f>
        <v>-0.39904913245978629</v>
      </c>
      <c r="O86" s="29"/>
      <c r="P86" s="35">
        <f>+P82-P84</f>
        <v>-133075.81</v>
      </c>
      <c r="Q86" s="14"/>
      <c r="R86" s="36">
        <f>IF(P$12=0,0,P86/P$12)</f>
        <v>0</v>
      </c>
      <c r="S86" s="14"/>
      <c r="T86" s="35">
        <f>+T82-T84</f>
        <v>-76835.189999999973</v>
      </c>
      <c r="U86" s="14"/>
      <c r="V86" s="36">
        <f>IF(T$12=0,0,T86/T$12)</f>
        <v>-0.12871191660674444</v>
      </c>
      <c r="W86" s="15"/>
      <c r="X86" s="35">
        <f>P86-T86</f>
        <v>-56240.620000000024</v>
      </c>
      <c r="Y86" s="15"/>
      <c r="Z86" s="36">
        <f>IF(T86=0,0,X86/T86)</f>
        <v>0.73196435123021164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ht="15.75" thickBot="1" x14ac:dyDescent="0.3">
      <c r="A89" s="11"/>
      <c r="B89" s="28" t="s">
        <v>293</v>
      </c>
      <c r="C89" s="28"/>
      <c r="D89" s="30">
        <f>SUM(D86:D88)</f>
        <v>-11171.279999999999</v>
      </c>
      <c r="E89" s="14"/>
      <c r="F89" s="31">
        <f>IF(D$12=0,0,D89/D$12)</f>
        <v>0</v>
      </c>
      <c r="G89" s="14"/>
      <c r="H89" s="30">
        <f>SUM(H86:H88)</f>
        <v>-18589.340000000004</v>
      </c>
      <c r="I89" s="14"/>
      <c r="J89" s="31">
        <f>IF(H$12=0,0,H89/H$12)</f>
        <v>0</v>
      </c>
      <c r="K89" s="15"/>
      <c r="L89" s="30">
        <f>+D89-H89</f>
        <v>7418.0600000000049</v>
      </c>
      <c r="M89" s="15"/>
      <c r="N89" s="31">
        <f>IF(H89=0,0,L89/H89)</f>
        <v>-0.39904913245978629</v>
      </c>
      <c r="O89" s="29"/>
      <c r="P89" s="30">
        <f>SUM(P86:P88)</f>
        <v>-133075.81</v>
      </c>
      <c r="Q89" s="14"/>
      <c r="R89" s="31">
        <f>IF(P$12=0,0,P89/P$12)</f>
        <v>0</v>
      </c>
      <c r="S89" s="14"/>
      <c r="T89" s="30">
        <f>SUM(T86:T88)</f>
        <v>-76835.189999999973</v>
      </c>
      <c r="U89" s="14"/>
      <c r="V89" s="31">
        <f>IF(T$12=0,0,T89/T$12)</f>
        <v>-0.12871191660674444</v>
      </c>
      <c r="W89" s="15"/>
      <c r="X89" s="30">
        <f>+P89-T89</f>
        <v>-56240.620000000024</v>
      </c>
      <c r="Y89" s="15"/>
      <c r="Z89" s="31">
        <f>IF(T89=0,0,X89/T89)</f>
        <v>0.73196435123021164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9">
        <v>44356.893348032405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2" t="s">
        <v>56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4</v>
      </c>
      <c r="M12" s="4"/>
      <c r="N12" s="13">
        <f t="shared" ref="N12:N13" si="1">IF(H12=0,0,L12/H12)</f>
        <v>0</v>
      </c>
      <c r="O12" s="11"/>
      <c r="P12" s="4">
        <f>SUM(OSRRefP13x_0)</f>
        <v>400.45</v>
      </c>
      <c r="Q12" s="4"/>
      <c r="R12" s="13"/>
      <c r="S12" s="4"/>
      <c r="T12" s="4">
        <f>SUM(OSRRefT13x_0)</f>
        <v>12812.5</v>
      </c>
      <c r="U12" s="4"/>
      <c r="V12" s="13"/>
      <c r="W12" s="4"/>
      <c r="X12" s="4">
        <f t="shared" ref="X12:X13" si="2">+P12-T12</f>
        <v>-12412.05</v>
      </c>
      <c r="Y12" s="4"/>
      <c r="Z12" s="13">
        <f t="shared" ref="Z12:Z13" si="3">IF(T12=0,0,X12/T12)</f>
        <v>-0.96874536585365845</v>
      </c>
    </row>
    <row r="13" spans="1:26" s="23" customFormat="1" hidden="1" outlineLevel="1" x14ac:dyDescent="0.25">
      <c r="A13" s="44"/>
      <c r="B13" s="10" t="str">
        <f>CONCATENATE("          ", "4153", " - ", "NON-TAXABLE SALES-FOOD")</f>
        <v xml:space="preserve">          4153 - NON-TAXABLE SALES-FOOD</v>
      </c>
      <c r="C13" s="10"/>
      <c r="D13" s="2">
        <f>--4</f>
        <v>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4</v>
      </c>
      <c r="M13" s="2"/>
      <c r="N13" s="19">
        <f t="shared" si="1"/>
        <v>0</v>
      </c>
      <c r="O13" s="10"/>
      <c r="P13" s="2">
        <f>--400.45</f>
        <v>400.45</v>
      </c>
      <c r="Q13" s="2"/>
      <c r="R13" s="19"/>
      <c r="S13" s="2"/>
      <c r="T13" s="2">
        <f>--12812.5</f>
        <v>12812.5</v>
      </c>
      <c r="U13" s="2"/>
      <c r="V13" s="19"/>
      <c r="W13" s="2"/>
      <c r="X13" s="2">
        <f t="shared" si="2"/>
        <v>-12412.05</v>
      </c>
      <c r="Y13" s="2"/>
      <c r="Z13" s="19">
        <f t="shared" si="3"/>
        <v>-0.96874536585365845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>
        <f>SUM(OSRRefD16x_0)</f>
        <v>-29</v>
      </c>
      <c r="E15" s="4"/>
      <c r="F15" s="13">
        <f t="shared" ref="F15:F17" si="4">IF(D$12=0,0,D15/D$12)</f>
        <v>-7.25</v>
      </c>
      <c r="G15" s="4"/>
      <c r="H15" s="4">
        <f>SUM(OSRRefH16x_0)</f>
        <v>0</v>
      </c>
      <c r="I15" s="4"/>
      <c r="J15" s="13">
        <f t="shared" ref="J15:J17" si="5">IF(H$12=0,0,H15/H$12)</f>
        <v>0</v>
      </c>
      <c r="K15" s="4"/>
      <c r="L15" s="4">
        <f t="shared" ref="L15:L17" si="6">+D15-H15</f>
        <v>-29</v>
      </c>
      <c r="M15" s="4"/>
      <c r="N15" s="13">
        <f t="shared" ref="N15:N17" si="7">IF(H15=0,0,L15/H15)</f>
        <v>0</v>
      </c>
      <c r="O15" s="11"/>
      <c r="P15" s="4">
        <f>SUM(OSRRefP16x_0)</f>
        <v>-347.01</v>
      </c>
      <c r="Q15" s="4"/>
      <c r="R15" s="13">
        <f t="shared" ref="R15:R17" si="8">IF(P$12=0,0,P15/P$12)</f>
        <v>-0.86655013110250967</v>
      </c>
      <c r="S15" s="4"/>
      <c r="T15" s="4">
        <f>SUM(OSRRefT16x_0)</f>
        <v>3256.12</v>
      </c>
      <c r="U15" s="4"/>
      <c r="V15" s="13">
        <f t="shared" ref="V15:V17" si="9">IF(T$12=0,0,T15/T$12)</f>
        <v>0.25413619512195124</v>
      </c>
      <c r="W15" s="4"/>
      <c r="X15" s="4">
        <f t="shared" ref="X15:X17" si="10">+P15-T15</f>
        <v>-3603.13</v>
      </c>
      <c r="Y15" s="4"/>
      <c r="Z15" s="13">
        <f t="shared" ref="Z15:Z17" si="11">IF(T15=0,0,X15/T15)</f>
        <v>-1.1065716251243813</v>
      </c>
    </row>
    <row r="16" spans="1:26" s="23" customFormat="1" hidden="1" outlineLevel="1" x14ac:dyDescent="0.25">
      <c r="A16" s="44"/>
      <c r="B16" s="10" t="str">
        <f>CONCATENATE("          ", "5053", " - ", "PURCHASES @ COST-FOOD")</f>
        <v xml:space="preserve">          5053 - PURCHASES @ COST-FOOD</v>
      </c>
      <c r="C16" s="10"/>
      <c r="D16" s="2">
        <v>-29</v>
      </c>
      <c r="E16" s="2"/>
      <c r="F16" s="19">
        <f t="shared" si="4"/>
        <v>-7.25</v>
      </c>
      <c r="G16" s="2"/>
      <c r="H16" s="2"/>
      <c r="I16" s="2"/>
      <c r="J16" s="19">
        <f t="shared" si="5"/>
        <v>0</v>
      </c>
      <c r="K16" s="2"/>
      <c r="L16" s="2">
        <f t="shared" si="6"/>
        <v>-29</v>
      </c>
      <c r="M16" s="2"/>
      <c r="N16" s="19">
        <f t="shared" si="7"/>
        <v>0</v>
      </c>
      <c r="O16" s="10"/>
      <c r="P16" s="2">
        <v>-29</v>
      </c>
      <c r="Q16" s="2"/>
      <c r="R16" s="19">
        <f t="shared" si="8"/>
        <v>-7.241852915470097E-2</v>
      </c>
      <c r="S16" s="2"/>
      <c r="T16" s="2"/>
      <c r="U16" s="2"/>
      <c r="V16" s="19">
        <f t="shared" si="9"/>
        <v>0</v>
      </c>
      <c r="W16" s="2"/>
      <c r="X16" s="2">
        <f t="shared" si="10"/>
        <v>-29</v>
      </c>
      <c r="Y16" s="2"/>
      <c r="Z16" s="19">
        <f t="shared" si="11"/>
        <v>0</v>
      </c>
    </row>
    <row r="17" spans="1:26" s="23" customFormat="1" hidden="1" outlineLevel="1" x14ac:dyDescent="0.25">
      <c r="A17" s="44"/>
      <c r="B17" s="10" t="str">
        <f>CONCATENATE("          ", "5059", " - ", "PURCHASES @ COST-FOOD")</f>
        <v xml:space="preserve">          5059 - PURCHASES @ COST-FOOD</v>
      </c>
      <c r="C17" s="10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0"/>
      <c r="P17" s="2">
        <v>-318.01</v>
      </c>
      <c r="Q17" s="2"/>
      <c r="R17" s="19">
        <f t="shared" si="8"/>
        <v>-0.79413160194780874</v>
      </c>
      <c r="S17" s="2"/>
      <c r="T17" s="2">
        <v>3256.12</v>
      </c>
      <c r="U17" s="2"/>
      <c r="V17" s="19">
        <f t="shared" si="9"/>
        <v>0.25413619512195124</v>
      </c>
      <c r="W17" s="2"/>
      <c r="X17" s="2">
        <f t="shared" si="10"/>
        <v>-3574.13</v>
      </c>
      <c r="Y17" s="2"/>
      <c r="Z17" s="19">
        <f t="shared" si="11"/>
        <v>-1.0976653194599708</v>
      </c>
    </row>
    <row r="18" spans="1:26" x14ac:dyDescent="0.25">
      <c r="A18" s="9"/>
      <c r="B18" s="11"/>
      <c r="C18" s="11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1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x14ac:dyDescent="0.25">
      <c r="A19" s="11"/>
      <c r="B19" s="28" t="s">
        <v>107</v>
      </c>
      <c r="C19" s="28"/>
      <c r="D19" s="20">
        <f>D12-D15</f>
        <v>33</v>
      </c>
      <c r="E19" s="14"/>
      <c r="F19" s="21">
        <f>IF(D$12=0,0,D19/D$12)</f>
        <v>8.25</v>
      </c>
      <c r="G19" s="14"/>
      <c r="H19" s="20">
        <f>H12-H15</f>
        <v>0</v>
      </c>
      <c r="I19" s="14"/>
      <c r="J19" s="21">
        <f>IF(H$12=0,0,H19/H$12)</f>
        <v>0</v>
      </c>
      <c r="K19" s="15"/>
      <c r="L19" s="20">
        <f>+D19-H19</f>
        <v>33</v>
      </c>
      <c r="M19" s="15"/>
      <c r="N19" s="21">
        <f>IF(H19=0,0,L19/H19)</f>
        <v>0</v>
      </c>
      <c r="O19" s="29"/>
      <c r="P19" s="20">
        <f>P12-P15</f>
        <v>747.46</v>
      </c>
      <c r="Q19" s="14"/>
      <c r="R19" s="21">
        <f>IF(P$12=0,0,P19/P$12)</f>
        <v>1.8665501311025099</v>
      </c>
      <c r="S19" s="14"/>
      <c r="T19" s="20">
        <f>T12-T15</f>
        <v>9556.380000000001</v>
      </c>
      <c r="U19" s="14"/>
      <c r="V19" s="21">
        <f>IF(T$12=0,0,T19/T$12)</f>
        <v>0.74586380487804882</v>
      </c>
      <c r="W19" s="15"/>
      <c r="X19" s="20">
        <f>+P19-T19</f>
        <v>-8808.9200000000019</v>
      </c>
      <c r="Y19" s="15"/>
      <c r="Z19" s="21">
        <f>IF(T19=0,0,X19/T19)</f>
        <v>-0.9217841902477717</v>
      </c>
    </row>
    <row r="20" spans="1:26" x14ac:dyDescent="0.25">
      <c r="A20" s="9"/>
      <c r="B20" s="11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4" customFormat="1" x14ac:dyDescent="0.25">
      <c r="A21" s="11"/>
      <c r="B21" s="29" t="s">
        <v>294</v>
      </c>
      <c r="C21" s="11"/>
      <c r="D21" s="22">
        <f>SUM(OSRRefD22x_0)</f>
        <v>43.04</v>
      </c>
      <c r="E21" s="22"/>
      <c r="F21" s="32">
        <f t="shared" ref="F21:F27" si="12">IF(D$12=0,0,D21/D$12)</f>
        <v>10.76</v>
      </c>
      <c r="G21" s="22"/>
      <c r="H21" s="22">
        <f>SUM(OSRRefH22x_0)</f>
        <v>0</v>
      </c>
      <c r="I21" s="22"/>
      <c r="J21" s="32">
        <f t="shared" ref="J21:J27" si="13">IF(H$12=0,0,H21/H$12)</f>
        <v>0</v>
      </c>
      <c r="K21" s="4"/>
      <c r="L21" s="22">
        <f t="shared" ref="L21:L27" si="14">+D21-H21</f>
        <v>43.04</v>
      </c>
      <c r="M21" s="4"/>
      <c r="N21" s="32">
        <f t="shared" ref="N21:N27" si="15">IF(H21=0,0,L21/H21)</f>
        <v>0</v>
      </c>
      <c r="O21" s="11"/>
      <c r="P21" s="22">
        <f>SUM(OSRRefP22x_0)</f>
        <v>674.63</v>
      </c>
      <c r="Q21" s="22"/>
      <c r="R21" s="32">
        <f t="shared" ref="R21:R27" si="16">IF(P$12=0,0,P21/P$12)</f>
        <v>1.68467973529779</v>
      </c>
      <c r="S21" s="22"/>
      <c r="T21" s="22">
        <f>SUM(OSRRefT22x_0)</f>
        <v>1569.51</v>
      </c>
      <c r="U21" s="22"/>
      <c r="V21" s="32">
        <f t="shared" ref="V21:V27" si="17">IF(T$12=0,0,T21/T$12)</f>
        <v>0.12249834146341464</v>
      </c>
      <c r="W21" s="4"/>
      <c r="X21" s="22">
        <f t="shared" ref="X21:X27" si="18">+P21-T21</f>
        <v>-894.88</v>
      </c>
      <c r="Y21" s="4"/>
      <c r="Z21" s="32">
        <f t="shared" ref="Z21:Z27" si="19">IF(T21=0,0,X21/T21)</f>
        <v>-0.57016521079827465</v>
      </c>
    </row>
    <row r="22" spans="1:26" s="26" customFormat="1" outlineLevel="1" collapsed="1" x14ac:dyDescent="0.25">
      <c r="A22" s="25"/>
      <c r="B22" s="12" t="str">
        <f>CONCATENATE("     ","Bank/card Fees                                    ")</f>
        <v xml:space="preserve">     Bank/card Fees                                    </v>
      </c>
      <c r="C22" s="12"/>
      <c r="D22" s="1">
        <f>SUM(OSRRefD22_0x_0)</f>
        <v>43.04</v>
      </c>
      <c r="E22" s="1"/>
      <c r="F22" s="5">
        <f t="shared" si="12"/>
        <v>10.76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43.04</v>
      </c>
      <c r="M22" s="1"/>
      <c r="N22" s="5">
        <f t="shared" si="15"/>
        <v>0</v>
      </c>
      <c r="O22" s="12"/>
      <c r="P22" s="1">
        <f>SUM(OSRRefP22_0x_0)</f>
        <v>554.63</v>
      </c>
      <c r="Q22" s="1"/>
      <c r="R22" s="5">
        <f t="shared" si="16"/>
        <v>1.3850168560369585</v>
      </c>
      <c r="S22" s="1"/>
      <c r="T22" s="1">
        <f>SUM(OSRRefT22_0x_0)</f>
        <v>1249.06</v>
      </c>
      <c r="U22" s="1"/>
      <c r="V22" s="5">
        <f t="shared" si="17"/>
        <v>9.7487609756097562E-2</v>
      </c>
      <c r="W22" s="1"/>
      <c r="X22" s="1">
        <f t="shared" si="18"/>
        <v>-694.43</v>
      </c>
      <c r="Y22" s="1"/>
      <c r="Z22" s="5">
        <f t="shared" si="19"/>
        <v>-0.555962083486782</v>
      </c>
    </row>
    <row r="23" spans="1:26" s="23" customFormat="1" hidden="1" outlineLevel="2" x14ac:dyDescent="0.25">
      <c r="A23" s="27"/>
      <c r="B23" s="10" t="str">
        <f>CONCATENATE("          ", "6381", " - ", "BANK/CREDIT CARD FEES")</f>
        <v xml:space="preserve">          6381 - BANK/CREDIT CARD FEES</v>
      </c>
      <c r="C23" s="10"/>
      <c r="D23" s="6">
        <v>43.04</v>
      </c>
      <c r="E23" s="2"/>
      <c r="F23" s="7">
        <f t="shared" si="12"/>
        <v>10.76</v>
      </c>
      <c r="G23" s="2"/>
      <c r="H23" s="6"/>
      <c r="I23" s="2"/>
      <c r="J23" s="7">
        <f t="shared" si="13"/>
        <v>0</v>
      </c>
      <c r="K23" s="2"/>
      <c r="L23" s="6">
        <f t="shared" si="14"/>
        <v>43.04</v>
      </c>
      <c r="M23" s="2"/>
      <c r="N23" s="7">
        <f t="shared" si="15"/>
        <v>0</v>
      </c>
      <c r="O23" s="10"/>
      <c r="P23" s="6">
        <v>554.63</v>
      </c>
      <c r="Q23" s="2"/>
      <c r="R23" s="7">
        <f t="shared" si="16"/>
        <v>1.3850168560369585</v>
      </c>
      <c r="S23" s="2"/>
      <c r="T23" s="6">
        <v>1249.06</v>
      </c>
      <c r="U23" s="2"/>
      <c r="V23" s="7">
        <f t="shared" si="17"/>
        <v>9.7487609756097562E-2</v>
      </c>
      <c r="W23" s="2"/>
      <c r="X23" s="6">
        <f t="shared" si="18"/>
        <v>-694.43</v>
      </c>
      <c r="Y23" s="2"/>
      <c r="Z23" s="7">
        <f t="shared" si="19"/>
        <v>-0.555962083486782</v>
      </c>
    </row>
    <row r="24" spans="1:26" s="26" customFormat="1" outlineLevel="1" collapsed="1" x14ac:dyDescent="0.25">
      <c r="A24" s="25"/>
      <c r="B24" s="12" t="str">
        <f>CONCATENATE("     ","General                                           ")</f>
        <v xml:space="preserve">     General                                           </v>
      </c>
      <c r="C24" s="12"/>
      <c r="D24" s="1">
        <f>SUM(OSRRefD22_1x_0)</f>
        <v>0</v>
      </c>
      <c r="E24" s="1"/>
      <c r="F24" s="5">
        <f t="shared" si="12"/>
        <v>0</v>
      </c>
      <c r="G24" s="1"/>
      <c r="H24" s="1">
        <f>SUM(OSRRefH22_1x_0)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2"/>
      <c r="P24" s="1">
        <f>SUM(OSRRefP22_1x_0)</f>
        <v>120</v>
      </c>
      <c r="Q24" s="1"/>
      <c r="R24" s="5">
        <f t="shared" si="16"/>
        <v>0.29966287926083157</v>
      </c>
      <c r="S24" s="1"/>
      <c r="T24" s="1">
        <f>SUM(OSRRefT22_1x_0)</f>
        <v>23.45</v>
      </c>
      <c r="U24" s="1"/>
      <c r="V24" s="5">
        <f t="shared" si="17"/>
        <v>1.8302439024390244E-3</v>
      </c>
      <c r="W24" s="1"/>
      <c r="X24" s="1">
        <f t="shared" si="18"/>
        <v>96.55</v>
      </c>
      <c r="Y24" s="1"/>
      <c r="Z24" s="5">
        <f t="shared" si="19"/>
        <v>4.1172707889125801</v>
      </c>
    </row>
    <row r="25" spans="1:26" s="23" customFormat="1" hidden="1" outlineLevel="2" x14ac:dyDescent="0.25">
      <c r="A25" s="27"/>
      <c r="B25" s="10" t="str">
        <f>CONCATENATE("          ", "6279", " - ", "GENERAL EXPENSE")</f>
        <v xml:space="preserve">          6279 - GENERAL EXPENSE</v>
      </c>
      <c r="C25" s="10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0"/>
      <c r="P25" s="6">
        <v>120</v>
      </c>
      <c r="Q25" s="2"/>
      <c r="R25" s="7">
        <f t="shared" si="16"/>
        <v>0.29966287926083157</v>
      </c>
      <c r="S25" s="2"/>
      <c r="T25" s="6">
        <v>23.45</v>
      </c>
      <c r="U25" s="2"/>
      <c r="V25" s="7">
        <f t="shared" si="17"/>
        <v>1.8302439024390244E-3</v>
      </c>
      <c r="W25" s="2"/>
      <c r="X25" s="6">
        <f t="shared" si="18"/>
        <v>96.55</v>
      </c>
      <c r="Y25" s="2"/>
      <c r="Z25" s="7">
        <f t="shared" si="19"/>
        <v>4.1172707889125801</v>
      </c>
    </row>
    <row r="26" spans="1:26" s="26" customFormat="1" outlineLevel="1" collapsed="1" x14ac:dyDescent="0.25">
      <c r="A26" s="25"/>
      <c r="B26" s="12" t="str">
        <f>CONCATENATE("     ","Supplies                                          ")</f>
        <v xml:space="preserve">     Supplies                                          </v>
      </c>
      <c r="C26" s="12"/>
      <c r="D26" s="1">
        <f>SUM(OSRRefD22_2x_0)</f>
        <v>0</v>
      </c>
      <c r="E26" s="1"/>
      <c r="F26" s="5">
        <f t="shared" si="12"/>
        <v>0</v>
      </c>
      <c r="G26" s="1"/>
      <c r="H26" s="1">
        <f>SUM(OSRRefH22_2x_0)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2"/>
      <c r="P26" s="1">
        <f>SUM(OSRRefP22_2x_0)</f>
        <v>0</v>
      </c>
      <c r="Q26" s="1"/>
      <c r="R26" s="5">
        <f t="shared" si="16"/>
        <v>0</v>
      </c>
      <c r="S26" s="1"/>
      <c r="T26" s="1">
        <f>SUM(OSRRefT22_2x_0)</f>
        <v>297</v>
      </c>
      <c r="U26" s="1"/>
      <c r="V26" s="5">
        <f t="shared" si="17"/>
        <v>2.3180487804878049E-2</v>
      </c>
      <c r="W26" s="1"/>
      <c r="X26" s="1">
        <f t="shared" si="18"/>
        <v>-297</v>
      </c>
      <c r="Y26" s="1"/>
      <c r="Z26" s="5">
        <f t="shared" si="19"/>
        <v>-1</v>
      </c>
    </row>
    <row r="27" spans="1:26" s="23" customFormat="1" hidden="1" outlineLevel="2" x14ac:dyDescent="0.25">
      <c r="A27" s="27"/>
      <c r="B27" s="10" t="str">
        <f>CONCATENATE("          ", "6247", " - ", "STORE SUPPLIES")</f>
        <v xml:space="preserve">          6247 - STORE SUPPLIES</v>
      </c>
      <c r="C27" s="10"/>
      <c r="D27" s="6"/>
      <c r="E27" s="2"/>
      <c r="F27" s="7">
        <f t="shared" si="12"/>
        <v>0</v>
      </c>
      <c r="G27" s="2"/>
      <c r="H27" s="6"/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0"/>
      <c r="P27" s="6"/>
      <c r="Q27" s="2"/>
      <c r="R27" s="7">
        <f t="shared" si="16"/>
        <v>0</v>
      </c>
      <c r="S27" s="2"/>
      <c r="T27" s="6">
        <v>297</v>
      </c>
      <c r="U27" s="2"/>
      <c r="V27" s="7">
        <f t="shared" si="17"/>
        <v>2.3180487804878049E-2</v>
      </c>
      <c r="W27" s="2"/>
      <c r="X27" s="6">
        <f t="shared" si="18"/>
        <v>-297</v>
      </c>
      <c r="Y27" s="2"/>
      <c r="Z27" s="7">
        <f t="shared" si="19"/>
        <v>-1</v>
      </c>
    </row>
    <row r="28" spans="1:26" s="57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4" customFormat="1" x14ac:dyDescent="0.25">
      <c r="A29" s="11"/>
      <c r="B29" s="29" t="s">
        <v>292</v>
      </c>
      <c r="C29" s="11"/>
      <c r="D29" s="4">
        <f>SUM(0)</f>
        <v>0</v>
      </c>
      <c r="E29" s="4"/>
      <c r="F29" s="13">
        <f>IF(D$12=0,0,D29/D$12)</f>
        <v>0</v>
      </c>
      <c r="G29" s="4"/>
      <c r="H29" s="4">
        <f>SUM(0)</f>
        <v>0</v>
      </c>
      <c r="I29" s="4"/>
      <c r="J29" s="13">
        <f>IF(H$12=0,0,H29/H$12)</f>
        <v>0</v>
      </c>
      <c r="K29" s="4"/>
      <c r="L29" s="4">
        <f>+D29-H29</f>
        <v>0</v>
      </c>
      <c r="M29" s="4"/>
      <c r="N29" s="13">
        <f>IF(H29=0,0,L29/H29)</f>
        <v>0</v>
      </c>
      <c r="O29" s="11"/>
      <c r="P29" s="4">
        <f>SUM(0)</f>
        <v>0</v>
      </c>
      <c r="Q29" s="4"/>
      <c r="R29" s="13">
        <f>IF(P$12=0,0,P29/P$12)</f>
        <v>0</v>
      </c>
      <c r="S29" s="4"/>
      <c r="T29" s="4">
        <f>SUM(0)</f>
        <v>0</v>
      </c>
      <c r="U29" s="4"/>
      <c r="V29" s="13">
        <f>IF(T$12=0,0,T29/T$12)</f>
        <v>0</v>
      </c>
      <c r="W29" s="4"/>
      <c r="X29" s="4">
        <f>+P29-T29</f>
        <v>0</v>
      </c>
      <c r="Y29" s="4"/>
      <c r="Z29" s="13">
        <f>IF(T29=0,0,X29/T29)</f>
        <v>0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8" t="s">
        <v>276</v>
      </c>
      <c r="C31" s="28"/>
      <c r="D31" s="20">
        <f>+D19-D21+D29</f>
        <v>-10.039999999999999</v>
      </c>
      <c r="E31" s="14"/>
      <c r="F31" s="21">
        <f>IF(D$12=0,0,D31/D$12)</f>
        <v>-2.5099999999999998</v>
      </c>
      <c r="G31" s="14"/>
      <c r="H31" s="20">
        <f>+H19-H21+H29</f>
        <v>0</v>
      </c>
      <c r="I31" s="14"/>
      <c r="J31" s="21">
        <f>IF(H$12=0,0,H31/H$12)</f>
        <v>0</v>
      </c>
      <c r="K31" s="15"/>
      <c r="L31" s="20">
        <f>+D31-H31</f>
        <v>-10.039999999999999</v>
      </c>
      <c r="M31" s="15"/>
      <c r="N31" s="21">
        <f>IF(H31=0,0,L31/H31)</f>
        <v>0</v>
      </c>
      <c r="O31" s="29"/>
      <c r="P31" s="20">
        <f>+P19-P21+P29</f>
        <v>72.830000000000041</v>
      </c>
      <c r="Q31" s="14"/>
      <c r="R31" s="21">
        <f>IF(P$12=0,0,P31/P$12)</f>
        <v>0.18187039580471981</v>
      </c>
      <c r="S31" s="14"/>
      <c r="T31" s="20">
        <f>+T19-T21+T29</f>
        <v>7986.8700000000008</v>
      </c>
      <c r="U31" s="14"/>
      <c r="V31" s="21">
        <f>IF(T$12=0,0,T31/T$12)</f>
        <v>0.62336546341463417</v>
      </c>
      <c r="W31" s="15"/>
      <c r="X31" s="20">
        <f>+P31-T31</f>
        <v>-7914.0400000000009</v>
      </c>
      <c r="Y31" s="15"/>
      <c r="Z31" s="21">
        <f>IF(T31=0,0,X31/T31)</f>
        <v>-0.99088128390721275</v>
      </c>
    </row>
    <row r="32" spans="1:26" x14ac:dyDescent="0.25">
      <c r="A32" s="9"/>
      <c r="B32" s="11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127</v>
      </c>
      <c r="C33" s="11"/>
      <c r="D33" s="4">
        <v>2.63</v>
      </c>
      <c r="E33" s="4"/>
      <c r="F33" s="13">
        <f>IF(D$12=0,0,D33/D$12)</f>
        <v>0.65749999999999997</v>
      </c>
      <c r="G33" s="4"/>
      <c r="H33" s="4">
        <v>62.49</v>
      </c>
      <c r="I33" s="4"/>
      <c r="J33" s="13">
        <f>IF(H$12=0,0,H33/H$12)</f>
        <v>0</v>
      </c>
      <c r="K33" s="4"/>
      <c r="L33" s="4">
        <f>+D33-H33</f>
        <v>-59.86</v>
      </c>
      <c r="M33" s="4"/>
      <c r="N33" s="13">
        <f>IF(H33=0,0,L33/H33)</f>
        <v>-0.95791326612257954</v>
      </c>
      <c r="O33" s="11"/>
      <c r="P33" s="4">
        <v>85.57</v>
      </c>
      <c r="Q33" s="4"/>
      <c r="R33" s="13">
        <f>IF(P$12=0,0,P33/P$12)</f>
        <v>0.21368460481957796</v>
      </c>
      <c r="S33" s="4"/>
      <c r="T33" s="4">
        <v>1517.26</v>
      </c>
      <c r="U33" s="4"/>
      <c r="V33" s="13">
        <f>IF(T$12=0,0,T33/T$12)</f>
        <v>0.11842029268292682</v>
      </c>
      <c r="W33" s="4"/>
      <c r="X33" s="4">
        <f>+P33-T33</f>
        <v>-1431.69</v>
      </c>
      <c r="Y33" s="4"/>
      <c r="Z33" s="13">
        <f>IF(T33=0,0,X33/T33)</f>
        <v>-0.94360228306288974</v>
      </c>
    </row>
    <row r="34" spans="1:26" x14ac:dyDescent="0.25">
      <c r="A34" s="9"/>
      <c r="B34" s="11"/>
      <c r="C34" s="11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1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ht="15.75" thickBot="1" x14ac:dyDescent="0.3">
      <c r="A35" s="11"/>
      <c r="B35" s="28" t="s">
        <v>125</v>
      </c>
      <c r="C35" s="28"/>
      <c r="D35" s="35">
        <f>+D31-D33</f>
        <v>-12.669999999999998</v>
      </c>
      <c r="E35" s="14"/>
      <c r="F35" s="36">
        <f>IF(D$12=0,0,D35/D$12)</f>
        <v>-3.1674999999999995</v>
      </c>
      <c r="G35" s="14"/>
      <c r="H35" s="35">
        <f>+H31-H33</f>
        <v>-62.49</v>
      </c>
      <c r="I35" s="14"/>
      <c r="J35" s="36">
        <f>IF(H$12=0,0,H35/H$12)</f>
        <v>0</v>
      </c>
      <c r="K35" s="15"/>
      <c r="L35" s="35">
        <f>D35-H35</f>
        <v>49.820000000000007</v>
      </c>
      <c r="M35" s="15"/>
      <c r="N35" s="36">
        <f>IF(H35=0,0,L35/H35)</f>
        <v>-0.79724755960953764</v>
      </c>
      <c r="O35" s="29"/>
      <c r="P35" s="35">
        <f>+P31-P33</f>
        <v>-12.739999999999952</v>
      </c>
      <c r="Q35" s="14"/>
      <c r="R35" s="36">
        <f>IF(P$12=0,0,P35/P$12)</f>
        <v>-3.1814209014858166E-2</v>
      </c>
      <c r="S35" s="14"/>
      <c r="T35" s="35">
        <f>+T31-T33</f>
        <v>6469.6100000000006</v>
      </c>
      <c r="U35" s="14"/>
      <c r="V35" s="36">
        <f>IF(T$12=0,0,T35/T$12)</f>
        <v>0.50494517073170742</v>
      </c>
      <c r="W35" s="15"/>
      <c r="X35" s="35">
        <f>P35-T35</f>
        <v>-6482.35</v>
      </c>
      <c r="Y35" s="15"/>
      <c r="Z35" s="36">
        <f>IF(T35=0,0,X35/T35)</f>
        <v>-1.0019692067991732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ht="15.75" thickBot="1" x14ac:dyDescent="0.3">
      <c r="A38" s="11"/>
      <c r="B38" s="28" t="s">
        <v>293</v>
      </c>
      <c r="C38" s="28"/>
      <c r="D38" s="30">
        <f>SUM(D35:D37)</f>
        <v>-12.669999999999998</v>
      </c>
      <c r="E38" s="14"/>
      <c r="F38" s="31">
        <f>IF(D$12=0,0,D38/D$12)</f>
        <v>-3.1674999999999995</v>
      </c>
      <c r="G38" s="14"/>
      <c r="H38" s="30">
        <f>SUM(H35:H37)</f>
        <v>-62.49</v>
      </c>
      <c r="I38" s="14"/>
      <c r="J38" s="31">
        <f>IF(H$12=0,0,H38/H$12)</f>
        <v>0</v>
      </c>
      <c r="K38" s="15"/>
      <c r="L38" s="30">
        <f>+D38-H38</f>
        <v>49.820000000000007</v>
      </c>
      <c r="M38" s="15"/>
      <c r="N38" s="31">
        <f>IF(H38=0,0,L38/H38)</f>
        <v>-0.79724755960953764</v>
      </c>
      <c r="O38" s="29"/>
      <c r="P38" s="30">
        <f>SUM(P35:P37)</f>
        <v>-12.739999999999952</v>
      </c>
      <c r="Q38" s="14"/>
      <c r="R38" s="31">
        <f>IF(P$12=0,0,P38/P$12)</f>
        <v>-3.1814209014858166E-2</v>
      </c>
      <c r="S38" s="14"/>
      <c r="T38" s="30">
        <f>SUM(T35:T37)</f>
        <v>6469.6100000000006</v>
      </c>
      <c r="U38" s="14"/>
      <c r="V38" s="31">
        <f>IF(T$12=0,0,T38/T$12)</f>
        <v>0.50494517073170742</v>
      </c>
      <c r="W38" s="15"/>
      <c r="X38" s="30">
        <f>+P38-T38</f>
        <v>-6482.35</v>
      </c>
      <c r="Y38" s="15"/>
      <c r="Z38" s="31">
        <f>IF(T38=0,0,X38/T38)</f>
        <v>-1.0019692067991732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9">
        <v>44356.893348032405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2" t="s">
        <v>56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4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199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112283.45</v>
      </c>
      <c r="E12" s="4"/>
      <c r="F12" s="13"/>
      <c r="G12" s="4"/>
      <c r="H12" s="4">
        <f>SUM(OSRRefH13x_0)</f>
        <v>121392.13999999998</v>
      </c>
      <c r="I12" s="4"/>
      <c r="J12" s="13"/>
      <c r="K12" s="4"/>
      <c r="L12" s="4">
        <f t="shared" ref="L12:L23" si="0">+D12-H12</f>
        <v>-9108.6899999999878</v>
      </c>
      <c r="M12" s="4"/>
      <c r="N12" s="13">
        <f t="shared" ref="N12:N23" si="1">IF(H12=0,0,L12/H12)</f>
        <v>-7.5035253518061298E-2</v>
      </c>
      <c r="O12" s="11"/>
      <c r="P12" s="4">
        <f>SUM(OSRRefP13x_0)</f>
        <v>1510259.66</v>
      </c>
      <c r="Q12" s="4"/>
      <c r="R12" s="13"/>
      <c r="S12" s="4"/>
      <c r="T12" s="4">
        <f>SUM(OSRRefT13x_0)</f>
        <v>13790527.120000001</v>
      </c>
      <c r="U12" s="4"/>
      <c r="V12" s="13"/>
      <c r="W12" s="4"/>
      <c r="X12" s="4">
        <f t="shared" ref="X12:X23" si="2">+P12-T12</f>
        <v>-12280267.460000001</v>
      </c>
      <c r="Y12" s="4"/>
      <c r="Z12" s="13">
        <f t="shared" ref="Z12:Z23" si="3">IF(T12=0,0,X12/T12)</f>
        <v>-0.89048571915646979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--7161.66</f>
        <v>7161.66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7161.66</v>
      </c>
      <c r="M13" s="2"/>
      <c r="N13" s="19">
        <f t="shared" si="1"/>
        <v>0</v>
      </c>
      <c r="O13" s="10"/>
      <c r="P13" s="2">
        <f>--39282.92</f>
        <v>39282.92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-415455.76</v>
      </c>
      <c r="Y13" s="2"/>
      <c r="Z13" s="19">
        <f t="shared" si="3"/>
        <v>-0.91361429821628548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--47978.22</f>
        <v>47978.22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47978.22</v>
      </c>
      <c r="M14" s="2"/>
      <c r="N14" s="19">
        <f t="shared" si="1"/>
        <v>0</v>
      </c>
      <c r="O14" s="10"/>
      <c r="P14" s="2">
        <f>--428653.01</f>
        <v>428653.01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-407834.28</v>
      </c>
      <c r="Y14" s="2"/>
      <c r="Z14" s="19">
        <f t="shared" si="3"/>
        <v>-0.48755585993422568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>--21.66</f>
        <v>21.66</v>
      </c>
      <c r="E15" s="2"/>
      <c r="F15" s="19"/>
      <c r="G15" s="2"/>
      <c r="H15" s="2">
        <f>--59.42</f>
        <v>59.42</v>
      </c>
      <c r="I15" s="2"/>
      <c r="J15" s="19"/>
      <c r="K15" s="2"/>
      <c r="L15" s="2">
        <f t="shared" si="0"/>
        <v>-37.760000000000005</v>
      </c>
      <c r="M15" s="2"/>
      <c r="N15" s="19">
        <f t="shared" si="1"/>
        <v>-0.63547627061595424</v>
      </c>
      <c r="O15" s="10"/>
      <c r="P15" s="2">
        <f>--1106.56</f>
        <v>1106.56</v>
      </c>
      <c r="Q15" s="2"/>
      <c r="R15" s="19"/>
      <c r="S15" s="2"/>
      <c r="T15" s="2">
        <f>--279986.09</f>
        <v>279986.09000000003</v>
      </c>
      <c r="U15" s="2"/>
      <c r="V15" s="19"/>
      <c r="W15" s="2"/>
      <c r="X15" s="2">
        <f t="shared" si="2"/>
        <v>-278879.53000000003</v>
      </c>
      <c r="Y15" s="2"/>
      <c r="Z15" s="19">
        <f t="shared" si="3"/>
        <v>-0.99604780366053181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ref="D16:D17" si="5">0</f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0</f>
        <v>0</v>
      </c>
      <c r="Q16" s="2"/>
      <c r="R16" s="19"/>
      <c r="S16" s="2"/>
      <c r="T16" s="2">
        <f>--382379.53</f>
        <v>382379.53</v>
      </c>
      <c r="U16" s="2"/>
      <c r="V16" s="19"/>
      <c r="W16" s="2"/>
      <c r="X16" s="2">
        <f t="shared" si="2"/>
        <v>-382379.53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--54229.87</f>
        <v>54229.87</v>
      </c>
      <c r="E18" s="2"/>
      <c r="F18" s="19"/>
      <c r="G18" s="2"/>
      <c r="H18" s="2">
        <f>--125115.48</f>
        <v>125115.48</v>
      </c>
      <c r="I18" s="2"/>
      <c r="J18" s="19"/>
      <c r="K18" s="2"/>
      <c r="L18" s="2">
        <f t="shared" si="0"/>
        <v>-70885.609999999986</v>
      </c>
      <c r="M18" s="2"/>
      <c r="N18" s="19">
        <f t="shared" si="1"/>
        <v>-0.56656146785353811</v>
      </c>
      <c r="O18" s="10"/>
      <c r="P18" s="2">
        <f>--978326.99</f>
        <v>978326.99</v>
      </c>
      <c r="Q18" s="2"/>
      <c r="R18" s="19"/>
      <c r="S18" s="2"/>
      <c r="T18" s="2">
        <f>--10202627.97</f>
        <v>10202627.970000001</v>
      </c>
      <c r="U18" s="2"/>
      <c r="V18" s="19"/>
      <c r="W18" s="2"/>
      <c r="X18" s="2">
        <f t="shared" si="2"/>
        <v>-9224300.9800000004</v>
      </c>
      <c r="Y18" s="2"/>
      <c r="Z18" s="19">
        <f t="shared" si="3"/>
        <v>-0.90411029463421666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--11580.95</f>
        <v>11580.95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-39834.319999999992</v>
      </c>
      <c r="Y19" s="2"/>
      <c r="Z19" s="19">
        <f t="shared" si="3"/>
        <v>-0.77475660440954597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>--2892.04</f>
        <v>2892.04</v>
      </c>
      <c r="E20" s="2"/>
      <c r="F20" s="19"/>
      <c r="G20" s="2"/>
      <c r="H20" s="2">
        <f>-4166.46</f>
        <v>-4166.46</v>
      </c>
      <c r="I20" s="2"/>
      <c r="J20" s="19"/>
      <c r="K20" s="2"/>
      <c r="L20" s="2">
        <f t="shared" si="0"/>
        <v>7058.5</v>
      </c>
      <c r="M20" s="2"/>
      <c r="N20" s="19">
        <f t="shared" si="1"/>
        <v>-1.6941240285518162</v>
      </c>
      <c r="O20" s="10"/>
      <c r="P20" s="2">
        <f>--50334.32</f>
        <v>50334.32</v>
      </c>
      <c r="Q20" s="2"/>
      <c r="R20" s="19"/>
      <c r="S20" s="2"/>
      <c r="T20" s="2">
        <f>--299453.72</f>
        <v>299453.71999999997</v>
      </c>
      <c r="U20" s="2"/>
      <c r="V20" s="19"/>
      <c r="W20" s="2"/>
      <c r="X20" s="2">
        <f t="shared" si="2"/>
        <v>-249119.39999999997</v>
      </c>
      <c r="Y20" s="2"/>
      <c r="Z20" s="19">
        <f t="shared" si="3"/>
        <v>-0.83191285785329361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ref="D21:D23" si="7">0</f>
        <v>0</v>
      </c>
      <c r="E21" s="2"/>
      <c r="F21" s="19"/>
      <c r="G21" s="2"/>
      <c r="H21" s="2">
        <f t="shared" ref="H21:H22" si="8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3" si="9">0</f>
        <v>0</v>
      </c>
      <c r="Q21" s="2"/>
      <c r="R21" s="19"/>
      <c r="S21" s="2"/>
      <c r="T21" s="2">
        <f>--691123.63</f>
        <v>691123.63</v>
      </c>
      <c r="U21" s="2"/>
      <c r="V21" s="19"/>
      <c r="W21" s="2"/>
      <c r="X21" s="2">
        <f t="shared" si="2"/>
        <v>-691123.63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7"/>
        <v>0</v>
      </c>
      <c r="E22" s="2"/>
      <c r="F22" s="19"/>
      <c r="G22" s="2"/>
      <c r="H22" s="2">
        <f t="shared" si="8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9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"4159", " - ", "NON-TAXABLE SALES-FOOD")</f>
        <v xml:space="preserve">          4159 - NON-TAXABLE SALES-FOOD</v>
      </c>
      <c r="C23" s="10"/>
      <c r="D23" s="2">
        <f t="shared" si="7"/>
        <v>0</v>
      </c>
      <c r="E23" s="2"/>
      <c r="F23" s="19"/>
      <c r="G23" s="2"/>
      <c r="H23" s="2">
        <f>--383.7</f>
        <v>383.7</v>
      </c>
      <c r="I23" s="2"/>
      <c r="J23" s="19"/>
      <c r="K23" s="2"/>
      <c r="L23" s="2">
        <f t="shared" si="0"/>
        <v>-383.7</v>
      </c>
      <c r="M23" s="2"/>
      <c r="N23" s="19">
        <f t="shared" si="1"/>
        <v>-1</v>
      </c>
      <c r="O23" s="10"/>
      <c r="P23" s="2">
        <f t="shared" si="9"/>
        <v>0</v>
      </c>
      <c r="Q23" s="2"/>
      <c r="R23" s="19"/>
      <c r="S23" s="2"/>
      <c r="T23" s="2">
        <f>--383.7</f>
        <v>383.7</v>
      </c>
      <c r="U23" s="2"/>
      <c r="V23" s="19"/>
      <c r="W23" s="2"/>
      <c r="X23" s="2">
        <f t="shared" si="2"/>
        <v>-383.7</v>
      </c>
      <c r="Y23" s="2"/>
      <c r="Z23" s="19">
        <f t="shared" si="3"/>
        <v>-1</v>
      </c>
    </row>
    <row r="24" spans="1:26" x14ac:dyDescent="0.25">
      <c r="A24" s="9"/>
      <c r="B24" s="11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collapsed="1" x14ac:dyDescent="0.25">
      <c r="A25" s="11"/>
      <c r="B25" s="29" t="s">
        <v>256</v>
      </c>
      <c r="C25" s="11"/>
      <c r="D25" s="4">
        <f>SUM(OSRRefD16x_0)</f>
        <v>29424.93</v>
      </c>
      <c r="E25" s="4"/>
      <c r="F25" s="13">
        <f t="shared" ref="F25:F27" si="10">IF(D$12=0,0,D25/D$12)</f>
        <v>0.26205936849998823</v>
      </c>
      <c r="G25" s="4"/>
      <c r="H25" s="4">
        <f>SUM(OSRRefH16x_0)</f>
        <v>43795.15</v>
      </c>
      <c r="I25" s="4"/>
      <c r="J25" s="13">
        <f t="shared" ref="J25:J27" si="11">IF(H$12=0,0,H25/H$12)</f>
        <v>0.36077418191985089</v>
      </c>
      <c r="K25" s="4"/>
      <c r="L25" s="4">
        <f t="shared" ref="L25:L27" si="12">+D25-H25</f>
        <v>-14370.220000000001</v>
      </c>
      <c r="M25" s="4"/>
      <c r="N25" s="13">
        <f t="shared" ref="N25:N27" si="13">IF(H25=0,0,L25/H25)</f>
        <v>-0.32812354792711068</v>
      </c>
      <c r="O25" s="11"/>
      <c r="P25" s="4">
        <f>SUM(OSRRefP16x_0)</f>
        <v>458835.41</v>
      </c>
      <c r="Q25" s="4"/>
      <c r="R25" s="13">
        <f t="shared" ref="R25:R27" si="14">IF(P$12=0,0,P25/P$12)</f>
        <v>0.30381226629598251</v>
      </c>
      <c r="S25" s="4"/>
      <c r="T25" s="4">
        <f>SUM(OSRRefT16x_0)</f>
        <v>3839974.4</v>
      </c>
      <c r="U25" s="4"/>
      <c r="V25" s="13">
        <f t="shared" ref="V25:V27" si="15">IF(T$12=0,0,T25/T$12)</f>
        <v>0.27845015397787054</v>
      </c>
      <c r="W25" s="4"/>
      <c r="X25" s="4">
        <f t="shared" ref="X25:X27" si="16">+P25-T25</f>
        <v>-3381138.9899999998</v>
      </c>
      <c r="Y25" s="4"/>
      <c r="Z25" s="13">
        <f t="shared" ref="Z25:Z27" si="17">IF(T25=0,0,X25/T25)</f>
        <v>-0.88051081538460252</v>
      </c>
    </row>
    <row r="26" spans="1:26" s="23" customFormat="1" hidden="1" outlineLevel="1" x14ac:dyDescent="0.25">
      <c r="A26" s="44"/>
      <c r="B26" s="10" t="str">
        <f>CONCATENATE("          ", "5053", " - ", "PURCHASES @ COST-FOOD")</f>
        <v xml:space="preserve">          5053 - PURCHASES @ COST-FOOD</v>
      </c>
      <c r="C26" s="10"/>
      <c r="D26" s="2">
        <v>28069.93</v>
      </c>
      <c r="E26" s="2"/>
      <c r="F26" s="19">
        <f t="shared" si="10"/>
        <v>0.24999169512514979</v>
      </c>
      <c r="G26" s="2"/>
      <c r="H26" s="2">
        <v>18227.150000000001</v>
      </c>
      <c r="I26" s="2"/>
      <c r="J26" s="19">
        <f t="shared" si="11"/>
        <v>0.15015099000643703</v>
      </c>
      <c r="K26" s="2"/>
      <c r="L26" s="2">
        <f t="shared" si="12"/>
        <v>9842.7799999999988</v>
      </c>
      <c r="M26" s="2"/>
      <c r="N26" s="19">
        <f t="shared" si="13"/>
        <v>0.54000652872226307</v>
      </c>
      <c r="O26" s="10"/>
      <c r="P26" s="2">
        <v>455876.1</v>
      </c>
      <c r="Q26" s="2"/>
      <c r="R26" s="19">
        <f t="shared" si="14"/>
        <v>0.30185279530011416</v>
      </c>
      <c r="S26" s="2"/>
      <c r="T26" s="2">
        <v>3773599.67</v>
      </c>
      <c r="U26" s="2"/>
      <c r="V26" s="19">
        <f t="shared" si="15"/>
        <v>0.27363708704994011</v>
      </c>
      <c r="W26" s="2"/>
      <c r="X26" s="2">
        <f t="shared" si="16"/>
        <v>-3317723.57</v>
      </c>
      <c r="Y26" s="2"/>
      <c r="Z26" s="19">
        <f t="shared" si="17"/>
        <v>-0.8791933061622299</v>
      </c>
    </row>
    <row r="27" spans="1:26" s="23" customFormat="1" hidden="1" outlineLevel="1" x14ac:dyDescent="0.25">
      <c r="A27" s="44"/>
      <c r="B27" s="10" t="str">
        <f>CONCATENATE("          ", "5059", " - ", "PURCHASES @ COST-FOOD")</f>
        <v xml:space="preserve">          5059 - PURCHASES @ COST-FOOD</v>
      </c>
      <c r="C27" s="10"/>
      <c r="D27" s="2">
        <v>1355</v>
      </c>
      <c r="E27" s="2"/>
      <c r="F27" s="19">
        <f t="shared" si="10"/>
        <v>1.2067673374838411E-2</v>
      </c>
      <c r="G27" s="2"/>
      <c r="H27" s="2">
        <v>25568</v>
      </c>
      <c r="I27" s="2"/>
      <c r="J27" s="19">
        <f t="shared" si="11"/>
        <v>0.21062319191341386</v>
      </c>
      <c r="K27" s="2"/>
      <c r="L27" s="2">
        <f t="shared" si="12"/>
        <v>-24213</v>
      </c>
      <c r="M27" s="2"/>
      <c r="N27" s="19">
        <f t="shared" si="13"/>
        <v>-0.94700406758448064</v>
      </c>
      <c r="O27" s="10"/>
      <c r="P27" s="2">
        <v>2959.31</v>
      </c>
      <c r="Q27" s="2"/>
      <c r="R27" s="19">
        <f t="shared" si="14"/>
        <v>1.9594709958683531E-3</v>
      </c>
      <c r="S27" s="2"/>
      <c r="T27" s="2">
        <v>66374.73</v>
      </c>
      <c r="U27" s="2"/>
      <c r="V27" s="19">
        <f t="shared" si="15"/>
        <v>4.8130669279304525E-3</v>
      </c>
      <c r="W27" s="2"/>
      <c r="X27" s="2">
        <f t="shared" si="16"/>
        <v>-63415.42</v>
      </c>
      <c r="Y27" s="2"/>
      <c r="Z27" s="19">
        <f t="shared" si="17"/>
        <v>-0.95541511053980943</v>
      </c>
    </row>
    <row r="28" spans="1:26" x14ac:dyDescent="0.25">
      <c r="A28" s="9"/>
      <c r="B28" s="11"/>
      <c r="C28" s="11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1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11"/>
      <c r="B29" s="28" t="s">
        <v>107</v>
      </c>
      <c r="C29" s="28"/>
      <c r="D29" s="20">
        <f>D12-D25</f>
        <v>82858.51999999999</v>
      </c>
      <c r="E29" s="14"/>
      <c r="F29" s="21">
        <f>IF(D$12=0,0,D29/D$12)</f>
        <v>0.73794063150001177</v>
      </c>
      <c r="G29" s="14"/>
      <c r="H29" s="20">
        <f>H12-H25</f>
        <v>77596.989999999991</v>
      </c>
      <c r="I29" s="14"/>
      <c r="J29" s="21">
        <f>IF(H$12=0,0,H29/H$12)</f>
        <v>0.63922581808014922</v>
      </c>
      <c r="K29" s="15"/>
      <c r="L29" s="20">
        <f>+D29-H29</f>
        <v>5261.5299999999988</v>
      </c>
      <c r="M29" s="15"/>
      <c r="N29" s="21">
        <f>IF(H29=0,0,L29/H29)</f>
        <v>6.7805851747599996E-2</v>
      </c>
      <c r="O29" s="29"/>
      <c r="P29" s="20">
        <f>P12-P25</f>
        <v>1051424.25</v>
      </c>
      <c r="Q29" s="14"/>
      <c r="R29" s="21">
        <f>IF(P$12=0,0,P29/P$12)</f>
        <v>0.69618773370401754</v>
      </c>
      <c r="S29" s="14"/>
      <c r="T29" s="20">
        <f>T12-T25</f>
        <v>9950552.7200000007</v>
      </c>
      <c r="U29" s="14"/>
      <c r="V29" s="21">
        <f>IF(T$12=0,0,T29/T$12)</f>
        <v>0.72154984602212946</v>
      </c>
      <c r="W29" s="15"/>
      <c r="X29" s="20">
        <f>+P29-T29</f>
        <v>-8899128.4700000007</v>
      </c>
      <c r="Y29" s="15"/>
      <c r="Z29" s="21">
        <f>IF(T29=0,0,X29/T29)</f>
        <v>-0.89433509076468665</v>
      </c>
    </row>
    <row r="30" spans="1:26" x14ac:dyDescent="0.25">
      <c r="A30" s="9"/>
      <c r="B30" s="11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x14ac:dyDescent="0.25">
      <c r="A31" s="11"/>
      <c r="B31" s="29" t="s">
        <v>294</v>
      </c>
      <c r="C31" s="11"/>
      <c r="D31" s="22">
        <f>SUM(OSRRefD22x_0)</f>
        <v>320142.31</v>
      </c>
      <c r="E31" s="22"/>
      <c r="F31" s="32">
        <f t="shared" ref="F31:F41" si="18">IF(D$12=0,0,D31/D$12)</f>
        <v>2.8511976609197527</v>
      </c>
      <c r="G31" s="22"/>
      <c r="H31" s="22">
        <f>SUM(OSRRefH22x_0)</f>
        <v>315022.13</v>
      </c>
      <c r="I31" s="22"/>
      <c r="J31" s="32">
        <f t="shared" ref="J31:J41" si="19">IF(H$12=0,0,H31/H$12)</f>
        <v>2.5950784787219341</v>
      </c>
      <c r="K31" s="4"/>
      <c r="L31" s="22">
        <f t="shared" ref="L31:L41" si="20">+D31-H31</f>
        <v>5120.179999999993</v>
      </c>
      <c r="M31" s="4"/>
      <c r="N31" s="32">
        <f t="shared" ref="N31:N41" si="21">IF(H31=0,0,L31/H31)</f>
        <v>1.6253397816845417E-2</v>
      </c>
      <c r="O31" s="11"/>
      <c r="P31" s="22">
        <f>SUM(OSRRefP22x_0)</f>
        <v>3701530.9100000011</v>
      </c>
      <c r="Q31" s="22"/>
      <c r="R31" s="32">
        <f t="shared" ref="R31:R41" si="22">IF(P$12=0,0,P31/P$12)</f>
        <v>2.4509235120535506</v>
      </c>
      <c r="S31" s="22"/>
      <c r="T31" s="22">
        <f>SUM(OSRRefT22x_0)</f>
        <v>9510841.230000006</v>
      </c>
      <c r="U31" s="22"/>
      <c r="V31" s="32">
        <f t="shared" ref="V31:V41" si="23">IF(T$12=0,0,T31/T$12)</f>
        <v>0.68966480738845071</v>
      </c>
      <c r="W31" s="4"/>
      <c r="X31" s="22">
        <f t="shared" ref="X31:X41" si="24">+P31-T31</f>
        <v>-5809310.320000005</v>
      </c>
      <c r="Y31" s="4"/>
      <c r="Z31" s="32">
        <f t="shared" ref="Z31:Z41" si="25">IF(T31=0,0,X31/T31)</f>
        <v>-0.6108093048252895</v>
      </c>
    </row>
    <row r="32" spans="1:26" s="26" customFormat="1" outlineLevel="1" collapsed="1" x14ac:dyDescent="0.25">
      <c r="A32" s="25"/>
      <c r="B32" s="12" t="str">
        <f>CONCATENATE("     ","*Benefits                                         ")</f>
        <v xml:space="preserve">     *Benefits                                         </v>
      </c>
      <c r="C32" s="12"/>
      <c r="D32" s="1">
        <f>SUM(OSRRefD22_0x_0)</f>
        <v>94959.360000000001</v>
      </c>
      <c r="E32" s="1"/>
      <c r="F32" s="5">
        <f t="shared" si="18"/>
        <v>0.8457110998994064</v>
      </c>
      <c r="G32" s="1"/>
      <c r="H32" s="1">
        <f>SUM(OSRRefH22_0x_0)</f>
        <v>97175.2</v>
      </c>
      <c r="I32" s="1"/>
      <c r="J32" s="5">
        <f t="shared" si="19"/>
        <v>0.80050652373374431</v>
      </c>
      <c r="K32" s="1"/>
      <c r="L32" s="1">
        <f t="shared" si="20"/>
        <v>-2215.8399999999965</v>
      </c>
      <c r="M32" s="1"/>
      <c r="N32" s="5">
        <f t="shared" si="21"/>
        <v>-2.2802525747309978E-2</v>
      </c>
      <c r="O32" s="12"/>
      <c r="P32" s="1">
        <f>SUM(OSRRefP22_0x_0)</f>
        <v>1077004.99</v>
      </c>
      <c r="Q32" s="1"/>
      <c r="R32" s="5">
        <f t="shared" si="22"/>
        <v>0.7131257084626097</v>
      </c>
      <c r="S32" s="1"/>
      <c r="T32" s="1">
        <f>SUM(OSRRefT22_0x_0)</f>
        <v>1561576.1499999997</v>
      </c>
      <c r="U32" s="1"/>
      <c r="V32" s="5">
        <f t="shared" si="23"/>
        <v>0.1132354214173069</v>
      </c>
      <c r="W32" s="1"/>
      <c r="X32" s="1">
        <f t="shared" si="24"/>
        <v>-484571.15999999968</v>
      </c>
      <c r="Y32" s="1"/>
      <c r="Z32" s="5">
        <f t="shared" si="25"/>
        <v>-0.31030901695059815</v>
      </c>
    </row>
    <row r="33" spans="1:26" s="23" customFormat="1" hidden="1" outlineLevel="2" x14ac:dyDescent="0.25">
      <c r="A33" s="27"/>
      <c r="B33" s="10" t="str">
        <f>CONCATENATE("          ", "6111", " - ", "F.I.C.A.")</f>
        <v xml:space="preserve">          6111 - F.I.C.A.</v>
      </c>
      <c r="C33" s="10"/>
      <c r="D33" s="6">
        <v>9496.7199999999993</v>
      </c>
      <c r="E33" s="2"/>
      <c r="F33" s="7">
        <f t="shared" si="18"/>
        <v>8.4578092319037221E-2</v>
      </c>
      <c r="G33" s="2"/>
      <c r="H33" s="6">
        <v>9534.4</v>
      </c>
      <c r="I33" s="2"/>
      <c r="J33" s="7">
        <f t="shared" si="19"/>
        <v>7.8542152729163525E-2</v>
      </c>
      <c r="K33" s="2"/>
      <c r="L33" s="6">
        <f t="shared" si="20"/>
        <v>-37.680000000000291</v>
      </c>
      <c r="M33" s="2"/>
      <c r="N33" s="7">
        <f t="shared" si="21"/>
        <v>-3.9520053700285588E-3</v>
      </c>
      <c r="O33" s="10"/>
      <c r="P33" s="6">
        <v>117270.02</v>
      </c>
      <c r="Q33" s="2"/>
      <c r="R33" s="7">
        <f t="shared" si="22"/>
        <v>7.7648912373121326E-2</v>
      </c>
      <c r="S33" s="2"/>
      <c r="T33" s="6">
        <v>277996.88</v>
      </c>
      <c r="U33" s="2"/>
      <c r="V33" s="7">
        <f t="shared" si="23"/>
        <v>2.0158539088533402E-2</v>
      </c>
      <c r="W33" s="2"/>
      <c r="X33" s="6">
        <f t="shared" si="24"/>
        <v>-160726.85999999999</v>
      </c>
      <c r="Y33" s="2"/>
      <c r="Z33" s="7">
        <f t="shared" si="25"/>
        <v>-0.57816066137145128</v>
      </c>
    </row>
    <row r="34" spans="1:26" s="23" customFormat="1" hidden="1" outlineLevel="2" x14ac:dyDescent="0.25">
      <c r="A34" s="27"/>
      <c r="B34" s="10" t="str">
        <f>CONCATENATE("          ", "6112", " - ", "COMPENSATION INSURANCE")</f>
        <v xml:space="preserve">          6112 - COMPENSATION INSURANCE</v>
      </c>
      <c r="C34" s="10"/>
      <c r="D34" s="6">
        <v>7453.04</v>
      </c>
      <c r="E34" s="2"/>
      <c r="F34" s="7">
        <f t="shared" si="18"/>
        <v>6.6377012818897171E-2</v>
      </c>
      <c r="G34" s="2"/>
      <c r="H34" s="6">
        <v>6752.68</v>
      </c>
      <c r="I34" s="2"/>
      <c r="J34" s="7">
        <f t="shared" si="19"/>
        <v>5.5626995289810369E-2</v>
      </c>
      <c r="K34" s="2"/>
      <c r="L34" s="6">
        <f t="shared" si="20"/>
        <v>700.35999999999967</v>
      </c>
      <c r="M34" s="2"/>
      <c r="N34" s="7">
        <f t="shared" si="21"/>
        <v>0.10371585800008287</v>
      </c>
      <c r="O34" s="10"/>
      <c r="P34" s="6">
        <v>63243.02</v>
      </c>
      <c r="Q34" s="2"/>
      <c r="R34" s="7">
        <f t="shared" si="22"/>
        <v>4.1875593763790263E-2</v>
      </c>
      <c r="S34" s="2"/>
      <c r="T34" s="6">
        <v>162665.26</v>
      </c>
      <c r="U34" s="2"/>
      <c r="V34" s="7">
        <f t="shared" si="23"/>
        <v>1.1795434546087169E-2</v>
      </c>
      <c r="W34" s="2"/>
      <c r="X34" s="6">
        <f t="shared" si="24"/>
        <v>-99422.24000000002</v>
      </c>
      <c r="Y34" s="2"/>
      <c r="Z34" s="7">
        <f t="shared" si="25"/>
        <v>-0.61120758052456936</v>
      </c>
    </row>
    <row r="35" spans="1:26" s="23" customFormat="1" hidden="1" outlineLevel="2" x14ac:dyDescent="0.25">
      <c r="A35" s="27"/>
      <c r="B35" s="10" t="str">
        <f>CONCATENATE("          ", "6113", " - ", "GROUP INSURANCE")</f>
        <v xml:space="preserve">          6113 - GROUP INSURANCE</v>
      </c>
      <c r="C35" s="10"/>
      <c r="D35" s="6">
        <v>53385.82</v>
      </c>
      <c r="E35" s="2"/>
      <c r="F35" s="7">
        <f t="shared" si="18"/>
        <v>0.47545582185086049</v>
      </c>
      <c r="G35" s="2"/>
      <c r="H35" s="6">
        <v>55309.57</v>
      </c>
      <c r="I35" s="2"/>
      <c r="J35" s="7">
        <f t="shared" si="19"/>
        <v>0.45562727537384223</v>
      </c>
      <c r="K35" s="2"/>
      <c r="L35" s="6">
        <f t="shared" si="20"/>
        <v>-1923.75</v>
      </c>
      <c r="M35" s="2"/>
      <c r="N35" s="7">
        <f t="shared" si="21"/>
        <v>-3.4781503454103871E-2</v>
      </c>
      <c r="O35" s="10"/>
      <c r="P35" s="6">
        <v>597224.24</v>
      </c>
      <c r="Q35" s="2"/>
      <c r="R35" s="7">
        <f t="shared" si="22"/>
        <v>0.39544474093944881</v>
      </c>
      <c r="S35" s="2"/>
      <c r="T35" s="6">
        <v>751961.93</v>
      </c>
      <c r="U35" s="2"/>
      <c r="V35" s="7">
        <f t="shared" si="23"/>
        <v>5.4527424764601748E-2</v>
      </c>
      <c r="W35" s="2"/>
      <c r="X35" s="6">
        <f t="shared" si="24"/>
        <v>-154737.69000000006</v>
      </c>
      <c r="Y35" s="2"/>
      <c r="Z35" s="7">
        <f t="shared" si="25"/>
        <v>-0.20577862232998956</v>
      </c>
    </row>
    <row r="36" spans="1:26" s="23" customFormat="1" hidden="1" outlineLevel="2" x14ac:dyDescent="0.25">
      <c r="A36" s="27"/>
      <c r="B36" s="10" t="str">
        <f>CONCATENATE("          ", "6114", " - ", "STATE UNEMPLOYMENT INSURANCE")</f>
        <v xml:space="preserve">          6114 - STATE UNEMPLOYMENT INSURANCE</v>
      </c>
      <c r="C36" s="10"/>
      <c r="D36" s="6">
        <v>514.4</v>
      </c>
      <c r="E36" s="2"/>
      <c r="F36" s="7">
        <f t="shared" si="18"/>
        <v>4.5812628664331206E-3</v>
      </c>
      <c r="G36" s="2"/>
      <c r="H36" s="6">
        <v>519.17999999999995</v>
      </c>
      <c r="I36" s="2"/>
      <c r="J36" s="7">
        <f t="shared" si="19"/>
        <v>4.2768831655822202E-3</v>
      </c>
      <c r="K36" s="2"/>
      <c r="L36" s="6">
        <f t="shared" si="20"/>
        <v>-4.7799999999999727</v>
      </c>
      <c r="M36" s="2"/>
      <c r="N36" s="7">
        <f t="shared" si="21"/>
        <v>-9.2068261489271028E-3</v>
      </c>
      <c r="O36" s="10"/>
      <c r="P36" s="6">
        <v>4470.87</v>
      </c>
      <c r="Q36" s="2"/>
      <c r="R36" s="7">
        <f t="shared" si="22"/>
        <v>2.9603320001277134E-3</v>
      </c>
      <c r="S36" s="2"/>
      <c r="T36" s="6">
        <v>13299.63</v>
      </c>
      <c r="U36" s="2"/>
      <c r="V36" s="7">
        <f t="shared" si="23"/>
        <v>9.6440330991495835E-4</v>
      </c>
      <c r="W36" s="2"/>
      <c r="X36" s="6">
        <f t="shared" si="24"/>
        <v>-8828.7599999999984</v>
      </c>
      <c r="Y36" s="2"/>
      <c r="Z36" s="7">
        <f t="shared" si="25"/>
        <v>-0.66383500894385772</v>
      </c>
    </row>
    <row r="37" spans="1:26" s="23" customFormat="1" hidden="1" outlineLevel="2" x14ac:dyDescent="0.25">
      <c r="A37" s="27"/>
      <c r="B37" s="10" t="str">
        <f>CONCATENATE("          ", "6115", " - ", "P.E.R.S.")</f>
        <v xml:space="preserve">          6115 - P.E.R.S.</v>
      </c>
      <c r="C37" s="10"/>
      <c r="D37" s="6">
        <v>6377.98</v>
      </c>
      <c r="E37" s="2"/>
      <c r="F37" s="7">
        <f t="shared" si="18"/>
        <v>5.6802494045204342E-2</v>
      </c>
      <c r="G37" s="2"/>
      <c r="H37" s="6">
        <v>6347.38</v>
      </c>
      <c r="I37" s="2"/>
      <c r="J37" s="7">
        <f t="shared" si="19"/>
        <v>5.2288228875444494E-2</v>
      </c>
      <c r="K37" s="2"/>
      <c r="L37" s="6">
        <f t="shared" si="20"/>
        <v>30.599999999999454</v>
      </c>
      <c r="M37" s="2"/>
      <c r="N37" s="7">
        <f t="shared" si="21"/>
        <v>4.8208867280672427E-3</v>
      </c>
      <c r="O37" s="10"/>
      <c r="P37" s="6">
        <v>78547.649999999994</v>
      </c>
      <c r="Q37" s="2"/>
      <c r="R37" s="7">
        <f t="shared" si="22"/>
        <v>5.2009367713628796E-2</v>
      </c>
      <c r="S37" s="2"/>
      <c r="T37" s="6">
        <v>124338.89</v>
      </c>
      <c r="U37" s="2"/>
      <c r="V37" s="7">
        <f t="shared" si="23"/>
        <v>9.0162536151119944E-3</v>
      </c>
      <c r="W37" s="2"/>
      <c r="X37" s="6">
        <f t="shared" si="24"/>
        <v>-45791.240000000005</v>
      </c>
      <c r="Y37" s="2"/>
      <c r="Z37" s="7">
        <f t="shared" si="25"/>
        <v>-0.36827769654369608</v>
      </c>
    </row>
    <row r="38" spans="1:26" s="23" customFormat="1" hidden="1" outlineLevel="2" x14ac:dyDescent="0.25">
      <c r="A38" s="27"/>
      <c r="B38" s="10" t="str">
        <f>CONCATENATE("          ", "6117", " - ", "RETIREMENT STAFF HOURLY")</f>
        <v xml:space="preserve">          6117 - RETIREMENT STAFF HOURLY</v>
      </c>
      <c r="C38" s="10"/>
      <c r="D38" s="6">
        <v>1429.07</v>
      </c>
      <c r="E38" s="2"/>
      <c r="F38" s="7">
        <f t="shared" si="18"/>
        <v>1.272734316588954E-2</v>
      </c>
      <c r="G38" s="2"/>
      <c r="H38" s="6">
        <v>1448.63</v>
      </c>
      <c r="I38" s="2"/>
      <c r="J38" s="7">
        <f t="shared" si="19"/>
        <v>1.1933474440766926E-2</v>
      </c>
      <c r="K38" s="2"/>
      <c r="L38" s="6">
        <f t="shared" si="20"/>
        <v>-19.560000000000173</v>
      </c>
      <c r="M38" s="2"/>
      <c r="N38" s="7">
        <f t="shared" si="21"/>
        <v>-1.3502412624341738E-2</v>
      </c>
      <c r="O38" s="10"/>
      <c r="P38" s="6">
        <v>16831.96</v>
      </c>
      <c r="Q38" s="2"/>
      <c r="R38" s="7">
        <f t="shared" si="22"/>
        <v>1.1145076867113036E-2</v>
      </c>
      <c r="S38" s="2"/>
      <c r="T38" s="6">
        <v>20776.14</v>
      </c>
      <c r="U38" s="2"/>
      <c r="V38" s="7">
        <f t="shared" si="23"/>
        <v>1.5065515494232971E-3</v>
      </c>
      <c r="W38" s="2"/>
      <c r="X38" s="6">
        <f t="shared" si="24"/>
        <v>-3944.1800000000003</v>
      </c>
      <c r="Y38" s="2"/>
      <c r="Z38" s="7">
        <f t="shared" si="25"/>
        <v>-0.1898418089211952</v>
      </c>
    </row>
    <row r="39" spans="1:26" s="23" customFormat="1" hidden="1" outlineLevel="2" x14ac:dyDescent="0.25">
      <c r="A39" s="27"/>
      <c r="B39" s="10" t="str">
        <f>CONCATENATE("          ", "6118", " - ", "VACATION")</f>
        <v xml:space="preserve">          6118 - VACATION</v>
      </c>
      <c r="C39" s="10"/>
      <c r="D39" s="6">
        <v>8507.2000000000007</v>
      </c>
      <c r="E39" s="2"/>
      <c r="F39" s="7">
        <f t="shared" si="18"/>
        <v>7.5765395523561138E-2</v>
      </c>
      <c r="G39" s="2"/>
      <c r="H39" s="6">
        <v>8467.23</v>
      </c>
      <c r="I39" s="2"/>
      <c r="J39" s="7">
        <f t="shared" si="19"/>
        <v>6.9751056369876996E-2</v>
      </c>
      <c r="K39" s="2"/>
      <c r="L39" s="6">
        <f t="shared" si="20"/>
        <v>39.970000000001164</v>
      </c>
      <c r="M39" s="2"/>
      <c r="N39" s="7">
        <f t="shared" si="21"/>
        <v>4.7205520577569245E-3</v>
      </c>
      <c r="O39" s="10"/>
      <c r="P39" s="6">
        <v>102626.95</v>
      </c>
      <c r="Q39" s="2"/>
      <c r="R39" s="7">
        <f t="shared" si="22"/>
        <v>6.7953182302439311E-2</v>
      </c>
      <c r="S39" s="2"/>
      <c r="T39" s="6">
        <v>168189.91</v>
      </c>
      <c r="U39" s="2"/>
      <c r="V39" s="7">
        <f t="shared" si="23"/>
        <v>1.2196046498910042E-2</v>
      </c>
      <c r="W39" s="2"/>
      <c r="X39" s="6">
        <f t="shared" si="24"/>
        <v>-65562.960000000006</v>
      </c>
      <c r="Y39" s="2"/>
      <c r="Z39" s="7">
        <f t="shared" si="25"/>
        <v>-0.38981506084401857</v>
      </c>
    </row>
    <row r="40" spans="1:26" s="23" customFormat="1" hidden="1" outlineLevel="2" x14ac:dyDescent="0.25">
      <c r="A40" s="27"/>
      <c r="B40" s="10" t="str">
        <f>CONCATENATE("          ", "6119", " - ", "SICK LEAVE")</f>
        <v xml:space="preserve">          6119 - SICK LEAVE</v>
      </c>
      <c r="C40" s="10"/>
      <c r="D40" s="6">
        <v>5325.16</v>
      </c>
      <c r="E40" s="2"/>
      <c r="F40" s="7">
        <f t="shared" si="18"/>
        <v>4.7426045423435065E-2</v>
      </c>
      <c r="G40" s="2"/>
      <c r="H40" s="6">
        <v>6128.13</v>
      </c>
      <c r="I40" s="2"/>
      <c r="J40" s="7">
        <f t="shared" si="19"/>
        <v>5.048209875861815E-2</v>
      </c>
      <c r="K40" s="2"/>
      <c r="L40" s="6">
        <f t="shared" si="20"/>
        <v>-802.97000000000025</v>
      </c>
      <c r="M40" s="2"/>
      <c r="N40" s="7">
        <f t="shared" si="21"/>
        <v>-0.13103018375915659</v>
      </c>
      <c r="O40" s="10"/>
      <c r="P40" s="6">
        <v>66257.05</v>
      </c>
      <c r="Q40" s="2"/>
      <c r="R40" s="7">
        <f t="shared" si="22"/>
        <v>4.3871296939759358E-2</v>
      </c>
      <c r="S40" s="2"/>
      <c r="T40" s="6">
        <v>-22256.85</v>
      </c>
      <c r="U40" s="2"/>
      <c r="V40" s="7">
        <f t="shared" si="23"/>
        <v>-1.6139230796857313E-3</v>
      </c>
      <c r="W40" s="2"/>
      <c r="X40" s="6">
        <f t="shared" si="24"/>
        <v>88513.9</v>
      </c>
      <c r="Y40" s="2"/>
      <c r="Z40" s="7">
        <f t="shared" si="25"/>
        <v>-3.976928451240854</v>
      </c>
    </row>
    <row r="41" spans="1:26" s="23" customFormat="1" hidden="1" outlineLevel="2" x14ac:dyDescent="0.25">
      <c r="A41" s="27"/>
      <c r="B41" s="10" t="str">
        <f>CONCATENATE("          ", "6156", " - ", "EMPLOYEE MEALS")</f>
        <v xml:space="preserve">          6156 - EMPLOYEE MEALS</v>
      </c>
      <c r="C41" s="10"/>
      <c r="D41" s="6">
        <v>2469.9699999999998</v>
      </c>
      <c r="E41" s="2"/>
      <c r="F41" s="7">
        <f t="shared" si="18"/>
        <v>2.1997631886088286E-2</v>
      </c>
      <c r="G41" s="2"/>
      <c r="H41" s="6">
        <v>2668</v>
      </c>
      <c r="I41" s="2"/>
      <c r="J41" s="7">
        <f t="shared" si="19"/>
        <v>2.19783587306394E-2</v>
      </c>
      <c r="K41" s="2"/>
      <c r="L41" s="6">
        <f t="shared" si="20"/>
        <v>-198.0300000000002</v>
      </c>
      <c r="M41" s="2"/>
      <c r="N41" s="7">
        <f t="shared" si="21"/>
        <v>-7.4224137931034564E-2</v>
      </c>
      <c r="O41" s="10"/>
      <c r="P41" s="6">
        <v>30533.23</v>
      </c>
      <c r="Q41" s="2"/>
      <c r="R41" s="7">
        <f t="shared" si="22"/>
        <v>2.0217205563181104E-2</v>
      </c>
      <c r="S41" s="2"/>
      <c r="T41" s="6">
        <v>64604.36</v>
      </c>
      <c r="U41" s="2"/>
      <c r="V41" s="7">
        <f t="shared" si="23"/>
        <v>4.6846911244100434E-3</v>
      </c>
      <c r="W41" s="2"/>
      <c r="X41" s="6">
        <f t="shared" si="24"/>
        <v>-34071.130000000005</v>
      </c>
      <c r="Y41" s="2"/>
      <c r="Z41" s="7">
        <f t="shared" si="25"/>
        <v>-0.5273812789105875</v>
      </c>
    </row>
    <row r="42" spans="1:26" s="26" customFormat="1" outlineLevel="1" collapsed="1" x14ac:dyDescent="0.25">
      <c r="A42" s="25"/>
      <c r="B42" s="12" t="str">
        <f>CONCATENATE("     ","*Payroll                                          ")</f>
        <v xml:space="preserve">     *Payroll                                          </v>
      </c>
      <c r="C42" s="12"/>
      <c r="D42" s="1">
        <f>SUM(OSRRefD22_1x_0)</f>
        <v>116472.43000000001</v>
      </c>
      <c r="E42" s="1"/>
      <c r="F42" s="5">
        <f t="shared" ref="F42:F49" si="26">IF(D$12=0,0,D42/D$12)</f>
        <v>1.0373071899732331</v>
      </c>
      <c r="G42" s="1"/>
      <c r="H42" s="1">
        <f>SUM(OSRRefH22_1x_0)</f>
        <v>94591.54</v>
      </c>
      <c r="I42" s="1"/>
      <c r="J42" s="5">
        <f t="shared" ref="J42:J49" si="27">IF(H$12=0,0,H42/H$12)</f>
        <v>0.77922293815728105</v>
      </c>
      <c r="K42" s="1"/>
      <c r="L42" s="1">
        <f t="shared" ref="L42:L49" si="28">+D42-H42</f>
        <v>21880.890000000014</v>
      </c>
      <c r="M42" s="1"/>
      <c r="N42" s="5">
        <f t="shared" ref="N42:N49" si="29">IF(H42=0,0,L42/H42)</f>
        <v>0.23131973535899739</v>
      </c>
      <c r="O42" s="12"/>
      <c r="P42" s="1">
        <f>SUM(OSRRefP22_1x_0)</f>
        <v>1477621.1699999997</v>
      </c>
      <c r="Q42" s="1"/>
      <c r="R42" s="5">
        <f t="shared" ref="R42:R49" si="30">IF(P$12=0,0,P42/P$12)</f>
        <v>0.97838882222411994</v>
      </c>
      <c r="S42" s="1"/>
      <c r="T42" s="1">
        <f>SUM(OSRRefT22_1x_0)</f>
        <v>4667758.17</v>
      </c>
      <c r="U42" s="1"/>
      <c r="V42" s="5">
        <f t="shared" ref="V42:V49" si="31">IF(T$12=0,0,T42/T$12)</f>
        <v>0.33847568910041775</v>
      </c>
      <c r="W42" s="1"/>
      <c r="X42" s="1">
        <f t="shared" ref="X42:X49" si="32">+P42-T42</f>
        <v>-3190137</v>
      </c>
      <c r="Y42" s="1"/>
      <c r="Z42" s="5">
        <f t="shared" ref="Z42:Z49" si="33">IF(T42=0,0,X42/T42)</f>
        <v>-0.68344093327354194</v>
      </c>
    </row>
    <row r="43" spans="1:26" s="23" customFormat="1" hidden="1" outlineLevel="2" x14ac:dyDescent="0.25">
      <c r="A43" s="27"/>
      <c r="B43" s="10" t="str">
        <f>CONCATENATE("          ", "6001", " - ", "ADMINISTRATIVE SALARIES")</f>
        <v xml:space="preserve">          6001 - ADMINISTRATIVE SALARIES</v>
      </c>
      <c r="C43" s="10"/>
      <c r="D43" s="6">
        <v>17261.5</v>
      </c>
      <c r="E43" s="2"/>
      <c r="F43" s="7">
        <f t="shared" si="26"/>
        <v>0.15373147155702821</v>
      </c>
      <c r="G43" s="2"/>
      <c r="H43" s="6">
        <v>18921.89</v>
      </c>
      <c r="I43" s="2"/>
      <c r="J43" s="7">
        <f t="shared" si="27"/>
        <v>0.15587409530798288</v>
      </c>
      <c r="K43" s="2"/>
      <c r="L43" s="6">
        <f t="shared" si="28"/>
        <v>-1660.3899999999994</v>
      </c>
      <c r="M43" s="2"/>
      <c r="N43" s="7">
        <f t="shared" si="29"/>
        <v>-8.7749690966388641E-2</v>
      </c>
      <c r="O43" s="10"/>
      <c r="P43" s="6">
        <v>219481.99</v>
      </c>
      <c r="Q43" s="2"/>
      <c r="R43" s="7">
        <f t="shared" si="30"/>
        <v>0.14532732073370747</v>
      </c>
      <c r="S43" s="2"/>
      <c r="T43" s="6">
        <v>271069.45</v>
      </c>
      <c r="U43" s="2"/>
      <c r="V43" s="7">
        <f t="shared" si="31"/>
        <v>1.965620658595971E-2</v>
      </c>
      <c r="W43" s="2"/>
      <c r="X43" s="6">
        <f t="shared" si="32"/>
        <v>-51587.460000000021</v>
      </c>
      <c r="Y43" s="2"/>
      <c r="Z43" s="7">
        <f t="shared" si="33"/>
        <v>-0.190310859449488</v>
      </c>
    </row>
    <row r="44" spans="1:26" s="23" customFormat="1" hidden="1" outlineLevel="2" x14ac:dyDescent="0.25">
      <c r="A44" s="27"/>
      <c r="B44" s="10" t="str">
        <f>CONCATENATE("          ", "6002", " - ", "STAFF SALARIES")</f>
        <v xml:space="preserve">          6002 - STAFF SALARIES</v>
      </c>
      <c r="C44" s="10"/>
      <c r="D44" s="6">
        <v>41127.51</v>
      </c>
      <c r="E44" s="2"/>
      <c r="F44" s="7">
        <f t="shared" si="26"/>
        <v>0.3662829205907015</v>
      </c>
      <c r="G44" s="2"/>
      <c r="H44" s="6">
        <v>33289.56</v>
      </c>
      <c r="I44" s="2"/>
      <c r="J44" s="7">
        <f t="shared" si="27"/>
        <v>0.27423159357764021</v>
      </c>
      <c r="K44" s="2"/>
      <c r="L44" s="6">
        <f t="shared" si="28"/>
        <v>7837.9500000000044</v>
      </c>
      <c r="M44" s="2"/>
      <c r="N44" s="7">
        <f t="shared" si="29"/>
        <v>0.2354476899063852</v>
      </c>
      <c r="O44" s="10"/>
      <c r="P44" s="6">
        <v>481343.44</v>
      </c>
      <c r="Q44" s="2"/>
      <c r="R44" s="7">
        <f t="shared" si="30"/>
        <v>0.3187156836328397</v>
      </c>
      <c r="S44" s="2"/>
      <c r="T44" s="6">
        <v>1013772.53</v>
      </c>
      <c r="U44" s="2"/>
      <c r="V44" s="7">
        <f t="shared" si="31"/>
        <v>7.3512239320406778E-2</v>
      </c>
      <c r="W44" s="2"/>
      <c r="X44" s="6">
        <f t="shared" si="32"/>
        <v>-532429.09000000008</v>
      </c>
      <c r="Y44" s="2"/>
      <c r="Z44" s="7">
        <f t="shared" si="33"/>
        <v>-0.52519581488364064</v>
      </c>
    </row>
    <row r="45" spans="1:26" s="23" customFormat="1" hidden="1" outlineLevel="2" x14ac:dyDescent="0.25">
      <c r="A45" s="27"/>
      <c r="B45" s="10" t="str">
        <f>CONCATENATE("          ", "6004", " - ", "STAFF HOURLY")</f>
        <v xml:space="preserve">          6004 - STAFF HOURLY</v>
      </c>
      <c r="C45" s="10"/>
      <c r="D45" s="6">
        <v>45128.18</v>
      </c>
      <c r="E45" s="2"/>
      <c r="F45" s="7">
        <f t="shared" si="26"/>
        <v>0.40191301567595228</v>
      </c>
      <c r="G45" s="2"/>
      <c r="H45" s="6">
        <v>42380.09</v>
      </c>
      <c r="I45" s="2"/>
      <c r="J45" s="7">
        <f t="shared" si="27"/>
        <v>0.34911724927165799</v>
      </c>
      <c r="K45" s="2"/>
      <c r="L45" s="6">
        <f t="shared" si="28"/>
        <v>2748.0900000000038</v>
      </c>
      <c r="M45" s="2"/>
      <c r="N45" s="7">
        <f t="shared" si="29"/>
        <v>6.4843892497632824E-2</v>
      </c>
      <c r="O45" s="10"/>
      <c r="P45" s="6">
        <v>536155.69999999995</v>
      </c>
      <c r="Q45" s="2"/>
      <c r="R45" s="7">
        <f t="shared" si="30"/>
        <v>0.35500895256647458</v>
      </c>
      <c r="S45" s="2"/>
      <c r="T45" s="6">
        <v>886316.12</v>
      </c>
      <c r="U45" s="2"/>
      <c r="V45" s="7">
        <f t="shared" si="31"/>
        <v>6.4269923280496036E-2</v>
      </c>
      <c r="W45" s="2"/>
      <c r="X45" s="6">
        <f t="shared" si="32"/>
        <v>-350160.42000000004</v>
      </c>
      <c r="Y45" s="2"/>
      <c r="Z45" s="7">
        <f t="shared" si="33"/>
        <v>-0.39507396074439</v>
      </c>
    </row>
    <row r="46" spans="1:26" s="23" customFormat="1" hidden="1" outlineLevel="2" x14ac:dyDescent="0.25">
      <c r="A46" s="27"/>
      <c r="B46" s="10" t="str">
        <f>CONCATENATE("          ", "6005", " - ", "TEMPORARY WAGES-HOURLY")</f>
        <v xml:space="preserve">          6005 - TEMPORARY WAGES-HOURLY</v>
      </c>
      <c r="C46" s="10"/>
      <c r="D46" s="6">
        <v>7133.27</v>
      </c>
      <c r="E46" s="2"/>
      <c r="F46" s="7">
        <f t="shared" si="26"/>
        <v>6.352913096275542E-2</v>
      </c>
      <c r="G46" s="2"/>
      <c r="H46" s="6"/>
      <c r="I46" s="2"/>
      <c r="J46" s="7">
        <f t="shared" si="27"/>
        <v>0</v>
      </c>
      <c r="K46" s="2"/>
      <c r="L46" s="6">
        <f t="shared" si="28"/>
        <v>7133.27</v>
      </c>
      <c r="M46" s="2"/>
      <c r="N46" s="7">
        <f t="shared" si="29"/>
        <v>0</v>
      </c>
      <c r="O46" s="10"/>
      <c r="P46" s="6">
        <v>110398.39</v>
      </c>
      <c r="Q46" s="2"/>
      <c r="R46" s="7">
        <f t="shared" si="30"/>
        <v>7.3098946442097246E-2</v>
      </c>
      <c r="S46" s="2"/>
      <c r="T46" s="6">
        <v>831285.8</v>
      </c>
      <c r="U46" s="2"/>
      <c r="V46" s="7">
        <f t="shared" si="31"/>
        <v>6.0279479730286044E-2</v>
      </c>
      <c r="W46" s="2"/>
      <c r="X46" s="6">
        <f t="shared" si="32"/>
        <v>-720887.41</v>
      </c>
      <c r="Y46" s="2"/>
      <c r="Z46" s="7">
        <f t="shared" si="33"/>
        <v>-0.86719562634174674</v>
      </c>
    </row>
    <row r="47" spans="1:26" s="23" customFormat="1" hidden="1" outlineLevel="2" x14ac:dyDescent="0.25">
      <c r="A47" s="27"/>
      <c r="B47" s="10" t="str">
        <f>CONCATENATE("          ", "6006", " - ", "TEMPORARY PART TIME")</f>
        <v xml:space="preserve">          6006 - TEMPORARY PART TIME</v>
      </c>
      <c r="C47" s="10"/>
      <c r="D47" s="6">
        <v>252.7</v>
      </c>
      <c r="E47" s="2"/>
      <c r="F47" s="7">
        <f t="shared" si="26"/>
        <v>2.2505542891672814E-3</v>
      </c>
      <c r="G47" s="2"/>
      <c r="H47" s="6"/>
      <c r="I47" s="2"/>
      <c r="J47" s="7">
        <f t="shared" si="27"/>
        <v>0</v>
      </c>
      <c r="K47" s="2"/>
      <c r="L47" s="6">
        <f t="shared" si="28"/>
        <v>252.7</v>
      </c>
      <c r="M47" s="2"/>
      <c r="N47" s="7">
        <f t="shared" si="29"/>
        <v>0</v>
      </c>
      <c r="O47" s="10"/>
      <c r="P47" s="6">
        <v>2427.2199999999998</v>
      </c>
      <c r="Q47" s="2"/>
      <c r="R47" s="7">
        <f t="shared" si="30"/>
        <v>1.6071540969319143E-3</v>
      </c>
      <c r="S47" s="2"/>
      <c r="T47" s="6">
        <v>45957.26</v>
      </c>
      <c r="U47" s="2"/>
      <c r="V47" s="7">
        <f t="shared" si="31"/>
        <v>3.3325238114610949E-3</v>
      </c>
      <c r="W47" s="2"/>
      <c r="X47" s="6">
        <f t="shared" si="32"/>
        <v>-43530.04</v>
      </c>
      <c r="Y47" s="2"/>
      <c r="Z47" s="7">
        <f t="shared" si="33"/>
        <v>-0.94718527605866842</v>
      </c>
    </row>
    <row r="48" spans="1:26" s="23" customFormat="1" hidden="1" outlineLevel="2" x14ac:dyDescent="0.25">
      <c r="A48" s="27"/>
      <c r="B48" s="10" t="str">
        <f>CONCATENATE("          ", "6007", " - ", "STUDENT HOURLY")</f>
        <v xml:space="preserve">          6007 - STUDENT HOURLY</v>
      </c>
      <c r="C48" s="10"/>
      <c r="D48" s="6">
        <v>5569.27</v>
      </c>
      <c r="E48" s="2"/>
      <c r="F48" s="7">
        <f t="shared" si="26"/>
        <v>4.9600096897628287E-2</v>
      </c>
      <c r="G48" s="2"/>
      <c r="H48" s="6"/>
      <c r="I48" s="2"/>
      <c r="J48" s="7">
        <f t="shared" si="27"/>
        <v>0</v>
      </c>
      <c r="K48" s="2"/>
      <c r="L48" s="6">
        <f t="shared" si="28"/>
        <v>5569.27</v>
      </c>
      <c r="M48" s="2"/>
      <c r="N48" s="7">
        <f t="shared" si="29"/>
        <v>0</v>
      </c>
      <c r="O48" s="10"/>
      <c r="P48" s="6">
        <v>117183.55</v>
      </c>
      <c r="Q48" s="2"/>
      <c r="R48" s="7">
        <f t="shared" si="30"/>
        <v>7.7591657318053509E-2</v>
      </c>
      <c r="S48" s="2"/>
      <c r="T48" s="6">
        <v>1410448.02</v>
      </c>
      <c r="U48" s="2"/>
      <c r="V48" s="7">
        <f t="shared" si="31"/>
        <v>0.10227658505920838</v>
      </c>
      <c r="W48" s="2"/>
      <c r="X48" s="6">
        <f t="shared" si="32"/>
        <v>-1293264.47</v>
      </c>
      <c r="Y48" s="2"/>
      <c r="Z48" s="7">
        <f t="shared" si="33"/>
        <v>-0.91691749831376268</v>
      </c>
    </row>
    <row r="49" spans="1:26" s="23" customFormat="1" hidden="1" outlineLevel="2" x14ac:dyDescent="0.25">
      <c r="A49" s="27"/>
      <c r="B49" s="10" t="str">
        <f>CONCATENATE("          ", "6008", " - ", "STUDENT HOURLY-FICA EXEMPT")</f>
        <v xml:space="preserve">          6008 - STUDENT HOURLY-FICA EXEMPT</v>
      </c>
      <c r="C49" s="10"/>
      <c r="D49" s="6"/>
      <c r="E49" s="2"/>
      <c r="F49" s="7">
        <f t="shared" si="26"/>
        <v>0</v>
      </c>
      <c r="G49" s="2"/>
      <c r="H49" s="6"/>
      <c r="I49" s="2"/>
      <c r="J49" s="7">
        <f t="shared" si="27"/>
        <v>0</v>
      </c>
      <c r="K49" s="2"/>
      <c r="L49" s="6">
        <f t="shared" si="28"/>
        <v>0</v>
      </c>
      <c r="M49" s="2"/>
      <c r="N49" s="7">
        <f t="shared" si="29"/>
        <v>0</v>
      </c>
      <c r="O49" s="10"/>
      <c r="P49" s="6">
        <v>10630.88</v>
      </c>
      <c r="Q49" s="2"/>
      <c r="R49" s="7">
        <f t="shared" si="30"/>
        <v>7.0391074340156847E-3</v>
      </c>
      <c r="S49" s="2"/>
      <c r="T49" s="6">
        <v>208908.99</v>
      </c>
      <c r="U49" s="2"/>
      <c r="V49" s="7">
        <f t="shared" si="31"/>
        <v>1.5148731312599745E-2</v>
      </c>
      <c r="W49" s="2"/>
      <c r="X49" s="6">
        <f t="shared" si="32"/>
        <v>-198278.11</v>
      </c>
      <c r="Y49" s="2"/>
      <c r="Z49" s="7">
        <f t="shared" si="33"/>
        <v>-0.94911238621181404</v>
      </c>
    </row>
    <row r="50" spans="1:26" s="26" customFormat="1" outlineLevel="1" collapsed="1" x14ac:dyDescent="0.25">
      <c r="A50" s="25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6.3</v>
      </c>
      <c r="E50" s="1"/>
      <c r="F50" s="5">
        <f t="shared" ref="F50:F59" si="34">IF(D$12=0,0,D50/D$12)</f>
        <v>5.6108001668990398E-5</v>
      </c>
      <c r="G50" s="1"/>
      <c r="H50" s="1">
        <f>SUM(OSRRefH22_2x_0)</f>
        <v>109.76</v>
      </c>
      <c r="I50" s="1"/>
      <c r="J50" s="5">
        <f t="shared" ref="J50:J59" si="35">IF(H$12=0,0,H50/H$12)</f>
        <v>9.0417715677473039E-4</v>
      </c>
      <c r="K50" s="1"/>
      <c r="L50" s="1">
        <f t="shared" ref="L50:L59" si="36">+D50-H50</f>
        <v>-103.46000000000001</v>
      </c>
      <c r="M50" s="1"/>
      <c r="N50" s="5">
        <f t="shared" ref="N50:N59" si="37">IF(H50=0,0,L50/H50)</f>
        <v>-0.94260204081632659</v>
      </c>
      <c r="O50" s="12"/>
      <c r="P50" s="1">
        <f>SUM(OSRRefP22_2x_0)</f>
        <v>2015.38</v>
      </c>
      <c r="Q50" s="1"/>
      <c r="R50" s="5">
        <f t="shared" ref="R50:R59" si="38">IF(P$12=0,0,P50/P$12)</f>
        <v>1.3344592677526725E-3</v>
      </c>
      <c r="S50" s="1"/>
      <c r="T50" s="1">
        <f>SUM(OSRRefT22_2x_0)</f>
        <v>36981.440000000002</v>
      </c>
      <c r="U50" s="1"/>
      <c r="V50" s="5">
        <f t="shared" ref="V50:V59" si="39">IF(T$12=0,0,T50/T$12)</f>
        <v>2.6816552897653122E-3</v>
      </c>
      <c r="W50" s="1"/>
      <c r="X50" s="1">
        <f t="shared" ref="X50:X59" si="40">+P50-T50</f>
        <v>-34966.060000000005</v>
      </c>
      <c r="Y50" s="1"/>
      <c r="Z50" s="5">
        <f t="shared" ref="Z50:Z59" si="41">IF(T50=0,0,X50/T50)</f>
        <v>-0.94550293336333047</v>
      </c>
    </row>
    <row r="51" spans="1:26" s="23" customFormat="1" hidden="1" outlineLevel="2" x14ac:dyDescent="0.25">
      <c r="A51" s="27"/>
      <c r="B51" s="10" t="str">
        <f>CONCATENATE("          ", "6362", " - ", "ADVERTISING EXPENSE")</f>
        <v xml:space="preserve">          6362 - ADVERTISING EXPENSE</v>
      </c>
      <c r="C51" s="10"/>
      <c r="D51" s="6">
        <v>6.3</v>
      </c>
      <c r="E51" s="2"/>
      <c r="F51" s="7">
        <f t="shared" si="34"/>
        <v>5.6108001668990398E-5</v>
      </c>
      <c r="G51" s="2"/>
      <c r="H51" s="6">
        <v>109.76</v>
      </c>
      <c r="I51" s="2"/>
      <c r="J51" s="7">
        <f t="shared" si="35"/>
        <v>9.0417715677473039E-4</v>
      </c>
      <c r="K51" s="2"/>
      <c r="L51" s="6">
        <f t="shared" si="36"/>
        <v>-103.46000000000001</v>
      </c>
      <c r="M51" s="2"/>
      <c r="N51" s="7">
        <f t="shared" si="37"/>
        <v>-0.94260204081632659</v>
      </c>
      <c r="O51" s="10"/>
      <c r="P51" s="6">
        <v>2015.38</v>
      </c>
      <c r="Q51" s="2"/>
      <c r="R51" s="7">
        <f t="shared" si="38"/>
        <v>1.3344592677526725E-3</v>
      </c>
      <c r="S51" s="2"/>
      <c r="T51" s="6">
        <v>36981.440000000002</v>
      </c>
      <c r="U51" s="2"/>
      <c r="V51" s="7">
        <f t="shared" si="39"/>
        <v>2.6816552897653122E-3</v>
      </c>
      <c r="W51" s="2"/>
      <c r="X51" s="6">
        <f t="shared" si="40"/>
        <v>-34966.060000000005</v>
      </c>
      <c r="Y51" s="2"/>
      <c r="Z51" s="7">
        <f t="shared" si="41"/>
        <v>-0.94550293336333047</v>
      </c>
    </row>
    <row r="52" spans="1:26" s="26" customFormat="1" outlineLevel="1" collapsed="1" x14ac:dyDescent="0.25">
      <c r="A52" s="25"/>
      <c r="B52" s="12" t="str">
        <f>CONCATENATE("     ","Bad Debts/Over/Short                              ")</f>
        <v xml:space="preserve">     Bad Debts/Over/Short                              </v>
      </c>
      <c r="C52" s="12"/>
      <c r="D52" s="1">
        <f>SUM(OSRRefD22_3x_0)</f>
        <v>7.22</v>
      </c>
      <c r="E52" s="1"/>
      <c r="F52" s="5">
        <f t="shared" si="34"/>
        <v>6.4301551119065186E-5</v>
      </c>
      <c r="G52" s="1"/>
      <c r="H52" s="1">
        <f>SUM(OSRRefH22_3x_0)</f>
        <v>0</v>
      </c>
      <c r="I52" s="1"/>
      <c r="J52" s="5">
        <f t="shared" si="35"/>
        <v>0</v>
      </c>
      <c r="K52" s="1"/>
      <c r="L52" s="1">
        <f t="shared" si="36"/>
        <v>7.22</v>
      </c>
      <c r="M52" s="1"/>
      <c r="N52" s="5">
        <f t="shared" si="37"/>
        <v>0</v>
      </c>
      <c r="O52" s="12"/>
      <c r="P52" s="1">
        <f>SUM(OSRRefP22_3x_0)</f>
        <v>69.739999999999995</v>
      </c>
      <c r="Q52" s="1"/>
      <c r="R52" s="5">
        <f t="shared" si="38"/>
        <v>4.6177489770202823E-5</v>
      </c>
      <c r="S52" s="1"/>
      <c r="T52" s="1">
        <f>SUM(OSRRefT22_3x_0)</f>
        <v>-197.1</v>
      </c>
      <c r="U52" s="1"/>
      <c r="V52" s="5">
        <f t="shared" si="39"/>
        <v>-1.4292419592442669E-5</v>
      </c>
      <c r="W52" s="1"/>
      <c r="X52" s="1">
        <f t="shared" si="40"/>
        <v>266.83999999999997</v>
      </c>
      <c r="Y52" s="1"/>
      <c r="Z52" s="5">
        <f t="shared" si="41"/>
        <v>-1.3538305428716386</v>
      </c>
    </row>
    <row r="53" spans="1:26" s="23" customFormat="1" hidden="1" outlineLevel="2" x14ac:dyDescent="0.25">
      <c r="A53" s="27"/>
      <c r="B53" s="10" t="str">
        <f>CONCATENATE("          ", "6272", " - ", "CASH (OVER/SHORT)")</f>
        <v xml:space="preserve">          6272 - CASH (OVER/SHORT)</v>
      </c>
      <c r="C53" s="10"/>
      <c r="D53" s="6">
        <v>7.22</v>
      </c>
      <c r="E53" s="2"/>
      <c r="F53" s="7">
        <f t="shared" si="34"/>
        <v>6.4301551119065186E-5</v>
      </c>
      <c r="G53" s="2"/>
      <c r="H53" s="6"/>
      <c r="I53" s="2"/>
      <c r="J53" s="7">
        <f t="shared" si="35"/>
        <v>0</v>
      </c>
      <c r="K53" s="2"/>
      <c r="L53" s="6">
        <f t="shared" si="36"/>
        <v>7.22</v>
      </c>
      <c r="M53" s="2"/>
      <c r="N53" s="7">
        <f t="shared" si="37"/>
        <v>0</v>
      </c>
      <c r="O53" s="10"/>
      <c r="P53" s="6">
        <v>69.739999999999995</v>
      </c>
      <c r="Q53" s="2"/>
      <c r="R53" s="7">
        <f t="shared" si="38"/>
        <v>4.6177489770202823E-5</v>
      </c>
      <c r="S53" s="2"/>
      <c r="T53" s="6">
        <v>-197.1</v>
      </c>
      <c r="U53" s="2"/>
      <c r="V53" s="7">
        <f t="shared" si="39"/>
        <v>-1.4292419592442669E-5</v>
      </c>
      <c r="W53" s="2"/>
      <c r="X53" s="6">
        <f t="shared" si="40"/>
        <v>266.83999999999997</v>
      </c>
      <c r="Y53" s="2"/>
      <c r="Z53" s="7">
        <f t="shared" si="41"/>
        <v>-1.3538305428716386</v>
      </c>
    </row>
    <row r="54" spans="1:26" s="26" customFormat="1" outlineLevel="1" collapsed="1" x14ac:dyDescent="0.25">
      <c r="A54" s="25"/>
      <c r="B54" s="12" t="str">
        <f>CONCATENATE("     ","Bank/card Fees                                    ")</f>
        <v xml:space="preserve">     Bank/card Fees                                    </v>
      </c>
      <c r="C54" s="12"/>
      <c r="D54" s="1">
        <f>SUM(OSRRefD22_4x_0)</f>
        <v>772.27</v>
      </c>
      <c r="E54" s="1"/>
      <c r="F54" s="5">
        <f t="shared" si="34"/>
        <v>6.8778613410970186E-3</v>
      </c>
      <c r="G54" s="1"/>
      <c r="H54" s="1">
        <f>SUM(OSRRefH22_4x_0)</f>
        <v>282</v>
      </c>
      <c r="I54" s="1"/>
      <c r="J54" s="5">
        <f t="shared" si="35"/>
        <v>2.3230499108097117E-3</v>
      </c>
      <c r="K54" s="1"/>
      <c r="L54" s="1">
        <f t="shared" si="36"/>
        <v>490.27</v>
      </c>
      <c r="M54" s="1"/>
      <c r="N54" s="5">
        <f t="shared" si="37"/>
        <v>1.73854609929078</v>
      </c>
      <c r="O54" s="12"/>
      <c r="P54" s="1">
        <f>SUM(OSRRefP22_4x_0)</f>
        <v>7441.66</v>
      </c>
      <c r="Q54" s="1"/>
      <c r="R54" s="5">
        <f t="shared" si="38"/>
        <v>4.9274043378739257E-3</v>
      </c>
      <c r="S54" s="1"/>
      <c r="T54" s="1">
        <f>SUM(OSRRefT22_4x_0)</f>
        <v>152526.37</v>
      </c>
      <c r="U54" s="1"/>
      <c r="V54" s="5">
        <f t="shared" si="39"/>
        <v>1.1060227696357989E-2</v>
      </c>
      <c r="W54" s="1"/>
      <c r="X54" s="1">
        <f t="shared" si="40"/>
        <v>-145084.71</v>
      </c>
      <c r="Y54" s="1"/>
      <c r="Z54" s="5">
        <f t="shared" si="41"/>
        <v>-0.95121066606384197</v>
      </c>
    </row>
    <row r="55" spans="1:26" s="23" customFormat="1" hidden="1" outlineLevel="2" x14ac:dyDescent="0.25">
      <c r="A55" s="27"/>
      <c r="B55" s="10" t="str">
        <f>CONCATENATE("          ", "6381", " - ", "BANK/CREDIT CARD FEES")</f>
        <v xml:space="preserve">          6381 - BANK/CREDIT CARD FEES</v>
      </c>
      <c r="C55" s="10"/>
      <c r="D55" s="6">
        <v>772.27</v>
      </c>
      <c r="E55" s="2"/>
      <c r="F55" s="7">
        <f t="shared" si="34"/>
        <v>6.8778613410970186E-3</v>
      </c>
      <c r="G55" s="2"/>
      <c r="H55" s="6">
        <v>282</v>
      </c>
      <c r="I55" s="2"/>
      <c r="J55" s="7">
        <f t="shared" si="35"/>
        <v>2.3230499108097117E-3</v>
      </c>
      <c r="K55" s="2"/>
      <c r="L55" s="6">
        <f t="shared" si="36"/>
        <v>490.27</v>
      </c>
      <c r="M55" s="2"/>
      <c r="N55" s="7">
        <f t="shared" si="37"/>
        <v>1.73854609929078</v>
      </c>
      <c r="O55" s="10"/>
      <c r="P55" s="6">
        <v>7441.66</v>
      </c>
      <c r="Q55" s="2"/>
      <c r="R55" s="7">
        <f t="shared" si="38"/>
        <v>4.9274043378739257E-3</v>
      </c>
      <c r="S55" s="2"/>
      <c r="T55" s="6">
        <v>152526.37</v>
      </c>
      <c r="U55" s="2"/>
      <c r="V55" s="7">
        <f t="shared" si="39"/>
        <v>1.1060227696357989E-2</v>
      </c>
      <c r="W55" s="2"/>
      <c r="X55" s="6">
        <f t="shared" si="40"/>
        <v>-145084.71</v>
      </c>
      <c r="Y55" s="2"/>
      <c r="Z55" s="7">
        <f t="shared" si="41"/>
        <v>-0.95121066606384197</v>
      </c>
    </row>
    <row r="56" spans="1:26" s="26" customFormat="1" outlineLevel="1" collapsed="1" x14ac:dyDescent="0.25">
      <c r="A56" s="25"/>
      <c r="B56" s="12" t="str">
        <f>CONCATENATE("     ","Depreciation                                      ")</f>
        <v xml:space="preserve">     Depreciation                                      </v>
      </c>
      <c r="C56" s="12"/>
      <c r="D56" s="1">
        <f>SUM(OSRRefD22_5x_0)</f>
        <v>37479.230000000003</v>
      </c>
      <c r="E56" s="1"/>
      <c r="F56" s="5">
        <f t="shared" si="34"/>
        <v>0.33379122212578971</v>
      </c>
      <c r="G56" s="1"/>
      <c r="H56" s="1">
        <f>SUM(OSRRefH22_5x_0)</f>
        <v>37930.21</v>
      </c>
      <c r="I56" s="1"/>
      <c r="J56" s="5">
        <f t="shared" si="35"/>
        <v>0.31246018070033205</v>
      </c>
      <c r="K56" s="1"/>
      <c r="L56" s="1">
        <f t="shared" si="36"/>
        <v>-450.97999999999593</v>
      </c>
      <c r="M56" s="1"/>
      <c r="N56" s="5">
        <f t="shared" si="37"/>
        <v>-1.1889731166792801E-2</v>
      </c>
      <c r="O56" s="12"/>
      <c r="P56" s="1">
        <f>SUM(OSRRefP22_5x_0)</f>
        <v>414566.91</v>
      </c>
      <c r="Q56" s="1"/>
      <c r="R56" s="5">
        <f t="shared" si="38"/>
        <v>0.2745004193517292</v>
      </c>
      <c r="S56" s="1"/>
      <c r="T56" s="1">
        <f>SUM(OSRRefT22_5x_0)</f>
        <v>440249.36</v>
      </c>
      <c r="U56" s="1"/>
      <c r="V56" s="5">
        <f t="shared" si="39"/>
        <v>3.1924041493781564E-2</v>
      </c>
      <c r="W56" s="1"/>
      <c r="X56" s="1">
        <f t="shared" si="40"/>
        <v>-25682.450000000012</v>
      </c>
      <c r="Y56" s="1"/>
      <c r="Z56" s="5">
        <f t="shared" si="41"/>
        <v>-5.8336143861742386E-2</v>
      </c>
    </row>
    <row r="57" spans="1:26" s="23" customFormat="1" hidden="1" outlineLevel="2" x14ac:dyDescent="0.25">
      <c r="A57" s="27"/>
      <c r="B57" s="10" t="str">
        <f>CONCATENATE("          ", "6321", " - ", "BUILDING DEPRECIATION")</f>
        <v xml:space="preserve">          6321 - BUILDING DEPRECIATION</v>
      </c>
      <c r="C57" s="10"/>
      <c r="D57" s="6">
        <v>23583.49</v>
      </c>
      <c r="E57" s="2"/>
      <c r="F57" s="7">
        <f t="shared" si="34"/>
        <v>0.21003531686993945</v>
      </c>
      <c r="G57" s="2"/>
      <c r="H57" s="6">
        <v>24042.959999999999</v>
      </c>
      <c r="I57" s="2"/>
      <c r="J57" s="7">
        <f t="shared" si="35"/>
        <v>0.19806026980000518</v>
      </c>
      <c r="K57" s="2"/>
      <c r="L57" s="6">
        <f t="shared" si="36"/>
        <v>-459.46999999999753</v>
      </c>
      <c r="M57" s="2"/>
      <c r="N57" s="7">
        <f t="shared" si="37"/>
        <v>-1.911037576072154E-2</v>
      </c>
      <c r="O57" s="10"/>
      <c r="P57" s="6">
        <v>260202.58</v>
      </c>
      <c r="Q57" s="2"/>
      <c r="R57" s="7">
        <f t="shared" si="38"/>
        <v>0.17228996237640354</v>
      </c>
      <c r="S57" s="2"/>
      <c r="T57" s="6">
        <v>264472.56</v>
      </c>
      <c r="U57" s="2"/>
      <c r="V57" s="7">
        <f t="shared" si="39"/>
        <v>1.9177842710337237E-2</v>
      </c>
      <c r="W57" s="2"/>
      <c r="X57" s="6">
        <f t="shared" si="40"/>
        <v>-4269.9800000000105</v>
      </c>
      <c r="Y57" s="2"/>
      <c r="Z57" s="7">
        <f t="shared" si="41"/>
        <v>-1.6145266639382212E-2</v>
      </c>
    </row>
    <row r="58" spans="1:26" s="23" customFormat="1" hidden="1" outlineLevel="2" x14ac:dyDescent="0.25">
      <c r="A58" s="27"/>
      <c r="B58" s="10" t="str">
        <f>CONCATENATE("          ", "6322", " - ", "EQUIPMENT DEPRECIATION EXPENSE")</f>
        <v xml:space="preserve">          6322 - EQUIPMENT DEPRECIATION EXPENSE</v>
      </c>
      <c r="C58" s="10"/>
      <c r="D58" s="6">
        <v>13895.74</v>
      </c>
      <c r="E58" s="2"/>
      <c r="F58" s="7">
        <f t="shared" si="34"/>
        <v>0.12375590525585026</v>
      </c>
      <c r="G58" s="2"/>
      <c r="H58" s="6">
        <v>13887.25</v>
      </c>
      <c r="I58" s="2"/>
      <c r="J58" s="7">
        <f t="shared" si="35"/>
        <v>0.11439991090032683</v>
      </c>
      <c r="K58" s="2"/>
      <c r="L58" s="6">
        <f t="shared" si="36"/>
        <v>8.4899999999997817</v>
      </c>
      <c r="M58" s="2"/>
      <c r="N58" s="7">
        <f t="shared" si="37"/>
        <v>6.1135213955245142E-4</v>
      </c>
      <c r="O58" s="10"/>
      <c r="P58" s="6">
        <v>154364.32999999999</v>
      </c>
      <c r="Q58" s="2"/>
      <c r="R58" s="7">
        <f t="shared" si="38"/>
        <v>0.10221045697532569</v>
      </c>
      <c r="S58" s="2"/>
      <c r="T58" s="6">
        <v>171534.32</v>
      </c>
      <c r="U58" s="2"/>
      <c r="V58" s="7">
        <f t="shared" si="39"/>
        <v>1.2438561521787572E-2</v>
      </c>
      <c r="W58" s="2"/>
      <c r="X58" s="6">
        <f t="shared" si="40"/>
        <v>-17169.99000000002</v>
      </c>
      <c r="Y58" s="2"/>
      <c r="Z58" s="7">
        <f t="shared" si="41"/>
        <v>-0.10009652878794179</v>
      </c>
    </row>
    <row r="59" spans="1:26" s="23" customFormat="1" hidden="1" outlineLevel="2" x14ac:dyDescent="0.25">
      <c r="A59" s="27"/>
      <c r="B59" s="10" t="str">
        <f>CONCATENATE("          ", "6326", " - ", "VEHICLES DEPRECIATION EXPENSE")</f>
        <v xml:space="preserve">          6326 - VEHICLES DEPRECIATION EXPENSE</v>
      </c>
      <c r="C59" s="10"/>
      <c r="D59" s="6"/>
      <c r="E59" s="2"/>
      <c r="F59" s="7">
        <f t="shared" si="34"/>
        <v>0</v>
      </c>
      <c r="G59" s="2"/>
      <c r="H59" s="6"/>
      <c r="I59" s="2"/>
      <c r="J59" s="7">
        <f t="shared" si="35"/>
        <v>0</v>
      </c>
      <c r="K59" s="2"/>
      <c r="L59" s="6">
        <f t="shared" si="36"/>
        <v>0</v>
      </c>
      <c r="M59" s="2"/>
      <c r="N59" s="7">
        <f t="shared" si="37"/>
        <v>0</v>
      </c>
      <c r="O59" s="10"/>
      <c r="P59" s="6"/>
      <c r="Q59" s="2"/>
      <c r="R59" s="7">
        <f t="shared" si="38"/>
        <v>0</v>
      </c>
      <c r="S59" s="2"/>
      <c r="T59" s="6">
        <v>4242.4799999999996</v>
      </c>
      <c r="U59" s="2"/>
      <c r="V59" s="7">
        <f t="shared" si="39"/>
        <v>3.0763726165675381E-4</v>
      </c>
      <c r="W59" s="2"/>
      <c r="X59" s="6">
        <f t="shared" si="40"/>
        <v>-4242.4799999999996</v>
      </c>
      <c r="Y59" s="2"/>
      <c r="Z59" s="7">
        <f t="shared" si="41"/>
        <v>-1</v>
      </c>
    </row>
    <row r="60" spans="1:26" s="26" customFormat="1" outlineLevel="1" collapsed="1" x14ac:dyDescent="0.25">
      <c r="A60" s="25"/>
      <c r="B60" s="12" t="str">
        <f>CONCATENATE("     ","Discounts and Markdowns                           ")</f>
        <v xml:space="preserve">     Discounts and Markdowns                           </v>
      </c>
      <c r="C60" s="12"/>
      <c r="D60" s="1">
        <f>SUM(OSRRefD22_6x_0)</f>
        <v>0</v>
      </c>
      <c r="E60" s="1"/>
      <c r="F60" s="5">
        <f t="shared" ref="F60:F72" si="42">IF(D$12=0,0,D60/D$12)</f>
        <v>0</v>
      </c>
      <c r="G60" s="1"/>
      <c r="H60" s="1">
        <f>SUM(OSRRefH22_6x_0)</f>
        <v>0</v>
      </c>
      <c r="I60" s="1"/>
      <c r="J60" s="5">
        <f t="shared" ref="J60:J72" si="43">IF(H$12=0,0,H60/H$12)</f>
        <v>0</v>
      </c>
      <c r="K60" s="1"/>
      <c r="L60" s="1">
        <f t="shared" ref="L60:L72" si="44">+D60-H60</f>
        <v>0</v>
      </c>
      <c r="M60" s="1"/>
      <c r="N60" s="5">
        <f t="shared" ref="N60:N72" si="45">IF(H60=0,0,L60/H60)</f>
        <v>0</v>
      </c>
      <c r="O60" s="12"/>
      <c r="P60" s="1">
        <f>SUM(OSRRefP22_6x_0)</f>
        <v>0</v>
      </c>
      <c r="Q60" s="1"/>
      <c r="R60" s="5">
        <f t="shared" ref="R60:R72" si="46">IF(P$12=0,0,P60/P$12)</f>
        <v>0</v>
      </c>
      <c r="S60" s="1"/>
      <c r="T60" s="1">
        <f>SUM(OSRRefT22_6x_0)</f>
        <v>0.09</v>
      </c>
      <c r="U60" s="1"/>
      <c r="V60" s="5">
        <f t="shared" ref="V60:V72" si="47">IF(T$12=0,0,T60/T$12)</f>
        <v>6.5262189919829543E-9</v>
      </c>
      <c r="W60" s="1"/>
      <c r="X60" s="1">
        <f t="shared" ref="X60:X72" si="48">+P60-T60</f>
        <v>-0.09</v>
      </c>
      <c r="Y60" s="1"/>
      <c r="Z60" s="5">
        <f t="shared" ref="Z60:Z72" si="49">IF(T60=0,0,X60/T60)</f>
        <v>-1</v>
      </c>
    </row>
    <row r="61" spans="1:26" s="23" customFormat="1" hidden="1" outlineLevel="2" x14ac:dyDescent="0.25">
      <c r="A61" s="27"/>
      <c r="B61" s="10" t="str">
        <f>CONCATENATE("          ", "6382", " - ", "DISCOUNTS/MARK DOWNS")</f>
        <v xml:space="preserve">          6382 - DISCOUNTS/MARK DOWNS</v>
      </c>
      <c r="C61" s="10"/>
      <c r="D61" s="6"/>
      <c r="E61" s="2"/>
      <c r="F61" s="7">
        <f t="shared" si="42"/>
        <v>0</v>
      </c>
      <c r="G61" s="2"/>
      <c r="H61" s="6"/>
      <c r="I61" s="2"/>
      <c r="J61" s="7">
        <f t="shared" si="43"/>
        <v>0</v>
      </c>
      <c r="K61" s="2"/>
      <c r="L61" s="6">
        <f t="shared" si="44"/>
        <v>0</v>
      </c>
      <c r="M61" s="2"/>
      <c r="N61" s="7">
        <f t="shared" si="45"/>
        <v>0</v>
      </c>
      <c r="O61" s="10"/>
      <c r="P61" s="6"/>
      <c r="Q61" s="2"/>
      <c r="R61" s="7">
        <f t="shared" si="46"/>
        <v>0</v>
      </c>
      <c r="S61" s="2"/>
      <c r="T61" s="6">
        <v>0.09</v>
      </c>
      <c r="U61" s="2"/>
      <c r="V61" s="7">
        <f t="shared" si="47"/>
        <v>6.5262189919829543E-9</v>
      </c>
      <c r="W61" s="2"/>
      <c r="X61" s="6">
        <f t="shared" si="48"/>
        <v>-0.09</v>
      </c>
      <c r="Y61" s="2"/>
      <c r="Z61" s="7">
        <f t="shared" si="49"/>
        <v>-1</v>
      </c>
    </row>
    <row r="62" spans="1:26" s="26" customFormat="1" outlineLevel="1" collapsed="1" x14ac:dyDescent="0.25">
      <c r="A62" s="25"/>
      <c r="B62" s="12" t="str">
        <f>CONCATENATE("     ","Donations                                         ")</f>
        <v xml:space="preserve">     Donations                                         </v>
      </c>
      <c r="C62" s="12"/>
      <c r="D62" s="1">
        <f>SUM(OSRRefD22_7x_0)</f>
        <v>3603.41</v>
      </c>
      <c r="E62" s="1"/>
      <c r="F62" s="5">
        <f t="shared" si="42"/>
        <v>3.2092084808580425E-2</v>
      </c>
      <c r="G62" s="1"/>
      <c r="H62" s="1">
        <f>SUM(OSRRefH22_7x_0)</f>
        <v>19955.669999999998</v>
      </c>
      <c r="I62" s="1"/>
      <c r="J62" s="5">
        <f t="shared" si="43"/>
        <v>0.16439013267251076</v>
      </c>
      <c r="K62" s="1"/>
      <c r="L62" s="1">
        <f t="shared" si="44"/>
        <v>-16352.259999999998</v>
      </c>
      <c r="M62" s="1"/>
      <c r="N62" s="5">
        <f t="shared" si="45"/>
        <v>-0.81942926496579671</v>
      </c>
      <c r="O62" s="12"/>
      <c r="P62" s="1">
        <f>SUM(OSRRefP22_7x_0)</f>
        <v>61909.05</v>
      </c>
      <c r="Q62" s="1"/>
      <c r="R62" s="5">
        <f t="shared" si="46"/>
        <v>4.0992321810409744E-2</v>
      </c>
      <c r="S62" s="1"/>
      <c r="T62" s="1">
        <f>SUM(OSRRefT22_7x_0)</f>
        <v>140336.20000000001</v>
      </c>
      <c r="U62" s="1"/>
      <c r="V62" s="5">
        <f t="shared" si="47"/>
        <v>1.0176275263363538E-2</v>
      </c>
      <c r="W62" s="1"/>
      <c r="X62" s="1">
        <f t="shared" si="48"/>
        <v>-78427.150000000009</v>
      </c>
      <c r="Y62" s="1"/>
      <c r="Z62" s="5">
        <f t="shared" si="49"/>
        <v>-0.55885188568594557</v>
      </c>
    </row>
    <row r="63" spans="1:26" s="23" customFormat="1" hidden="1" outlineLevel="2" x14ac:dyDescent="0.25">
      <c r="A63" s="27"/>
      <c r="B63" s="10" t="str">
        <f>CONCATENATE("          ", "6399", " - ", "DONATION-ON CAMPUS")</f>
        <v xml:space="preserve">          6399 - DONATION-ON CAMPUS</v>
      </c>
      <c r="C63" s="10"/>
      <c r="D63" s="6">
        <v>3603.41</v>
      </c>
      <c r="E63" s="2"/>
      <c r="F63" s="7">
        <f t="shared" si="42"/>
        <v>3.2092084808580425E-2</v>
      </c>
      <c r="G63" s="2"/>
      <c r="H63" s="6">
        <v>19955.669999999998</v>
      </c>
      <c r="I63" s="2"/>
      <c r="J63" s="7">
        <f t="shared" si="43"/>
        <v>0.16439013267251076</v>
      </c>
      <c r="K63" s="2"/>
      <c r="L63" s="6">
        <f t="shared" si="44"/>
        <v>-16352.259999999998</v>
      </c>
      <c r="M63" s="2"/>
      <c r="N63" s="7">
        <f t="shared" si="45"/>
        <v>-0.81942926496579671</v>
      </c>
      <c r="O63" s="10"/>
      <c r="P63" s="6">
        <v>61909.05</v>
      </c>
      <c r="Q63" s="2"/>
      <c r="R63" s="7">
        <f t="shared" si="46"/>
        <v>4.0992321810409744E-2</v>
      </c>
      <c r="S63" s="2"/>
      <c r="T63" s="6">
        <v>140336.20000000001</v>
      </c>
      <c r="U63" s="2"/>
      <c r="V63" s="7">
        <f t="shared" si="47"/>
        <v>1.0176275263363538E-2</v>
      </c>
      <c r="W63" s="2"/>
      <c r="X63" s="6">
        <f t="shared" si="48"/>
        <v>-78427.150000000009</v>
      </c>
      <c r="Y63" s="2"/>
      <c r="Z63" s="7">
        <f t="shared" si="49"/>
        <v>-0.55885188568594557</v>
      </c>
    </row>
    <row r="64" spans="1:26" s="26" customFormat="1" outlineLevel="1" collapsed="1" x14ac:dyDescent="0.25">
      <c r="A64" s="25"/>
      <c r="B64" s="12" t="str">
        <f>CONCATENATE("     ","Employees' Appreciation                           ")</f>
        <v xml:space="preserve">     Employees' Appreciation                           </v>
      </c>
      <c r="C64" s="12"/>
      <c r="D64" s="1">
        <f>SUM(OSRRefD22_8x_0)</f>
        <v>0</v>
      </c>
      <c r="E64" s="1"/>
      <c r="F64" s="5">
        <f t="shared" si="42"/>
        <v>0</v>
      </c>
      <c r="G64" s="1"/>
      <c r="H64" s="1">
        <f>SUM(OSRRefH22_8x_0)</f>
        <v>0</v>
      </c>
      <c r="I64" s="1"/>
      <c r="J64" s="5">
        <f t="shared" si="43"/>
        <v>0</v>
      </c>
      <c r="K64" s="1"/>
      <c r="L64" s="1">
        <f t="shared" si="44"/>
        <v>0</v>
      </c>
      <c r="M64" s="1"/>
      <c r="N64" s="5">
        <f t="shared" si="45"/>
        <v>0</v>
      </c>
      <c r="O64" s="12"/>
      <c r="P64" s="1">
        <f>SUM(OSRRefP22_8x_0)</f>
        <v>10</v>
      </c>
      <c r="Q64" s="1"/>
      <c r="R64" s="5">
        <f t="shared" si="46"/>
        <v>6.621377942386411E-6</v>
      </c>
      <c r="S64" s="1"/>
      <c r="T64" s="1">
        <f>SUM(OSRRefT22_8x_0)</f>
        <v>3471.24</v>
      </c>
      <c r="U64" s="1"/>
      <c r="V64" s="5">
        <f t="shared" si="47"/>
        <v>2.517119157081212E-4</v>
      </c>
      <c r="W64" s="1"/>
      <c r="X64" s="1">
        <f t="shared" si="48"/>
        <v>-3461.24</v>
      </c>
      <c r="Y64" s="1"/>
      <c r="Z64" s="5">
        <f t="shared" si="49"/>
        <v>-0.99711918507507402</v>
      </c>
    </row>
    <row r="65" spans="1:26" s="23" customFormat="1" hidden="1" outlineLevel="2" x14ac:dyDescent="0.25">
      <c r="A65" s="27"/>
      <c r="B65" s="10" t="str">
        <f>CONCATENATE("          ", "6277", " - ", "EMPLOYEE APPRECIATION")</f>
        <v xml:space="preserve">          6277 - EMPLOYEE APPRECIATION</v>
      </c>
      <c r="C65" s="10"/>
      <c r="D65" s="6"/>
      <c r="E65" s="2"/>
      <c r="F65" s="7">
        <f t="shared" si="42"/>
        <v>0</v>
      </c>
      <c r="G65" s="2"/>
      <c r="H65" s="6"/>
      <c r="I65" s="2"/>
      <c r="J65" s="7">
        <f t="shared" si="43"/>
        <v>0</v>
      </c>
      <c r="K65" s="2"/>
      <c r="L65" s="6">
        <f t="shared" si="44"/>
        <v>0</v>
      </c>
      <c r="M65" s="2"/>
      <c r="N65" s="7">
        <f t="shared" si="45"/>
        <v>0</v>
      </c>
      <c r="O65" s="10"/>
      <c r="P65" s="6">
        <v>10</v>
      </c>
      <c r="Q65" s="2"/>
      <c r="R65" s="7">
        <f t="shared" si="46"/>
        <v>6.621377942386411E-6</v>
      </c>
      <c r="S65" s="2"/>
      <c r="T65" s="6">
        <v>3471.24</v>
      </c>
      <c r="U65" s="2"/>
      <c r="V65" s="7">
        <f t="shared" si="47"/>
        <v>2.517119157081212E-4</v>
      </c>
      <c r="W65" s="2"/>
      <c r="X65" s="6">
        <f t="shared" si="48"/>
        <v>-3461.24</v>
      </c>
      <c r="Y65" s="2"/>
      <c r="Z65" s="7">
        <f t="shared" si="49"/>
        <v>-0.99711918507507402</v>
      </c>
    </row>
    <row r="66" spans="1:26" s="26" customFormat="1" outlineLevel="1" collapsed="1" x14ac:dyDescent="0.25">
      <c r="A66" s="25"/>
      <c r="B66" s="12" t="str">
        <f>CONCATENATE("     ","Equipment Rental                                  ")</f>
        <v xml:space="preserve">     Equipment Rental                                  </v>
      </c>
      <c r="C66" s="12"/>
      <c r="D66" s="1">
        <f>SUM(OSRRefD22_9x_0)</f>
        <v>1872.93</v>
      </c>
      <c r="E66" s="1"/>
      <c r="F66" s="5">
        <f t="shared" si="42"/>
        <v>1.6680374534270188E-2</v>
      </c>
      <c r="G66" s="1"/>
      <c r="H66" s="1">
        <f>SUM(OSRRefH22_9x_0)</f>
        <v>1540.1</v>
      </c>
      <c r="I66" s="1"/>
      <c r="J66" s="5">
        <f t="shared" si="43"/>
        <v>1.268698286396467E-2</v>
      </c>
      <c r="K66" s="1"/>
      <c r="L66" s="1">
        <f t="shared" si="44"/>
        <v>332.83000000000015</v>
      </c>
      <c r="M66" s="1"/>
      <c r="N66" s="5">
        <f t="shared" si="45"/>
        <v>0.21610934354912029</v>
      </c>
      <c r="O66" s="12"/>
      <c r="P66" s="1">
        <f>SUM(OSRRefP22_9x_0)</f>
        <v>12801.93</v>
      </c>
      <c r="Q66" s="1"/>
      <c r="R66" s="5">
        <f t="shared" si="46"/>
        <v>8.4766416921974869E-3</v>
      </c>
      <c r="S66" s="1"/>
      <c r="T66" s="1">
        <f>SUM(OSRRefT22_9x_0)</f>
        <v>31495.42</v>
      </c>
      <c r="U66" s="1"/>
      <c r="V66" s="5">
        <f t="shared" si="47"/>
        <v>2.2838445351608862E-3</v>
      </c>
      <c r="W66" s="1"/>
      <c r="X66" s="1">
        <f t="shared" si="48"/>
        <v>-18693.489999999998</v>
      </c>
      <c r="Y66" s="1"/>
      <c r="Z66" s="5">
        <f t="shared" si="49"/>
        <v>-0.59353042442361459</v>
      </c>
    </row>
    <row r="67" spans="1:26" s="23" customFormat="1" hidden="1" outlineLevel="2" x14ac:dyDescent="0.25">
      <c r="A67" s="27"/>
      <c r="B67" s="10" t="str">
        <f>CONCATENATE("          ", "6351", " - ", "EQUIPMENT RENTAL")</f>
        <v xml:space="preserve">          6351 - EQUIPMENT RENTAL</v>
      </c>
      <c r="C67" s="10"/>
      <c r="D67" s="6">
        <v>1872.93</v>
      </c>
      <c r="E67" s="2"/>
      <c r="F67" s="7">
        <f t="shared" si="42"/>
        <v>1.6680374534270188E-2</v>
      </c>
      <c r="G67" s="2"/>
      <c r="H67" s="6">
        <v>1540.1</v>
      </c>
      <c r="I67" s="2"/>
      <c r="J67" s="7">
        <f t="shared" si="43"/>
        <v>1.268698286396467E-2</v>
      </c>
      <c r="K67" s="2"/>
      <c r="L67" s="6">
        <f t="shared" si="44"/>
        <v>332.83000000000015</v>
      </c>
      <c r="M67" s="2"/>
      <c r="N67" s="7">
        <f t="shared" si="45"/>
        <v>0.21610934354912029</v>
      </c>
      <c r="O67" s="10"/>
      <c r="P67" s="6">
        <v>12801.93</v>
      </c>
      <c r="Q67" s="2"/>
      <c r="R67" s="7">
        <f t="shared" si="46"/>
        <v>8.4766416921974869E-3</v>
      </c>
      <c r="S67" s="2"/>
      <c r="T67" s="6">
        <v>31495.42</v>
      </c>
      <c r="U67" s="2"/>
      <c r="V67" s="7">
        <f t="shared" si="47"/>
        <v>2.2838445351608862E-3</v>
      </c>
      <c r="W67" s="2"/>
      <c r="X67" s="6">
        <f t="shared" si="48"/>
        <v>-18693.489999999998</v>
      </c>
      <c r="Y67" s="2"/>
      <c r="Z67" s="7">
        <f t="shared" si="49"/>
        <v>-0.59353042442361459</v>
      </c>
    </row>
    <row r="68" spans="1:26" s="26" customFormat="1" outlineLevel="1" collapsed="1" x14ac:dyDescent="0.25">
      <c r="A68" s="25"/>
      <c r="B68" s="12" t="str">
        <f>CONCATENATE("     ","Freight out/Postage                               ")</f>
        <v xml:space="preserve">     Freight out/Postage                               </v>
      </c>
      <c r="C68" s="12"/>
      <c r="D68" s="1">
        <f>SUM(OSRRefD22_10x_0)</f>
        <v>0</v>
      </c>
      <c r="E68" s="1"/>
      <c r="F68" s="5">
        <f t="shared" si="42"/>
        <v>0</v>
      </c>
      <c r="G68" s="1"/>
      <c r="H68" s="1">
        <f>SUM(OSRRefH22_10x_0)</f>
        <v>0.57999999999999996</v>
      </c>
      <c r="I68" s="1"/>
      <c r="J68" s="5">
        <f t="shared" si="43"/>
        <v>4.7779040718781297E-6</v>
      </c>
      <c r="K68" s="1"/>
      <c r="L68" s="1">
        <f t="shared" si="44"/>
        <v>-0.57999999999999996</v>
      </c>
      <c r="M68" s="1"/>
      <c r="N68" s="5">
        <f t="shared" si="45"/>
        <v>-1</v>
      </c>
      <c r="O68" s="12"/>
      <c r="P68" s="1">
        <f>SUM(OSRRefP22_10x_0)</f>
        <v>-2.4500000000000002</v>
      </c>
      <c r="Q68" s="1"/>
      <c r="R68" s="5">
        <f t="shared" si="46"/>
        <v>-1.6222375958846709E-6</v>
      </c>
      <c r="S68" s="1"/>
      <c r="T68" s="1">
        <f>SUM(OSRRefT22_10x_0)</f>
        <v>0.57999999999999996</v>
      </c>
      <c r="U68" s="1"/>
      <c r="V68" s="5">
        <f t="shared" si="47"/>
        <v>4.2057855726112372E-8</v>
      </c>
      <c r="W68" s="1"/>
      <c r="X68" s="1">
        <f t="shared" si="48"/>
        <v>-3.0300000000000002</v>
      </c>
      <c r="Y68" s="1"/>
      <c r="Z68" s="5">
        <f t="shared" si="49"/>
        <v>-5.224137931034484</v>
      </c>
    </row>
    <row r="69" spans="1:26" s="23" customFormat="1" hidden="1" outlineLevel="2" x14ac:dyDescent="0.25">
      <c r="A69" s="27"/>
      <c r="B69" s="10" t="str">
        <f>CONCATENATE("          ", "6307", " - ", "POSTAGE")</f>
        <v xml:space="preserve">          6307 - POSTAGE</v>
      </c>
      <c r="C69" s="10"/>
      <c r="D69" s="6"/>
      <c r="E69" s="2"/>
      <c r="F69" s="7">
        <f t="shared" si="42"/>
        <v>0</v>
      </c>
      <c r="G69" s="2"/>
      <c r="H69" s="6">
        <v>0.57999999999999996</v>
      </c>
      <c r="I69" s="2"/>
      <c r="J69" s="7">
        <f t="shared" si="43"/>
        <v>4.7779040718781297E-6</v>
      </c>
      <c r="K69" s="2"/>
      <c r="L69" s="6">
        <f t="shared" si="44"/>
        <v>-0.57999999999999996</v>
      </c>
      <c r="M69" s="2"/>
      <c r="N69" s="7">
        <f t="shared" si="45"/>
        <v>-1</v>
      </c>
      <c r="O69" s="10"/>
      <c r="P69" s="6">
        <v>-2.4500000000000002</v>
      </c>
      <c r="Q69" s="2"/>
      <c r="R69" s="7">
        <f t="shared" si="46"/>
        <v>-1.6222375958846709E-6</v>
      </c>
      <c r="S69" s="2"/>
      <c r="T69" s="6">
        <v>0.57999999999999996</v>
      </c>
      <c r="U69" s="2"/>
      <c r="V69" s="7">
        <f t="shared" si="47"/>
        <v>4.2057855726112372E-8</v>
      </c>
      <c r="W69" s="2"/>
      <c r="X69" s="6">
        <f t="shared" si="48"/>
        <v>-3.0300000000000002</v>
      </c>
      <c r="Y69" s="2"/>
      <c r="Z69" s="7">
        <f t="shared" si="49"/>
        <v>-5.224137931034484</v>
      </c>
    </row>
    <row r="70" spans="1:26" s="26" customFormat="1" outlineLevel="1" collapsed="1" x14ac:dyDescent="0.25">
      <c r="A70" s="25"/>
      <c r="B70" s="12" t="str">
        <f>CONCATENATE("     ","General                                           ")</f>
        <v xml:space="preserve">     General                                           </v>
      </c>
      <c r="C70" s="12"/>
      <c r="D70" s="1">
        <f>SUM(OSRRefD22_11x_0)</f>
        <v>303.18</v>
      </c>
      <c r="E70" s="1"/>
      <c r="F70" s="5">
        <f t="shared" si="42"/>
        <v>2.700130785080081E-3</v>
      </c>
      <c r="G70" s="1"/>
      <c r="H70" s="1">
        <f>SUM(OSRRefH22_11x_0)</f>
        <v>-1200</v>
      </c>
      <c r="I70" s="1"/>
      <c r="J70" s="5">
        <f t="shared" si="43"/>
        <v>-9.885318769403028E-3</v>
      </c>
      <c r="K70" s="1"/>
      <c r="L70" s="1">
        <f t="shared" si="44"/>
        <v>1503.18</v>
      </c>
      <c r="M70" s="1"/>
      <c r="N70" s="5">
        <f t="shared" si="45"/>
        <v>-1.25265</v>
      </c>
      <c r="O70" s="12"/>
      <c r="P70" s="1">
        <f>SUM(OSRRefP22_11x_0)</f>
        <v>15547.41</v>
      </c>
      <c r="Q70" s="1"/>
      <c r="R70" s="5">
        <f t="shared" si="46"/>
        <v>1.0294527763523791E-2</v>
      </c>
      <c r="S70" s="1"/>
      <c r="T70" s="1">
        <f>SUM(OSRRefT22_11x_0)</f>
        <v>92601.46</v>
      </c>
      <c r="U70" s="1"/>
      <c r="V70" s="5">
        <f t="shared" si="47"/>
        <v>6.7148600770816653E-3</v>
      </c>
      <c r="W70" s="1"/>
      <c r="X70" s="1">
        <f t="shared" si="48"/>
        <v>-77054.05</v>
      </c>
      <c r="Y70" s="1"/>
      <c r="Z70" s="5">
        <f t="shared" si="49"/>
        <v>-0.83210405105923813</v>
      </c>
    </row>
    <row r="71" spans="1:26" s="23" customFormat="1" hidden="1" outlineLevel="2" x14ac:dyDescent="0.25">
      <c r="A71" s="27"/>
      <c r="B71" s="10" t="str">
        <f>CONCATENATE("          ", "6269", " - ", "ENTERTAINMENT")</f>
        <v xml:space="preserve">          6269 - ENTERTAINMENT</v>
      </c>
      <c r="C71" s="10"/>
      <c r="D71" s="6"/>
      <c r="E71" s="2"/>
      <c r="F71" s="7">
        <f t="shared" si="42"/>
        <v>0</v>
      </c>
      <c r="G71" s="2"/>
      <c r="H71" s="6"/>
      <c r="I71" s="2"/>
      <c r="J71" s="7">
        <f t="shared" si="43"/>
        <v>0</v>
      </c>
      <c r="K71" s="2"/>
      <c r="L71" s="6">
        <f t="shared" si="44"/>
        <v>0</v>
      </c>
      <c r="M71" s="2"/>
      <c r="N71" s="7">
        <f t="shared" si="45"/>
        <v>0</v>
      </c>
      <c r="O71" s="10"/>
      <c r="P71" s="6"/>
      <c r="Q71" s="2"/>
      <c r="R71" s="7">
        <f t="shared" si="46"/>
        <v>0</v>
      </c>
      <c r="S71" s="2"/>
      <c r="T71" s="6">
        <v>10050</v>
      </c>
      <c r="U71" s="2"/>
      <c r="V71" s="7">
        <f t="shared" si="47"/>
        <v>7.2876112077142994E-4</v>
      </c>
      <c r="W71" s="2"/>
      <c r="X71" s="6">
        <f t="shared" si="48"/>
        <v>-10050</v>
      </c>
      <c r="Y71" s="2"/>
      <c r="Z71" s="7">
        <f t="shared" si="49"/>
        <v>-1</v>
      </c>
    </row>
    <row r="72" spans="1:26" s="23" customFormat="1" hidden="1" outlineLevel="2" x14ac:dyDescent="0.25">
      <c r="A72" s="27"/>
      <c r="B72" s="10" t="str">
        <f>CONCATENATE("          ", "6279", " - ", "GENERAL EXPENSE")</f>
        <v xml:space="preserve">          6279 - GENERAL EXPENSE</v>
      </c>
      <c r="C72" s="10"/>
      <c r="D72" s="6">
        <v>303.18</v>
      </c>
      <c r="E72" s="2"/>
      <c r="F72" s="7">
        <f t="shared" si="42"/>
        <v>2.700130785080081E-3</v>
      </c>
      <c r="G72" s="2"/>
      <c r="H72" s="6">
        <v>-1200</v>
      </c>
      <c r="I72" s="2"/>
      <c r="J72" s="7">
        <f t="shared" si="43"/>
        <v>-9.885318769403028E-3</v>
      </c>
      <c r="K72" s="2"/>
      <c r="L72" s="6">
        <f t="shared" si="44"/>
        <v>1503.18</v>
      </c>
      <c r="M72" s="2"/>
      <c r="N72" s="7">
        <f t="shared" si="45"/>
        <v>-1.25265</v>
      </c>
      <c r="O72" s="10"/>
      <c r="P72" s="6">
        <v>15547.41</v>
      </c>
      <c r="Q72" s="2"/>
      <c r="R72" s="7">
        <f t="shared" si="46"/>
        <v>1.0294527763523791E-2</v>
      </c>
      <c r="S72" s="2"/>
      <c r="T72" s="6">
        <v>82551.460000000006</v>
      </c>
      <c r="U72" s="2"/>
      <c r="V72" s="7">
        <f t="shared" si="47"/>
        <v>5.9860989563102355E-3</v>
      </c>
      <c r="W72" s="2"/>
      <c r="X72" s="6">
        <f t="shared" si="48"/>
        <v>-67004.05</v>
      </c>
      <c r="Y72" s="2"/>
      <c r="Z72" s="7">
        <f t="shared" si="49"/>
        <v>-0.81166402144795502</v>
      </c>
    </row>
    <row r="73" spans="1:26" s="26" customFormat="1" outlineLevel="1" collapsed="1" x14ac:dyDescent="0.25">
      <c r="A73" s="25"/>
      <c r="B73" s="12" t="str">
        <f>CONCATENATE("     ","Insurance                                         ")</f>
        <v xml:space="preserve">     Insurance                                         </v>
      </c>
      <c r="C73" s="12"/>
      <c r="D73" s="1">
        <f>SUM(OSRRefD22_12x_0)</f>
        <v>4246.03</v>
      </c>
      <c r="E73" s="1"/>
      <c r="F73" s="5">
        <f t="shared" ref="F73:F87" si="50">IF(D$12=0,0,D73/D$12)</f>
        <v>3.7815279099457665E-2</v>
      </c>
      <c r="G73" s="1"/>
      <c r="H73" s="1">
        <f>SUM(OSRRefH22_12x_0)</f>
        <v>4246.03</v>
      </c>
      <c r="I73" s="1"/>
      <c r="J73" s="5">
        <f t="shared" ref="J73:J87" si="51">IF(H$12=0,0,H73/H$12)</f>
        <v>3.4977800045373618E-2</v>
      </c>
      <c r="K73" s="1"/>
      <c r="L73" s="1">
        <f t="shared" ref="L73:L87" si="52">+D73-H73</f>
        <v>0</v>
      </c>
      <c r="M73" s="1"/>
      <c r="N73" s="5">
        <f t="shared" ref="N73:N87" si="53">IF(H73=0,0,L73/H73)</f>
        <v>0</v>
      </c>
      <c r="O73" s="12"/>
      <c r="P73" s="1">
        <f>SUM(OSRRefP22_12x_0)</f>
        <v>52818.33</v>
      </c>
      <c r="Q73" s="1"/>
      <c r="R73" s="5">
        <f t="shared" ref="R73:R87" si="54">IF(P$12=0,0,P73/P$12)</f>
        <v>3.4973012521568647E-2</v>
      </c>
      <c r="S73" s="1"/>
      <c r="T73" s="1">
        <f>SUM(OSRRefT22_12x_0)</f>
        <v>52467.33</v>
      </c>
      <c r="U73" s="1"/>
      <c r="V73" s="5">
        <f t="shared" ref="V73:V87" si="55">IF(T$12=0,0,T73/T$12)</f>
        <v>3.8045920611626334E-3</v>
      </c>
      <c r="W73" s="1"/>
      <c r="X73" s="1">
        <f t="shared" ref="X73:X87" si="56">+P73-T73</f>
        <v>351</v>
      </c>
      <c r="Y73" s="1"/>
      <c r="Z73" s="5">
        <f t="shared" ref="Z73:Z87" si="57">IF(T73=0,0,X73/T73)</f>
        <v>6.6898773007888906E-3</v>
      </c>
    </row>
    <row r="74" spans="1:26" s="23" customFormat="1" hidden="1" outlineLevel="2" x14ac:dyDescent="0.25">
      <c r="A74" s="27"/>
      <c r="B74" s="10" t="str">
        <f>CONCATENATE("          ", "6314", " - ", "LIABILITY INSURANCE")</f>
        <v xml:space="preserve">          6314 - LIABILITY INSURANCE</v>
      </c>
      <c r="C74" s="10"/>
      <c r="D74" s="6">
        <v>4246.03</v>
      </c>
      <c r="E74" s="2"/>
      <c r="F74" s="7">
        <f t="shared" si="50"/>
        <v>3.7815279099457665E-2</v>
      </c>
      <c r="G74" s="2"/>
      <c r="H74" s="6">
        <v>4246.03</v>
      </c>
      <c r="I74" s="2"/>
      <c r="J74" s="7">
        <f t="shared" si="51"/>
        <v>3.4977800045373618E-2</v>
      </c>
      <c r="K74" s="2"/>
      <c r="L74" s="6">
        <f t="shared" si="52"/>
        <v>0</v>
      </c>
      <c r="M74" s="2"/>
      <c r="N74" s="7">
        <f t="shared" si="53"/>
        <v>0</v>
      </c>
      <c r="O74" s="10"/>
      <c r="P74" s="6">
        <v>52818.33</v>
      </c>
      <c r="Q74" s="2"/>
      <c r="R74" s="7">
        <f t="shared" si="54"/>
        <v>3.4973012521568647E-2</v>
      </c>
      <c r="S74" s="2"/>
      <c r="T74" s="6">
        <v>52467.33</v>
      </c>
      <c r="U74" s="2"/>
      <c r="V74" s="7">
        <f t="shared" si="55"/>
        <v>3.8045920611626334E-3</v>
      </c>
      <c r="W74" s="2"/>
      <c r="X74" s="6">
        <f t="shared" si="56"/>
        <v>351</v>
      </c>
      <c r="Y74" s="2"/>
      <c r="Z74" s="7">
        <f t="shared" si="57"/>
        <v>6.6898773007888906E-3</v>
      </c>
    </row>
    <row r="75" spans="1:26" s="26" customFormat="1" outlineLevel="1" collapsed="1" x14ac:dyDescent="0.25">
      <c r="A75" s="25"/>
      <c r="B75" s="12" t="str">
        <f>CONCATENATE("     ","Interest                                          ")</f>
        <v xml:space="preserve">     Interest                                          </v>
      </c>
      <c r="C75" s="12"/>
      <c r="D75" s="1">
        <f>SUM(OSRRefD22_13x_0)</f>
        <v>7510</v>
      </c>
      <c r="E75" s="1"/>
      <c r="F75" s="5">
        <f t="shared" si="50"/>
        <v>6.6884300402240943E-2</v>
      </c>
      <c r="G75" s="1"/>
      <c r="H75" s="1">
        <f>SUM(OSRRefH22_13x_0)</f>
        <v>7754</v>
      </c>
      <c r="I75" s="1"/>
      <c r="J75" s="5">
        <f t="shared" si="51"/>
        <v>6.3875634781625903E-2</v>
      </c>
      <c r="K75" s="1"/>
      <c r="L75" s="1">
        <f t="shared" si="52"/>
        <v>-244</v>
      </c>
      <c r="M75" s="1"/>
      <c r="N75" s="5">
        <f t="shared" si="53"/>
        <v>-3.1467629610523601E-2</v>
      </c>
      <c r="O75" s="12"/>
      <c r="P75" s="1">
        <f>SUM(OSRRefP22_13x_0)</f>
        <v>80580.149999999994</v>
      </c>
      <c r="Q75" s="1"/>
      <c r="R75" s="5">
        <f t="shared" si="54"/>
        <v>5.3355162780418831E-2</v>
      </c>
      <c r="S75" s="1"/>
      <c r="T75" s="1">
        <f>SUM(OSRRefT22_13x_0)</f>
        <v>82950.28</v>
      </c>
      <c r="U75" s="1"/>
      <c r="V75" s="5">
        <f t="shared" si="55"/>
        <v>6.0150188080700419E-3</v>
      </c>
      <c r="W75" s="1"/>
      <c r="X75" s="1">
        <f t="shared" si="56"/>
        <v>-2370.1300000000047</v>
      </c>
      <c r="Y75" s="1"/>
      <c r="Z75" s="5">
        <f t="shared" si="57"/>
        <v>-2.8572899331985434E-2</v>
      </c>
    </row>
    <row r="76" spans="1:26" s="23" customFormat="1" hidden="1" outlineLevel="2" x14ac:dyDescent="0.25">
      <c r="A76" s="27"/>
      <c r="B76" s="10" t="str">
        <f>CONCATENATE("          ", "6401", " - ", "INTEREST EXPENSE")</f>
        <v xml:space="preserve">          6401 - INTEREST EXPENSE</v>
      </c>
      <c r="C76" s="10"/>
      <c r="D76" s="6">
        <v>7510</v>
      </c>
      <c r="E76" s="2"/>
      <c r="F76" s="7">
        <f t="shared" si="50"/>
        <v>6.6884300402240943E-2</v>
      </c>
      <c r="G76" s="2"/>
      <c r="H76" s="6">
        <v>7754</v>
      </c>
      <c r="I76" s="2"/>
      <c r="J76" s="7">
        <f t="shared" si="51"/>
        <v>6.3875634781625903E-2</v>
      </c>
      <c r="K76" s="2"/>
      <c r="L76" s="6">
        <f t="shared" si="52"/>
        <v>-244</v>
      </c>
      <c r="M76" s="2"/>
      <c r="N76" s="7">
        <f t="shared" si="53"/>
        <v>-3.1467629610523601E-2</v>
      </c>
      <c r="O76" s="10"/>
      <c r="P76" s="6">
        <v>80580.149999999994</v>
      </c>
      <c r="Q76" s="2"/>
      <c r="R76" s="7">
        <f t="shared" si="54"/>
        <v>5.3355162780418831E-2</v>
      </c>
      <c r="S76" s="2"/>
      <c r="T76" s="6">
        <v>82950.28</v>
      </c>
      <c r="U76" s="2"/>
      <c r="V76" s="7">
        <f t="shared" si="55"/>
        <v>6.0150188080700419E-3</v>
      </c>
      <c r="W76" s="2"/>
      <c r="X76" s="6">
        <f t="shared" si="56"/>
        <v>-2370.1300000000047</v>
      </c>
      <c r="Y76" s="2"/>
      <c r="Z76" s="7">
        <f t="shared" si="57"/>
        <v>-2.8572899331985434E-2</v>
      </c>
    </row>
    <row r="77" spans="1:26" s="26" customFormat="1" outlineLevel="1" collapsed="1" x14ac:dyDescent="0.25">
      <c r="A77" s="25"/>
      <c r="B77" s="12" t="str">
        <f>CONCATENATE("     ","Professional Services                             ")</f>
        <v xml:space="preserve">     Professional Services                             </v>
      </c>
      <c r="C77" s="12"/>
      <c r="D77" s="1">
        <f>SUM(OSRRefD22_14x_0)</f>
        <v>0</v>
      </c>
      <c r="E77" s="1"/>
      <c r="F77" s="5">
        <f t="shared" si="50"/>
        <v>0</v>
      </c>
      <c r="G77" s="1"/>
      <c r="H77" s="1">
        <f>SUM(OSRRefH22_14x_0)</f>
        <v>0</v>
      </c>
      <c r="I77" s="1"/>
      <c r="J77" s="5">
        <f t="shared" si="51"/>
        <v>0</v>
      </c>
      <c r="K77" s="1"/>
      <c r="L77" s="1">
        <f t="shared" si="52"/>
        <v>0</v>
      </c>
      <c r="M77" s="1"/>
      <c r="N77" s="5">
        <f t="shared" si="53"/>
        <v>0</v>
      </c>
      <c r="O77" s="12"/>
      <c r="P77" s="1">
        <f>SUM(OSRRefP22_14x_0)</f>
        <v>0</v>
      </c>
      <c r="Q77" s="1"/>
      <c r="R77" s="5">
        <f t="shared" si="54"/>
        <v>0</v>
      </c>
      <c r="S77" s="1"/>
      <c r="T77" s="1">
        <f>SUM(OSRRefT22_14x_0)</f>
        <v>125</v>
      </c>
      <c r="U77" s="1"/>
      <c r="V77" s="5">
        <f t="shared" si="55"/>
        <v>9.0641930444207705E-6</v>
      </c>
      <c r="W77" s="1"/>
      <c r="X77" s="1">
        <f t="shared" si="56"/>
        <v>-125</v>
      </c>
      <c r="Y77" s="1"/>
      <c r="Z77" s="5">
        <f t="shared" si="57"/>
        <v>-1</v>
      </c>
    </row>
    <row r="78" spans="1:26" s="23" customFormat="1" hidden="1" outlineLevel="2" x14ac:dyDescent="0.25">
      <c r="A78" s="27"/>
      <c r="B78" s="10" t="str">
        <f>CONCATENATE("          ", "6336", " - ", "PROFESSIONAL SERVICES")</f>
        <v xml:space="preserve">          6336 - PROFESSIONAL SERVICES</v>
      </c>
      <c r="C78" s="10"/>
      <c r="D78" s="6"/>
      <c r="E78" s="2"/>
      <c r="F78" s="7">
        <f t="shared" si="50"/>
        <v>0</v>
      </c>
      <c r="G78" s="2"/>
      <c r="H78" s="6"/>
      <c r="I78" s="2"/>
      <c r="J78" s="7">
        <f t="shared" si="51"/>
        <v>0</v>
      </c>
      <c r="K78" s="2"/>
      <c r="L78" s="6">
        <f t="shared" si="52"/>
        <v>0</v>
      </c>
      <c r="M78" s="2"/>
      <c r="N78" s="7">
        <f t="shared" si="53"/>
        <v>0</v>
      </c>
      <c r="O78" s="10"/>
      <c r="P78" s="6"/>
      <c r="Q78" s="2"/>
      <c r="R78" s="7">
        <f t="shared" si="54"/>
        <v>0</v>
      </c>
      <c r="S78" s="2"/>
      <c r="T78" s="6">
        <v>125</v>
      </c>
      <c r="U78" s="2"/>
      <c r="V78" s="7">
        <f t="shared" si="55"/>
        <v>9.0641930444207705E-6</v>
      </c>
      <c r="W78" s="2"/>
      <c r="X78" s="6">
        <f t="shared" si="56"/>
        <v>-125</v>
      </c>
      <c r="Y78" s="2"/>
      <c r="Z78" s="7">
        <f t="shared" si="57"/>
        <v>-1</v>
      </c>
    </row>
    <row r="79" spans="1:26" s="26" customFormat="1" outlineLevel="1" collapsed="1" x14ac:dyDescent="0.25">
      <c r="A79" s="25"/>
      <c r="B79" s="12" t="str">
        <f>CONCATENATE("     ","R/H Commissions                                   ")</f>
        <v xml:space="preserve">     R/H Commissions                                   </v>
      </c>
      <c r="C79" s="12"/>
      <c r="D79" s="1">
        <f>SUM(OSRRefD22_15x_0)</f>
        <v>3760.68</v>
      </c>
      <c r="E79" s="1"/>
      <c r="F79" s="5">
        <f t="shared" si="50"/>
        <v>3.3492736462942665E-2</v>
      </c>
      <c r="G79" s="1"/>
      <c r="H79" s="1">
        <f>SUM(OSRRefH22_15x_0)</f>
        <v>8412.7900000000009</v>
      </c>
      <c r="I79" s="1"/>
      <c r="J79" s="5">
        <f t="shared" si="51"/>
        <v>6.9302592408371763E-2</v>
      </c>
      <c r="K79" s="1"/>
      <c r="L79" s="1">
        <f t="shared" si="52"/>
        <v>-4652.1100000000006</v>
      </c>
      <c r="M79" s="1"/>
      <c r="N79" s="5">
        <f t="shared" si="53"/>
        <v>-0.5529806401918983</v>
      </c>
      <c r="O79" s="12"/>
      <c r="P79" s="1">
        <f>SUM(OSRRefP22_15x_0)</f>
        <v>69400.47</v>
      </c>
      <c r="Q79" s="1"/>
      <c r="R79" s="5">
        <f t="shared" si="54"/>
        <v>4.5952674124924986E-2</v>
      </c>
      <c r="S79" s="1"/>
      <c r="T79" s="1">
        <f>SUM(OSRRefT22_15x_0)</f>
        <v>714276.08</v>
      </c>
      <c r="U79" s="1"/>
      <c r="V79" s="5">
        <f t="shared" si="55"/>
        <v>5.1794690209057061E-2</v>
      </c>
      <c r="W79" s="1"/>
      <c r="X79" s="1">
        <f t="shared" si="56"/>
        <v>-644875.61</v>
      </c>
      <c r="Y79" s="1"/>
      <c r="Z79" s="5">
        <f t="shared" si="57"/>
        <v>-0.90283803147936859</v>
      </c>
    </row>
    <row r="80" spans="1:26" s="23" customFormat="1" hidden="1" outlineLevel="2" x14ac:dyDescent="0.25">
      <c r="A80" s="27"/>
      <c r="B80" s="10" t="str">
        <f>CONCATENATE("          ", "6387", " - ", "COMMISSION DUE HOUSING")</f>
        <v xml:space="preserve">          6387 - COMMISSION DUE HOUSING</v>
      </c>
      <c r="C80" s="10"/>
      <c r="D80" s="6">
        <v>3760.68</v>
      </c>
      <c r="E80" s="2"/>
      <c r="F80" s="7">
        <f t="shared" si="50"/>
        <v>3.3492736462942665E-2</v>
      </c>
      <c r="G80" s="2"/>
      <c r="H80" s="6">
        <v>8412.7900000000009</v>
      </c>
      <c r="I80" s="2"/>
      <c r="J80" s="7">
        <f t="shared" si="51"/>
        <v>6.9302592408371763E-2</v>
      </c>
      <c r="K80" s="2"/>
      <c r="L80" s="6">
        <f t="shared" si="52"/>
        <v>-4652.1100000000006</v>
      </c>
      <c r="M80" s="2"/>
      <c r="N80" s="7">
        <f t="shared" si="53"/>
        <v>-0.5529806401918983</v>
      </c>
      <c r="O80" s="10"/>
      <c r="P80" s="6">
        <v>69400.47</v>
      </c>
      <c r="Q80" s="2"/>
      <c r="R80" s="7">
        <f t="shared" si="54"/>
        <v>4.5952674124924986E-2</v>
      </c>
      <c r="S80" s="2"/>
      <c r="T80" s="6">
        <v>714276.08</v>
      </c>
      <c r="U80" s="2"/>
      <c r="V80" s="7">
        <f t="shared" si="55"/>
        <v>5.1794690209057061E-2</v>
      </c>
      <c r="W80" s="2"/>
      <c r="X80" s="6">
        <f t="shared" si="56"/>
        <v>-644875.61</v>
      </c>
      <c r="Y80" s="2"/>
      <c r="Z80" s="7">
        <f t="shared" si="57"/>
        <v>-0.90283803147936859</v>
      </c>
    </row>
    <row r="81" spans="1:26" s="26" customFormat="1" outlineLevel="1" collapsed="1" x14ac:dyDescent="0.25">
      <c r="A81" s="25"/>
      <c r="B81" s="12" t="str">
        <f>CONCATENATE("     ","Rent                                              ")</f>
        <v xml:space="preserve">     Rent                                              </v>
      </c>
      <c r="C81" s="12"/>
      <c r="D81" s="1">
        <f>SUM(OSRRefD22_16x_0)</f>
        <v>1850</v>
      </c>
      <c r="E81" s="1"/>
      <c r="F81" s="5">
        <f t="shared" si="50"/>
        <v>1.6476159220259086E-2</v>
      </c>
      <c r="G81" s="1"/>
      <c r="H81" s="1">
        <f>SUM(OSRRefH22_16x_0)</f>
        <v>1850</v>
      </c>
      <c r="I81" s="1"/>
      <c r="J81" s="5">
        <f t="shared" si="51"/>
        <v>1.5239866436163003E-2</v>
      </c>
      <c r="K81" s="1"/>
      <c r="L81" s="1">
        <f t="shared" si="52"/>
        <v>0</v>
      </c>
      <c r="M81" s="1"/>
      <c r="N81" s="5">
        <f t="shared" si="53"/>
        <v>0</v>
      </c>
      <c r="O81" s="12"/>
      <c r="P81" s="1">
        <f>SUM(OSRRefP22_16x_0)</f>
        <v>14800</v>
      </c>
      <c r="Q81" s="1"/>
      <c r="R81" s="5">
        <f t="shared" si="54"/>
        <v>9.7996393547318886E-3</v>
      </c>
      <c r="S81" s="1"/>
      <c r="T81" s="1">
        <f>SUM(OSRRefT22_16x_0)</f>
        <v>20350</v>
      </c>
      <c r="U81" s="1"/>
      <c r="V81" s="5">
        <f t="shared" si="55"/>
        <v>1.4756506276317014E-3</v>
      </c>
      <c r="W81" s="1"/>
      <c r="X81" s="1">
        <f t="shared" si="56"/>
        <v>-5550</v>
      </c>
      <c r="Y81" s="1"/>
      <c r="Z81" s="5">
        <f t="shared" si="57"/>
        <v>-0.27272727272727271</v>
      </c>
    </row>
    <row r="82" spans="1:26" s="23" customFormat="1" hidden="1" outlineLevel="2" x14ac:dyDescent="0.25">
      <c r="A82" s="27"/>
      <c r="B82" s="10" t="str">
        <f>CONCATENATE("          ", "6273", " - ", "RENT")</f>
        <v xml:space="preserve">          6273 - RENT</v>
      </c>
      <c r="C82" s="10"/>
      <c r="D82" s="6">
        <v>1850</v>
      </c>
      <c r="E82" s="2"/>
      <c r="F82" s="7">
        <f t="shared" si="50"/>
        <v>1.6476159220259086E-2</v>
      </c>
      <c r="G82" s="2"/>
      <c r="H82" s="6">
        <v>1850</v>
      </c>
      <c r="I82" s="2"/>
      <c r="J82" s="7">
        <f t="shared" si="51"/>
        <v>1.5239866436163003E-2</v>
      </c>
      <c r="K82" s="2"/>
      <c r="L82" s="6">
        <f t="shared" si="52"/>
        <v>0</v>
      </c>
      <c r="M82" s="2"/>
      <c r="N82" s="7">
        <f t="shared" si="53"/>
        <v>0</v>
      </c>
      <c r="O82" s="10"/>
      <c r="P82" s="6">
        <v>14800</v>
      </c>
      <c r="Q82" s="2"/>
      <c r="R82" s="7">
        <f t="shared" si="54"/>
        <v>9.7996393547318886E-3</v>
      </c>
      <c r="S82" s="2"/>
      <c r="T82" s="6">
        <v>20350</v>
      </c>
      <c r="U82" s="2"/>
      <c r="V82" s="7">
        <f t="shared" si="55"/>
        <v>1.4756506276317014E-3</v>
      </c>
      <c r="W82" s="2"/>
      <c r="X82" s="6">
        <f t="shared" si="56"/>
        <v>-5550</v>
      </c>
      <c r="Y82" s="2"/>
      <c r="Z82" s="7">
        <f t="shared" si="57"/>
        <v>-0.27272727272727271</v>
      </c>
    </row>
    <row r="83" spans="1:26" s="26" customFormat="1" outlineLevel="1" collapsed="1" x14ac:dyDescent="0.25">
      <c r="A83" s="25"/>
      <c r="B83" s="12" t="str">
        <f>CONCATENATE("     ","Repair and Maintenance                            ")</f>
        <v xml:space="preserve">     Repair and Maintenance                            </v>
      </c>
      <c r="C83" s="12"/>
      <c r="D83" s="1">
        <f>SUM(OSRRefD22_17x_0)</f>
        <v>11926.34</v>
      </c>
      <c r="E83" s="1"/>
      <c r="F83" s="5">
        <f t="shared" si="50"/>
        <v>0.10621636581348365</v>
      </c>
      <c r="G83" s="1"/>
      <c r="H83" s="1">
        <f>SUM(OSRRefH22_17x_0)</f>
        <v>7798.68</v>
      </c>
      <c r="I83" s="1"/>
      <c r="J83" s="5">
        <f t="shared" si="51"/>
        <v>6.4243698150473344E-2</v>
      </c>
      <c r="K83" s="1"/>
      <c r="L83" s="1">
        <f t="shared" si="52"/>
        <v>4127.66</v>
      </c>
      <c r="M83" s="1"/>
      <c r="N83" s="5">
        <f t="shared" si="53"/>
        <v>0.52927674939861613</v>
      </c>
      <c r="O83" s="12"/>
      <c r="P83" s="1">
        <f>SUM(OSRRefP22_17x_0)</f>
        <v>78394.98</v>
      </c>
      <c r="Q83" s="1"/>
      <c r="R83" s="5">
        <f t="shared" si="54"/>
        <v>5.1908279136582379E-2</v>
      </c>
      <c r="S83" s="1"/>
      <c r="T83" s="1">
        <f>SUM(OSRRefT22_17x_0)</f>
        <v>291216.81</v>
      </c>
      <c r="U83" s="1"/>
      <c r="V83" s="5">
        <f t="shared" si="55"/>
        <v>2.1117163068963239E-2</v>
      </c>
      <c r="W83" s="1"/>
      <c r="X83" s="1">
        <f t="shared" si="56"/>
        <v>-212821.83000000002</v>
      </c>
      <c r="Y83" s="1"/>
      <c r="Z83" s="5">
        <f t="shared" si="57"/>
        <v>-0.73080200967794418</v>
      </c>
    </row>
    <row r="84" spans="1:26" s="23" customFormat="1" hidden="1" outlineLevel="2" x14ac:dyDescent="0.25">
      <c r="A84" s="27"/>
      <c r="B84" s="10" t="str">
        <f>CONCATENATE("          ", "6371", " - ", "COMPUTER SOFTWARE MAINTENANCE")</f>
        <v xml:space="preserve">          6371 - COMPUTER SOFTWARE MAINTENANCE</v>
      </c>
      <c r="C84" s="10"/>
      <c r="D84" s="6">
        <v>11757.2</v>
      </c>
      <c r="E84" s="2"/>
      <c r="F84" s="7">
        <f t="shared" si="50"/>
        <v>0.10470999955915143</v>
      </c>
      <c r="G84" s="2"/>
      <c r="H84" s="6"/>
      <c r="I84" s="2"/>
      <c r="J84" s="7">
        <f t="shared" si="51"/>
        <v>0</v>
      </c>
      <c r="K84" s="2"/>
      <c r="L84" s="6">
        <f t="shared" si="52"/>
        <v>11757.2</v>
      </c>
      <c r="M84" s="2"/>
      <c r="N84" s="7">
        <f t="shared" si="53"/>
        <v>0</v>
      </c>
      <c r="O84" s="10"/>
      <c r="P84" s="6">
        <v>29959.47</v>
      </c>
      <c r="Q84" s="2"/>
      <c r="R84" s="7">
        <f t="shared" si="54"/>
        <v>1.9837297382358742E-2</v>
      </c>
      <c r="S84" s="2"/>
      <c r="T84" s="6">
        <v>73995.62</v>
      </c>
      <c r="U84" s="2"/>
      <c r="V84" s="7">
        <f t="shared" si="55"/>
        <v>5.3656846729728189E-3</v>
      </c>
      <c r="W84" s="2"/>
      <c r="X84" s="6">
        <f t="shared" si="56"/>
        <v>-44036.149999999994</v>
      </c>
      <c r="Y84" s="2"/>
      <c r="Z84" s="7">
        <f t="shared" si="57"/>
        <v>-0.59511833267969105</v>
      </c>
    </row>
    <row r="85" spans="1:26" s="23" customFormat="1" hidden="1" outlineLevel="2" x14ac:dyDescent="0.25">
      <c r="A85" s="27"/>
      <c r="B85" s="10" t="str">
        <f>CONCATENATE("          ", "6372", " - ", "COMPUTER HARDWARE MAINTENANCE")</f>
        <v xml:space="preserve">          6372 - COMPUTER HARDWARE MAINTENANCE</v>
      </c>
      <c r="C85" s="10"/>
      <c r="D85" s="6"/>
      <c r="E85" s="2"/>
      <c r="F85" s="7">
        <f t="shared" si="50"/>
        <v>0</v>
      </c>
      <c r="G85" s="2"/>
      <c r="H85" s="6"/>
      <c r="I85" s="2"/>
      <c r="J85" s="7">
        <f t="shared" si="51"/>
        <v>0</v>
      </c>
      <c r="K85" s="2"/>
      <c r="L85" s="6">
        <f t="shared" si="52"/>
        <v>0</v>
      </c>
      <c r="M85" s="2"/>
      <c r="N85" s="7">
        <f t="shared" si="53"/>
        <v>0</v>
      </c>
      <c r="O85" s="10"/>
      <c r="P85" s="6">
        <v>100</v>
      </c>
      <c r="Q85" s="2"/>
      <c r="R85" s="7">
        <f t="shared" si="54"/>
        <v>6.6213779423864112E-5</v>
      </c>
      <c r="S85" s="2"/>
      <c r="T85" s="6">
        <v>8142.87</v>
      </c>
      <c r="U85" s="2"/>
      <c r="V85" s="7">
        <f t="shared" si="55"/>
        <v>5.9046836492498045E-4</v>
      </c>
      <c r="W85" s="2"/>
      <c r="X85" s="6">
        <f t="shared" si="56"/>
        <v>-8042.87</v>
      </c>
      <c r="Y85" s="2"/>
      <c r="Z85" s="7">
        <f t="shared" si="57"/>
        <v>-0.98771931763616516</v>
      </c>
    </row>
    <row r="86" spans="1:26" s="23" customFormat="1" hidden="1" outlineLevel="2" x14ac:dyDescent="0.25">
      <c r="A86" s="27"/>
      <c r="B86" s="10" t="str">
        <f>CONCATENATE("          ", "6373", " - ", "MAINTENANCE CONTRACTS")</f>
        <v xml:space="preserve">          6373 - MAINTENANCE CONTRACTS</v>
      </c>
      <c r="C86" s="10"/>
      <c r="D86" s="6">
        <v>10.89</v>
      </c>
      <c r="E86" s="2"/>
      <c r="F86" s="7">
        <f t="shared" si="50"/>
        <v>9.6986688599254843E-5</v>
      </c>
      <c r="G86" s="2"/>
      <c r="H86" s="6">
        <v>6801.84</v>
      </c>
      <c r="I86" s="2"/>
      <c r="J86" s="7">
        <f t="shared" si="51"/>
        <v>5.603196384873025E-2</v>
      </c>
      <c r="K86" s="2"/>
      <c r="L86" s="6">
        <f t="shared" si="52"/>
        <v>-6790.95</v>
      </c>
      <c r="M86" s="2"/>
      <c r="N86" s="7">
        <f t="shared" si="53"/>
        <v>-0.99839896263364025</v>
      </c>
      <c r="O86" s="10"/>
      <c r="P86" s="6">
        <v>21474.1</v>
      </c>
      <c r="Q86" s="2"/>
      <c r="R86" s="7">
        <f t="shared" si="54"/>
        <v>1.4218813207260001E-2</v>
      </c>
      <c r="S86" s="2"/>
      <c r="T86" s="6">
        <v>93980.66</v>
      </c>
      <c r="U86" s="2"/>
      <c r="V86" s="7">
        <f t="shared" si="55"/>
        <v>6.814870757456586E-3</v>
      </c>
      <c r="W86" s="2"/>
      <c r="X86" s="6">
        <f t="shared" si="56"/>
        <v>-72506.559999999998</v>
      </c>
      <c r="Y86" s="2"/>
      <c r="Z86" s="7">
        <f t="shared" si="57"/>
        <v>-0.77150511605260053</v>
      </c>
    </row>
    <row r="87" spans="1:26" s="23" customFormat="1" hidden="1" outlineLevel="2" x14ac:dyDescent="0.25">
      <c r="A87" s="27"/>
      <c r="B87" s="10" t="str">
        <f>CONCATENATE("          ", "6375", " - ", "OUTSIDE REPAIRS &amp; MAINTENANCE")</f>
        <v xml:space="preserve">          6375 - OUTSIDE REPAIRS &amp; MAINTENANCE</v>
      </c>
      <c r="C87" s="10"/>
      <c r="D87" s="6">
        <v>158.25</v>
      </c>
      <c r="E87" s="2"/>
      <c r="F87" s="7">
        <f t="shared" si="50"/>
        <v>1.4093795657329732E-3</v>
      </c>
      <c r="G87" s="2"/>
      <c r="H87" s="6">
        <v>996.84</v>
      </c>
      <c r="I87" s="2"/>
      <c r="J87" s="7">
        <f t="shared" si="51"/>
        <v>8.2117343017430958E-3</v>
      </c>
      <c r="K87" s="2"/>
      <c r="L87" s="6">
        <f t="shared" si="52"/>
        <v>-838.59</v>
      </c>
      <c r="M87" s="2"/>
      <c r="N87" s="7">
        <f t="shared" si="53"/>
        <v>-0.84124834476947152</v>
      </c>
      <c r="O87" s="10"/>
      <c r="P87" s="6">
        <v>26861.41</v>
      </c>
      <c r="Q87" s="2"/>
      <c r="R87" s="7">
        <f t="shared" si="54"/>
        <v>1.7785954767539774E-2</v>
      </c>
      <c r="S87" s="2"/>
      <c r="T87" s="6">
        <v>115097.66</v>
      </c>
      <c r="U87" s="2"/>
      <c r="V87" s="7">
        <f t="shared" si="55"/>
        <v>8.3461392736088533E-3</v>
      </c>
      <c r="W87" s="2"/>
      <c r="X87" s="6">
        <f t="shared" si="56"/>
        <v>-88236.25</v>
      </c>
      <c r="Y87" s="2"/>
      <c r="Z87" s="7">
        <f t="shared" si="57"/>
        <v>-0.76662071148970357</v>
      </c>
    </row>
    <row r="88" spans="1:26" s="26" customFormat="1" outlineLevel="1" collapsed="1" x14ac:dyDescent="0.25">
      <c r="A88" s="25"/>
      <c r="B88" s="12" t="str">
        <f>CONCATENATE("     ","Royalty &amp; Commissions                             ")</f>
        <v xml:space="preserve">     Royalty &amp; Commissions                             </v>
      </c>
      <c r="C88" s="12"/>
      <c r="D88" s="1">
        <f>SUM(OSRRefD22_18x_0)</f>
        <v>0</v>
      </c>
      <c r="E88" s="1"/>
      <c r="F88" s="5">
        <f t="shared" ref="F88:F90" si="58">IF(D$12=0,0,D88/D$12)</f>
        <v>0</v>
      </c>
      <c r="G88" s="1"/>
      <c r="H88" s="1">
        <f>SUM(OSRRefH22_18x_0)</f>
        <v>0</v>
      </c>
      <c r="I88" s="1"/>
      <c r="J88" s="5">
        <f t="shared" ref="J88:J90" si="59">IF(H$12=0,0,H88/H$12)</f>
        <v>0</v>
      </c>
      <c r="K88" s="1"/>
      <c r="L88" s="1">
        <f t="shared" ref="L88:L90" si="60">+D88-H88</f>
        <v>0</v>
      </c>
      <c r="M88" s="1"/>
      <c r="N88" s="5">
        <f t="shared" ref="N88:N90" si="61">IF(H88=0,0,L88/H88)</f>
        <v>0</v>
      </c>
      <c r="O88" s="12"/>
      <c r="P88" s="1">
        <f>SUM(OSRRefP22_18x_0)</f>
        <v>0</v>
      </c>
      <c r="Q88" s="1"/>
      <c r="R88" s="5">
        <f t="shared" ref="R88:R90" si="62">IF(P$12=0,0,P88/P$12)</f>
        <v>0</v>
      </c>
      <c r="S88" s="1"/>
      <c r="T88" s="1">
        <f>SUM(OSRRefT22_18x_0)</f>
        <v>233763.47</v>
      </c>
      <c r="U88" s="1"/>
      <c r="V88" s="5">
        <f t="shared" ref="V88:V90" si="63">IF(T$12=0,0,T88/T$12)</f>
        <v>1.6951017750509306E-2</v>
      </c>
      <c r="W88" s="1"/>
      <c r="X88" s="1">
        <f t="shared" ref="X88:X90" si="64">+P88-T88</f>
        <v>-233763.47</v>
      </c>
      <c r="Y88" s="1"/>
      <c r="Z88" s="5">
        <f t="shared" ref="Z88:Z90" si="65">IF(T88=0,0,X88/T88)</f>
        <v>-1</v>
      </c>
    </row>
    <row r="89" spans="1:26" s="23" customFormat="1" hidden="1" outlineLevel="2" x14ac:dyDescent="0.25">
      <c r="A89" s="27"/>
      <c r="B89" s="10" t="str">
        <f>CONCATENATE("          ", "6254", " - ", "ROYALTY &amp; COMMISSIONS")</f>
        <v xml:space="preserve">          6254 - ROYALTY &amp; COMMISSIONS</v>
      </c>
      <c r="C89" s="10"/>
      <c r="D89" s="6"/>
      <c r="E89" s="2"/>
      <c r="F89" s="7">
        <f t="shared" si="58"/>
        <v>0</v>
      </c>
      <c r="G89" s="2"/>
      <c r="H89" s="6"/>
      <c r="I89" s="2"/>
      <c r="J89" s="7">
        <f t="shared" si="59"/>
        <v>0</v>
      </c>
      <c r="K89" s="2"/>
      <c r="L89" s="6">
        <f t="shared" si="60"/>
        <v>0</v>
      </c>
      <c r="M89" s="2"/>
      <c r="N89" s="7">
        <f t="shared" si="61"/>
        <v>0</v>
      </c>
      <c r="O89" s="10"/>
      <c r="P89" s="6"/>
      <c r="Q89" s="2"/>
      <c r="R89" s="7">
        <f t="shared" si="62"/>
        <v>0</v>
      </c>
      <c r="S89" s="2"/>
      <c r="T89" s="6">
        <v>129093.51</v>
      </c>
      <c r="U89" s="2"/>
      <c r="V89" s="7">
        <f t="shared" si="63"/>
        <v>9.3610279633749051E-3</v>
      </c>
      <c r="W89" s="2"/>
      <c r="X89" s="6">
        <f t="shared" si="64"/>
        <v>-129093.51</v>
      </c>
      <c r="Y89" s="2"/>
      <c r="Z89" s="7">
        <f t="shared" si="65"/>
        <v>-1</v>
      </c>
    </row>
    <row r="90" spans="1:26" s="23" customFormat="1" hidden="1" outlineLevel="2" x14ac:dyDescent="0.25">
      <c r="A90" s="27"/>
      <c r="B90" s="10" t="str">
        <f>CONCATENATE("          ", "6259", " - ", "ROYALTY &amp; COMMISSIONS")</f>
        <v xml:space="preserve">          6259 - ROYALTY &amp; COMMISSIONS</v>
      </c>
      <c r="C90" s="10"/>
      <c r="D90" s="6"/>
      <c r="E90" s="2"/>
      <c r="F90" s="7">
        <f t="shared" si="58"/>
        <v>0</v>
      </c>
      <c r="G90" s="2"/>
      <c r="H90" s="6"/>
      <c r="I90" s="2"/>
      <c r="J90" s="7">
        <f t="shared" si="59"/>
        <v>0</v>
      </c>
      <c r="K90" s="2"/>
      <c r="L90" s="6">
        <f t="shared" si="60"/>
        <v>0</v>
      </c>
      <c r="M90" s="2"/>
      <c r="N90" s="7">
        <f t="shared" si="61"/>
        <v>0</v>
      </c>
      <c r="O90" s="10"/>
      <c r="P90" s="6"/>
      <c r="Q90" s="2"/>
      <c r="R90" s="7">
        <f t="shared" si="62"/>
        <v>0</v>
      </c>
      <c r="S90" s="2"/>
      <c r="T90" s="6">
        <v>104669.96</v>
      </c>
      <c r="U90" s="2"/>
      <c r="V90" s="7">
        <f t="shared" si="63"/>
        <v>7.589989787134402E-3</v>
      </c>
      <c r="W90" s="2"/>
      <c r="X90" s="6">
        <f t="shared" si="64"/>
        <v>-104669.96</v>
      </c>
      <c r="Y90" s="2"/>
      <c r="Z90" s="7">
        <f t="shared" si="65"/>
        <v>-1</v>
      </c>
    </row>
    <row r="91" spans="1:26" s="26" customFormat="1" outlineLevel="1" collapsed="1" x14ac:dyDescent="0.25">
      <c r="A91" s="25"/>
      <c r="B91" s="12" t="str">
        <f>CONCATENATE("     ","Services                                          ")</f>
        <v xml:space="preserve">     Services                                          </v>
      </c>
      <c r="C91" s="12"/>
      <c r="D91" s="1">
        <f>SUM(OSRRefD22_19x_0)</f>
        <v>20786.100000000002</v>
      </c>
      <c r="E91" s="1"/>
      <c r="F91" s="5">
        <f t="shared" ref="F91:F96" si="66">IF(D$12=0,0,D91/D$12)</f>
        <v>0.18512167198282564</v>
      </c>
      <c r="G91" s="1"/>
      <c r="H91" s="1">
        <f>SUM(OSRRefH22_19x_0)</f>
        <v>12298.58</v>
      </c>
      <c r="I91" s="1"/>
      <c r="J91" s="5">
        <f t="shared" ref="J91:J96" si="67">IF(H$12=0,0,H91/H$12)</f>
        <v>0.10131281975917059</v>
      </c>
      <c r="K91" s="1"/>
      <c r="L91" s="1">
        <f t="shared" ref="L91:L96" si="68">+D91-H91</f>
        <v>8487.5200000000023</v>
      </c>
      <c r="M91" s="1"/>
      <c r="N91" s="5">
        <f t="shared" ref="N91:N96" si="69">IF(H91=0,0,L91/H91)</f>
        <v>0.69012194903801916</v>
      </c>
      <c r="O91" s="12"/>
      <c r="P91" s="1">
        <f>SUM(OSRRefP22_19x_0)</f>
        <v>193052.65</v>
      </c>
      <c r="Q91" s="1"/>
      <c r="R91" s="5">
        <f t="shared" ref="R91:R96" si="70">IF(P$12=0,0,P91/P$12)</f>
        <v>0.1278274558429244</v>
      </c>
      <c r="S91" s="1"/>
      <c r="T91" s="1">
        <f>SUM(OSRRefT22_19x_0)</f>
        <v>400948.42999999993</v>
      </c>
      <c r="U91" s="1"/>
      <c r="V91" s="5">
        <f t="shared" ref="V91:V96" si="71">IF(T$12=0,0,T91/T$12)</f>
        <v>2.9074191763019418E-2</v>
      </c>
      <c r="W91" s="1"/>
      <c r="X91" s="1">
        <f t="shared" ref="X91:X96" si="72">+P91-T91</f>
        <v>-207895.77999999994</v>
      </c>
      <c r="Y91" s="1"/>
      <c r="Z91" s="5">
        <f t="shared" ref="Z91:Z96" si="73">IF(T91=0,0,X91/T91)</f>
        <v>-0.51851002384521117</v>
      </c>
    </row>
    <row r="92" spans="1:26" s="23" customFormat="1" hidden="1" outlineLevel="2" x14ac:dyDescent="0.25">
      <c r="A92" s="27"/>
      <c r="B92" s="10" t="str">
        <f>CONCATENATE("          ", "6282", " - ", "JANITORIAL/EXTERMINATOR EXPENS")</f>
        <v xml:space="preserve">          6282 - JANITORIAL/EXTERMINATOR EXPENS</v>
      </c>
      <c r="C92" s="10"/>
      <c r="D92" s="6">
        <v>2158.4</v>
      </c>
      <c r="E92" s="2"/>
      <c r="F92" s="7">
        <f t="shared" si="66"/>
        <v>1.922277949243633E-2</v>
      </c>
      <c r="G92" s="2"/>
      <c r="H92" s="6">
        <v>1436.53</v>
      </c>
      <c r="I92" s="2"/>
      <c r="J92" s="7">
        <f t="shared" si="67"/>
        <v>1.1833797476508777E-2</v>
      </c>
      <c r="K92" s="2"/>
      <c r="L92" s="6">
        <f t="shared" si="68"/>
        <v>721.87000000000012</v>
      </c>
      <c r="M92" s="2"/>
      <c r="N92" s="7">
        <f t="shared" si="69"/>
        <v>0.50250951946704914</v>
      </c>
      <c r="O92" s="10"/>
      <c r="P92" s="6">
        <v>26715.38</v>
      </c>
      <c r="Q92" s="2"/>
      <c r="R92" s="7">
        <f t="shared" si="70"/>
        <v>1.7689262785447107E-2</v>
      </c>
      <c r="S92" s="2"/>
      <c r="T92" s="6">
        <v>30976.57</v>
      </c>
      <c r="U92" s="2"/>
      <c r="V92" s="7">
        <f t="shared" si="71"/>
        <v>2.2462208826721048E-3</v>
      </c>
      <c r="W92" s="2"/>
      <c r="X92" s="6">
        <f t="shared" si="72"/>
        <v>-4261.1899999999987</v>
      </c>
      <c r="Y92" s="2"/>
      <c r="Z92" s="7">
        <f t="shared" si="73"/>
        <v>-0.13756171196488182</v>
      </c>
    </row>
    <row r="93" spans="1:26" s="23" customFormat="1" hidden="1" outlineLevel="2" x14ac:dyDescent="0.25">
      <c r="A93" s="27"/>
      <c r="B93" s="10" t="str">
        <f>CONCATENATE("          ", "6283", " - ", "PLANT SERVICE")</f>
        <v xml:space="preserve">          6283 - PLANT SERVICE</v>
      </c>
      <c r="C93" s="10"/>
      <c r="D93" s="6"/>
      <c r="E93" s="2"/>
      <c r="F93" s="7">
        <f t="shared" si="66"/>
        <v>0</v>
      </c>
      <c r="G93" s="2"/>
      <c r="H93" s="6"/>
      <c r="I93" s="2"/>
      <c r="J93" s="7">
        <f t="shared" si="67"/>
        <v>0</v>
      </c>
      <c r="K93" s="2"/>
      <c r="L93" s="6">
        <f t="shared" si="68"/>
        <v>0</v>
      </c>
      <c r="M93" s="2"/>
      <c r="N93" s="7">
        <f t="shared" si="69"/>
        <v>0</v>
      </c>
      <c r="O93" s="10"/>
      <c r="P93" s="6"/>
      <c r="Q93" s="2"/>
      <c r="R93" s="7">
        <f t="shared" si="70"/>
        <v>0</v>
      </c>
      <c r="S93" s="2"/>
      <c r="T93" s="6">
        <v>1798.02</v>
      </c>
      <c r="U93" s="2"/>
      <c r="V93" s="7">
        <f t="shared" si="71"/>
        <v>1.3038080302183545E-4</v>
      </c>
      <c r="W93" s="2"/>
      <c r="X93" s="6">
        <f t="shared" si="72"/>
        <v>-1798.02</v>
      </c>
      <c r="Y93" s="2"/>
      <c r="Z93" s="7">
        <f t="shared" si="73"/>
        <v>-1</v>
      </c>
    </row>
    <row r="94" spans="1:26" s="23" customFormat="1" hidden="1" outlineLevel="2" x14ac:dyDescent="0.25">
      <c r="A94" s="27"/>
      <c r="B94" s="10" t="str">
        <f>CONCATENATE("          ", "6284", " - ", "TRASH REMOVAL EXPENSE")</f>
        <v xml:space="preserve">          6284 - TRASH REMOVAL EXPENSE</v>
      </c>
      <c r="C94" s="10"/>
      <c r="D94" s="6">
        <v>5130</v>
      </c>
      <c r="E94" s="2"/>
      <c r="F94" s="7">
        <f t="shared" si="66"/>
        <v>4.5687944216177896E-2</v>
      </c>
      <c r="G94" s="2"/>
      <c r="H94" s="6">
        <v>5130</v>
      </c>
      <c r="I94" s="2"/>
      <c r="J94" s="7">
        <f t="shared" si="67"/>
        <v>4.2259737739197945E-2</v>
      </c>
      <c r="K94" s="2"/>
      <c r="L94" s="6">
        <f t="shared" si="68"/>
        <v>0</v>
      </c>
      <c r="M94" s="2"/>
      <c r="N94" s="7">
        <f t="shared" si="69"/>
        <v>0</v>
      </c>
      <c r="O94" s="10"/>
      <c r="P94" s="6">
        <v>31424.75</v>
      </c>
      <c r="Q94" s="2"/>
      <c r="R94" s="7">
        <f t="shared" si="70"/>
        <v>2.0807514649500737E-2</v>
      </c>
      <c r="S94" s="2"/>
      <c r="T94" s="6">
        <v>48541</v>
      </c>
      <c r="U94" s="2"/>
      <c r="V94" s="7">
        <f t="shared" si="71"/>
        <v>3.5198799565538288E-3</v>
      </c>
      <c r="W94" s="2"/>
      <c r="X94" s="6">
        <f t="shared" si="72"/>
        <v>-17116.25</v>
      </c>
      <c r="Y94" s="2"/>
      <c r="Z94" s="7">
        <f t="shared" si="73"/>
        <v>-0.35261428483137963</v>
      </c>
    </row>
    <row r="95" spans="1:26" s="23" customFormat="1" hidden="1" outlineLevel="2" x14ac:dyDescent="0.25">
      <c r="A95" s="27"/>
      <c r="B95" s="10" t="str">
        <f>CONCATENATE("          ", "6285", " - ", "JANITORIAL SERVICES")</f>
        <v xml:space="preserve">          6285 - JANITORIAL SERVICES</v>
      </c>
      <c r="C95" s="10"/>
      <c r="D95" s="6">
        <v>12282.71</v>
      </c>
      <c r="E95" s="2"/>
      <c r="F95" s="7">
        <f t="shared" si="66"/>
        <v>0.1093902084412262</v>
      </c>
      <c r="G95" s="2"/>
      <c r="H95" s="6">
        <v>5732.05</v>
      </c>
      <c r="I95" s="2"/>
      <c r="J95" s="7">
        <f t="shared" si="67"/>
        <v>4.7219284543463858E-2</v>
      </c>
      <c r="K95" s="2"/>
      <c r="L95" s="6">
        <f t="shared" si="68"/>
        <v>6550.6599999999989</v>
      </c>
      <c r="M95" s="2"/>
      <c r="N95" s="7">
        <f t="shared" si="69"/>
        <v>1.1428127807677879</v>
      </c>
      <c r="O95" s="10"/>
      <c r="P95" s="6">
        <v>118205.15</v>
      </c>
      <c r="Q95" s="2"/>
      <c r="R95" s="7">
        <f t="shared" si="70"/>
        <v>7.8268097288647698E-2</v>
      </c>
      <c r="S95" s="2"/>
      <c r="T95" s="6">
        <v>251084.24</v>
      </c>
      <c r="U95" s="2"/>
      <c r="V95" s="7">
        <f t="shared" si="71"/>
        <v>1.8207008174173402E-2</v>
      </c>
      <c r="W95" s="2"/>
      <c r="X95" s="6">
        <f t="shared" si="72"/>
        <v>-132879.09</v>
      </c>
      <c r="Y95" s="2"/>
      <c r="Z95" s="7">
        <f t="shared" si="73"/>
        <v>-0.52922114904543593</v>
      </c>
    </row>
    <row r="96" spans="1:26" s="23" customFormat="1" hidden="1" outlineLevel="2" x14ac:dyDescent="0.25">
      <c r="A96" s="27"/>
      <c r="B96" s="10" t="str">
        <f>CONCATENATE("          ", "6286", " - ", "LAUNDRY EXPENSE")</f>
        <v xml:space="preserve">          6286 - LAUNDRY EXPENSE</v>
      </c>
      <c r="C96" s="10"/>
      <c r="D96" s="6">
        <v>1214.99</v>
      </c>
      <c r="E96" s="2"/>
      <c r="F96" s="7">
        <f t="shared" si="66"/>
        <v>1.0820739832985182E-2</v>
      </c>
      <c r="G96" s="2"/>
      <c r="H96" s="6"/>
      <c r="I96" s="2"/>
      <c r="J96" s="7">
        <f t="shared" si="67"/>
        <v>0</v>
      </c>
      <c r="K96" s="2"/>
      <c r="L96" s="6">
        <f t="shared" si="68"/>
        <v>1214.99</v>
      </c>
      <c r="M96" s="2"/>
      <c r="N96" s="7">
        <f t="shared" si="69"/>
        <v>0</v>
      </c>
      <c r="O96" s="10"/>
      <c r="P96" s="6">
        <v>16707.37</v>
      </c>
      <c r="Q96" s="2"/>
      <c r="R96" s="7">
        <f t="shared" si="70"/>
        <v>1.1062581119328844E-2</v>
      </c>
      <c r="S96" s="2"/>
      <c r="T96" s="6">
        <v>68548.600000000006</v>
      </c>
      <c r="U96" s="2"/>
      <c r="V96" s="7">
        <f t="shared" si="71"/>
        <v>4.970701946598253E-3</v>
      </c>
      <c r="W96" s="2"/>
      <c r="X96" s="6">
        <f t="shared" si="72"/>
        <v>-51841.23000000001</v>
      </c>
      <c r="Y96" s="2"/>
      <c r="Z96" s="7">
        <f t="shared" si="73"/>
        <v>-0.75626971229171724</v>
      </c>
    </row>
    <row r="97" spans="1:26" s="26" customFormat="1" outlineLevel="1" collapsed="1" x14ac:dyDescent="0.25">
      <c r="A97" s="25"/>
      <c r="B97" s="12" t="str">
        <f>CONCATENATE("     ","Subscriptions &amp; Dues                              ")</f>
        <v xml:space="preserve">     Subscriptions &amp; Dues                              </v>
      </c>
      <c r="C97" s="12"/>
      <c r="D97" s="1">
        <f>SUM(OSRRefD22_20x_0)</f>
        <v>132.16999999999999</v>
      </c>
      <c r="E97" s="1"/>
      <c r="F97" s="5">
        <f t="shared" ref="F97:F99" si="74">IF(D$12=0,0,D97/D$12)</f>
        <v>1.1771102508873748E-3</v>
      </c>
      <c r="G97" s="1"/>
      <c r="H97" s="1">
        <f>SUM(OSRRefH22_20x_0)</f>
        <v>0</v>
      </c>
      <c r="I97" s="1"/>
      <c r="J97" s="5">
        <f t="shared" ref="J97:J99" si="75">IF(H$12=0,0,H97/H$12)</f>
        <v>0</v>
      </c>
      <c r="K97" s="1"/>
      <c r="L97" s="1">
        <f t="shared" ref="L97:L99" si="76">+D97-H97</f>
        <v>132.16999999999999</v>
      </c>
      <c r="M97" s="1"/>
      <c r="N97" s="5">
        <f t="shared" ref="N97:N99" si="77">IF(H97=0,0,L97/H97)</f>
        <v>0</v>
      </c>
      <c r="O97" s="12"/>
      <c r="P97" s="1">
        <f>SUM(OSRRefP22_20x_0)</f>
        <v>1843.25</v>
      </c>
      <c r="Q97" s="1"/>
      <c r="R97" s="5">
        <f t="shared" ref="R97:R99" si="78">IF(P$12=0,0,P97/P$12)</f>
        <v>1.2204854892303753E-3</v>
      </c>
      <c r="S97" s="1"/>
      <c r="T97" s="1">
        <f>SUM(OSRRefT22_20x_0)</f>
        <v>7300.55</v>
      </c>
      <c r="U97" s="1"/>
      <c r="V97" s="5">
        <f t="shared" ref="V97:V99" si="79">IF(T$12=0,0,T97/T$12)</f>
        <v>5.2938875624356841E-4</v>
      </c>
      <c r="W97" s="1"/>
      <c r="X97" s="1">
        <f t="shared" ref="X97:X99" si="80">+P97-T97</f>
        <v>-5457.3</v>
      </c>
      <c r="Y97" s="1"/>
      <c r="Z97" s="5">
        <f t="shared" ref="Z97:Z99" si="81">IF(T97=0,0,X97/T97)</f>
        <v>-0.74751902253939773</v>
      </c>
    </row>
    <row r="98" spans="1:26" s="23" customFormat="1" hidden="1" outlineLevel="2" x14ac:dyDescent="0.25">
      <c r="A98" s="27"/>
      <c r="B98" s="10" t="str">
        <f>CONCATENATE("          ", "6258", " - ", "MEMBERSHIP DUES")</f>
        <v xml:space="preserve">          6258 - MEMBERSHIP DUES</v>
      </c>
      <c r="C98" s="10"/>
      <c r="D98" s="6"/>
      <c r="E98" s="2"/>
      <c r="F98" s="7">
        <f t="shared" si="74"/>
        <v>0</v>
      </c>
      <c r="G98" s="2"/>
      <c r="H98" s="6"/>
      <c r="I98" s="2"/>
      <c r="J98" s="7">
        <f t="shared" si="75"/>
        <v>0</v>
      </c>
      <c r="K98" s="2"/>
      <c r="L98" s="6">
        <f t="shared" si="76"/>
        <v>0</v>
      </c>
      <c r="M98" s="2"/>
      <c r="N98" s="7">
        <f t="shared" si="77"/>
        <v>0</v>
      </c>
      <c r="O98" s="10"/>
      <c r="P98" s="6">
        <v>795</v>
      </c>
      <c r="Q98" s="2"/>
      <c r="R98" s="7">
        <f t="shared" si="78"/>
        <v>5.2639954641971968E-4</v>
      </c>
      <c r="S98" s="2"/>
      <c r="T98" s="6">
        <v>3730</v>
      </c>
      <c r="U98" s="2"/>
      <c r="V98" s="7">
        <f t="shared" si="79"/>
        <v>2.7047552044551579E-4</v>
      </c>
      <c r="W98" s="2"/>
      <c r="X98" s="6">
        <f t="shared" si="80"/>
        <v>-2935</v>
      </c>
      <c r="Y98" s="2"/>
      <c r="Z98" s="7">
        <f t="shared" si="81"/>
        <v>-0.78686327077747986</v>
      </c>
    </row>
    <row r="99" spans="1:26" s="23" customFormat="1" hidden="1" outlineLevel="2" x14ac:dyDescent="0.25">
      <c r="A99" s="27"/>
      <c r="B99" s="10" t="str">
        <f>CONCATENATE("          ", "6275", " - ", "SUBSCRIPTIONS")</f>
        <v xml:space="preserve">          6275 - SUBSCRIPTIONS</v>
      </c>
      <c r="C99" s="10"/>
      <c r="D99" s="6">
        <v>132.16999999999999</v>
      </c>
      <c r="E99" s="2"/>
      <c r="F99" s="7">
        <f t="shared" si="74"/>
        <v>1.1771102508873748E-3</v>
      </c>
      <c r="G99" s="2"/>
      <c r="H99" s="6"/>
      <c r="I99" s="2"/>
      <c r="J99" s="7">
        <f t="shared" si="75"/>
        <v>0</v>
      </c>
      <c r="K99" s="2"/>
      <c r="L99" s="6">
        <f t="shared" si="76"/>
        <v>132.16999999999999</v>
      </c>
      <c r="M99" s="2"/>
      <c r="N99" s="7">
        <f t="shared" si="77"/>
        <v>0</v>
      </c>
      <c r="O99" s="10"/>
      <c r="P99" s="6">
        <v>1048.25</v>
      </c>
      <c r="Q99" s="2"/>
      <c r="R99" s="7">
        <f t="shared" si="78"/>
        <v>6.9408594281065549E-4</v>
      </c>
      <c r="S99" s="2"/>
      <c r="T99" s="6">
        <v>3570.55</v>
      </c>
      <c r="U99" s="2"/>
      <c r="V99" s="7">
        <f t="shared" si="79"/>
        <v>2.5891323579805263E-4</v>
      </c>
      <c r="W99" s="2"/>
      <c r="X99" s="6">
        <f t="shared" si="80"/>
        <v>-2522.3000000000002</v>
      </c>
      <c r="Y99" s="2"/>
      <c r="Z99" s="7">
        <f t="shared" si="81"/>
        <v>-0.70641777877357836</v>
      </c>
    </row>
    <row r="100" spans="1:26" s="26" customFormat="1" outlineLevel="1" collapsed="1" x14ac:dyDescent="0.25">
      <c r="A100" s="25"/>
      <c r="B100" s="12" t="str">
        <f>CONCATENATE("     ","Supplies                                          ")</f>
        <v xml:space="preserve">     Supplies                                          </v>
      </c>
      <c r="C100" s="12"/>
      <c r="D100" s="1">
        <f>SUM(OSRRefD22_21x_0)</f>
        <v>9784.5600000000013</v>
      </c>
      <c r="E100" s="1"/>
      <c r="F100" s="5">
        <f t="shared" ref="F100:F110" si="82">IF(D$12=0,0,D100/D$12)</f>
        <v>8.7141604573069326E-2</v>
      </c>
      <c r="G100" s="1"/>
      <c r="H100" s="1">
        <f>SUM(OSRRefH22_21x_0)</f>
        <v>4563.84</v>
      </c>
      <c r="I100" s="1"/>
      <c r="J100" s="5">
        <f t="shared" ref="J100:J110" si="83">IF(H$12=0,0,H100/H$12)</f>
        <v>3.7595844343793601E-2</v>
      </c>
      <c r="K100" s="1"/>
      <c r="L100" s="1">
        <f t="shared" ref="L100:L110" si="84">+D100-H100</f>
        <v>5220.7200000000012</v>
      </c>
      <c r="M100" s="1"/>
      <c r="N100" s="5">
        <f t="shared" ref="N100:N110" si="85">IF(H100=0,0,L100/H100)</f>
        <v>1.1439314261674383</v>
      </c>
      <c r="O100" s="12"/>
      <c r="P100" s="1">
        <f>SUM(OSRRefP22_21x_0)</f>
        <v>122497.12</v>
      </c>
      <c r="Q100" s="1"/>
      <c r="R100" s="5">
        <f t="shared" ref="R100:R110" si="86">IF(P$12=0,0,P100/P$12)</f>
        <v>8.1109972837386121E-2</v>
      </c>
      <c r="S100" s="1"/>
      <c r="T100" s="1">
        <f>SUM(OSRRefT22_21x_0)</f>
        <v>361379.11000000004</v>
      </c>
      <c r="U100" s="1"/>
      <c r="V100" s="5">
        <f t="shared" ref="V100:V110" si="87">IF(T$12=0,0,T100/T$12)</f>
        <v>2.6204880122087749E-2</v>
      </c>
      <c r="W100" s="1"/>
      <c r="X100" s="1">
        <f t="shared" ref="X100:X110" si="88">+P100-T100</f>
        <v>-238881.99000000005</v>
      </c>
      <c r="Y100" s="1"/>
      <c r="Z100" s="5">
        <f t="shared" ref="Z100:Z110" si="89">IF(T100=0,0,X100/T100)</f>
        <v>-0.661028773910036</v>
      </c>
    </row>
    <row r="101" spans="1:26" s="23" customFormat="1" hidden="1" outlineLevel="2" x14ac:dyDescent="0.25">
      <c r="A101" s="27"/>
      <c r="B101" s="10" t="str">
        <f>CONCATENATE("          ", "6234", " - ", "EXPENDABLE SUPPLIES &amp; EQUIPMEN")</f>
        <v xml:space="preserve">          6234 - EXPENDABLE SUPPLIES &amp; EQUIPMEN</v>
      </c>
      <c r="C101" s="10"/>
      <c r="D101" s="6"/>
      <c r="E101" s="2"/>
      <c r="F101" s="7">
        <f t="shared" si="82"/>
        <v>0</v>
      </c>
      <c r="G101" s="2"/>
      <c r="H101" s="6"/>
      <c r="I101" s="2"/>
      <c r="J101" s="7">
        <f t="shared" si="83"/>
        <v>0</v>
      </c>
      <c r="K101" s="2"/>
      <c r="L101" s="6">
        <f t="shared" si="84"/>
        <v>0</v>
      </c>
      <c r="M101" s="2"/>
      <c r="N101" s="7">
        <f t="shared" si="85"/>
        <v>0</v>
      </c>
      <c r="O101" s="10"/>
      <c r="P101" s="6">
        <v>337.16</v>
      </c>
      <c r="Q101" s="2"/>
      <c r="R101" s="7">
        <f t="shared" si="86"/>
        <v>2.2324637870550025E-4</v>
      </c>
      <c r="S101" s="2"/>
      <c r="T101" s="6">
        <v>14804.83</v>
      </c>
      <c r="U101" s="2"/>
      <c r="V101" s="7">
        <f t="shared" si="87"/>
        <v>1.0735506968786556E-3</v>
      </c>
      <c r="W101" s="2"/>
      <c r="X101" s="6">
        <f t="shared" si="88"/>
        <v>-14467.67</v>
      </c>
      <c r="Y101" s="2"/>
      <c r="Z101" s="7">
        <f t="shared" si="89"/>
        <v>-0.97722635113000289</v>
      </c>
    </row>
    <row r="102" spans="1:26" s="23" customFormat="1" hidden="1" outlineLevel="2" x14ac:dyDescent="0.25">
      <c r="A102" s="27"/>
      <c r="B102" s="10" t="str">
        <f>CONCATENATE("          ", "6235", " - ", "COVID-19 EXPENSES")</f>
        <v xml:space="preserve">          6235 - COVID-19 EXPENSES</v>
      </c>
      <c r="C102" s="10"/>
      <c r="D102" s="6">
        <v>2921.2</v>
      </c>
      <c r="E102" s="2"/>
      <c r="F102" s="7">
        <f t="shared" si="82"/>
        <v>2.6016300710389642E-2</v>
      </c>
      <c r="G102" s="2"/>
      <c r="H102" s="6">
        <v>1951.11</v>
      </c>
      <c r="I102" s="2"/>
      <c r="J102" s="7">
        <f t="shared" si="83"/>
        <v>1.6072786920141618E-2</v>
      </c>
      <c r="K102" s="2"/>
      <c r="L102" s="6">
        <f t="shared" si="84"/>
        <v>970.08999999999992</v>
      </c>
      <c r="M102" s="2"/>
      <c r="N102" s="7">
        <f t="shared" si="85"/>
        <v>0.49719903029557533</v>
      </c>
      <c r="O102" s="10"/>
      <c r="P102" s="6">
        <v>66359.259999999995</v>
      </c>
      <c r="Q102" s="2"/>
      <c r="R102" s="7">
        <f t="shared" si="86"/>
        <v>4.393897404370848E-2</v>
      </c>
      <c r="S102" s="2"/>
      <c r="T102" s="6">
        <v>1951.11</v>
      </c>
      <c r="U102" s="2"/>
      <c r="V102" s="7">
        <f t="shared" si="87"/>
        <v>1.4148190152719846E-4</v>
      </c>
      <c r="W102" s="2"/>
      <c r="X102" s="6">
        <f t="shared" si="88"/>
        <v>64408.149999999994</v>
      </c>
      <c r="Y102" s="2"/>
      <c r="Z102" s="7">
        <f t="shared" si="89"/>
        <v>33.011029619037366</v>
      </c>
    </row>
    <row r="103" spans="1:26" s="23" customFormat="1" hidden="1" outlineLevel="2" x14ac:dyDescent="0.25">
      <c r="A103" s="27"/>
      <c r="B103" s="10" t="str">
        <f>CONCATENATE("          ", "6237", " - ", "JANITORIAL SUPPLIES")</f>
        <v xml:space="preserve">          6237 - JANITORIAL SUPPLIES</v>
      </c>
      <c r="C103" s="10"/>
      <c r="D103" s="6">
        <v>1395.01</v>
      </c>
      <c r="E103" s="2"/>
      <c r="F103" s="7">
        <f t="shared" si="82"/>
        <v>1.2424003715596555E-2</v>
      </c>
      <c r="G103" s="2"/>
      <c r="H103" s="6">
        <v>1123.01</v>
      </c>
      <c r="I103" s="2"/>
      <c r="J103" s="7">
        <f t="shared" si="83"/>
        <v>9.2510931926894132E-3</v>
      </c>
      <c r="K103" s="2"/>
      <c r="L103" s="6">
        <f t="shared" si="84"/>
        <v>272</v>
      </c>
      <c r="M103" s="2"/>
      <c r="N103" s="7">
        <f t="shared" si="85"/>
        <v>0.24220621365793715</v>
      </c>
      <c r="O103" s="10"/>
      <c r="P103" s="6">
        <v>23495.64</v>
      </c>
      <c r="Q103" s="2"/>
      <c r="R103" s="7">
        <f t="shared" si="86"/>
        <v>1.5557351243825185E-2</v>
      </c>
      <c r="S103" s="2"/>
      <c r="T103" s="6">
        <v>122687.93</v>
      </c>
      <c r="U103" s="2"/>
      <c r="V103" s="7">
        <f t="shared" si="87"/>
        <v>8.8965366539230581E-3</v>
      </c>
      <c r="W103" s="2"/>
      <c r="X103" s="6">
        <f t="shared" si="88"/>
        <v>-99192.29</v>
      </c>
      <c r="Y103" s="2"/>
      <c r="Z103" s="7">
        <f t="shared" si="89"/>
        <v>-0.80849265286324412</v>
      </c>
    </row>
    <row r="104" spans="1:26" s="23" customFormat="1" hidden="1" outlineLevel="2" x14ac:dyDescent="0.25">
      <c r="A104" s="27"/>
      <c r="B104" s="10" t="str">
        <f>CONCATENATE("          ", "6239", " - ", "KITCHEN SUPPLIES")</f>
        <v xml:space="preserve">          6239 - KITCHEN SUPPLIES</v>
      </c>
      <c r="C104" s="10"/>
      <c r="D104" s="6">
        <v>618.89</v>
      </c>
      <c r="E104" s="2"/>
      <c r="F104" s="7">
        <f t="shared" si="82"/>
        <v>5.5118541512573756E-3</v>
      </c>
      <c r="G104" s="2"/>
      <c r="H104" s="6">
        <v>50</v>
      </c>
      <c r="I104" s="2"/>
      <c r="J104" s="7">
        <f t="shared" si="83"/>
        <v>4.118882820584595E-4</v>
      </c>
      <c r="K104" s="2"/>
      <c r="L104" s="6">
        <f t="shared" si="84"/>
        <v>568.89</v>
      </c>
      <c r="M104" s="2"/>
      <c r="N104" s="7">
        <f t="shared" si="85"/>
        <v>11.377800000000001</v>
      </c>
      <c r="O104" s="10"/>
      <c r="P104" s="6">
        <v>7886.1</v>
      </c>
      <c r="Q104" s="2"/>
      <c r="R104" s="7">
        <f t="shared" si="86"/>
        <v>5.2216848591453476E-3</v>
      </c>
      <c r="S104" s="2"/>
      <c r="T104" s="6">
        <v>72374.13</v>
      </c>
      <c r="U104" s="2"/>
      <c r="V104" s="7">
        <f t="shared" si="87"/>
        <v>5.2481046859360371E-3</v>
      </c>
      <c r="W104" s="2"/>
      <c r="X104" s="6">
        <f t="shared" si="88"/>
        <v>-64488.030000000006</v>
      </c>
      <c r="Y104" s="2"/>
      <c r="Z104" s="7">
        <f t="shared" si="89"/>
        <v>-0.89103703215499797</v>
      </c>
    </row>
    <row r="105" spans="1:26" s="23" customFormat="1" hidden="1" outlineLevel="2" x14ac:dyDescent="0.25">
      <c r="A105" s="27"/>
      <c r="B105" s="10" t="str">
        <f>CONCATENATE("          ", "6241", " - ", "OFFICE EXPENSE")</f>
        <v xml:space="preserve">          6241 - OFFICE EXPENSE</v>
      </c>
      <c r="C105" s="10"/>
      <c r="D105" s="6">
        <v>1506.51</v>
      </c>
      <c r="E105" s="2"/>
      <c r="F105" s="7">
        <f t="shared" si="82"/>
        <v>1.3417026284817576E-2</v>
      </c>
      <c r="G105" s="2"/>
      <c r="H105" s="6">
        <v>177.61</v>
      </c>
      <c r="I105" s="2"/>
      <c r="J105" s="7">
        <f t="shared" si="83"/>
        <v>1.4631095555280599E-3</v>
      </c>
      <c r="K105" s="2"/>
      <c r="L105" s="6">
        <f t="shared" si="84"/>
        <v>1328.9</v>
      </c>
      <c r="M105" s="2"/>
      <c r="N105" s="7">
        <f t="shared" si="85"/>
        <v>7.4821237542931138</v>
      </c>
      <c r="O105" s="10"/>
      <c r="P105" s="6">
        <v>-19055.830000000002</v>
      </c>
      <c r="Q105" s="2"/>
      <c r="R105" s="7">
        <f t="shared" si="86"/>
        <v>-1.2617585243586525E-2</v>
      </c>
      <c r="S105" s="2"/>
      <c r="T105" s="6">
        <v>46317.13</v>
      </c>
      <c r="U105" s="2"/>
      <c r="V105" s="7">
        <f t="shared" si="87"/>
        <v>3.3586192606682602E-3</v>
      </c>
      <c r="W105" s="2"/>
      <c r="X105" s="6">
        <f t="shared" si="88"/>
        <v>-65372.959999999999</v>
      </c>
      <c r="Y105" s="2"/>
      <c r="Z105" s="7">
        <f t="shared" si="89"/>
        <v>-1.4114207853552239</v>
      </c>
    </row>
    <row r="106" spans="1:26" s="23" customFormat="1" hidden="1" outlineLevel="2" x14ac:dyDescent="0.25">
      <c r="A106" s="27"/>
      <c r="B106" s="10" t="str">
        <f>CONCATENATE("          ", "6243", " - ", "PAPER SUPPLIES")</f>
        <v xml:space="preserve">          6243 - PAPER SUPPLIES</v>
      </c>
      <c r="C106" s="10"/>
      <c r="D106" s="6">
        <v>3342.95</v>
      </c>
      <c r="E106" s="2"/>
      <c r="F106" s="7">
        <f t="shared" si="82"/>
        <v>2.9772419711008167E-2</v>
      </c>
      <c r="G106" s="2"/>
      <c r="H106" s="6">
        <v>1262.1099999999999</v>
      </c>
      <c r="I106" s="2"/>
      <c r="J106" s="7">
        <f t="shared" si="83"/>
        <v>1.0396966393376046E-2</v>
      </c>
      <c r="K106" s="2"/>
      <c r="L106" s="6">
        <f t="shared" si="84"/>
        <v>2080.84</v>
      </c>
      <c r="M106" s="2"/>
      <c r="N106" s="7">
        <f t="shared" si="85"/>
        <v>1.6486994002107584</v>
      </c>
      <c r="O106" s="10"/>
      <c r="P106" s="6">
        <v>38974.199999999997</v>
      </c>
      <c r="Q106" s="2"/>
      <c r="R106" s="7">
        <f t="shared" si="86"/>
        <v>2.5806290820215644E-2</v>
      </c>
      <c r="S106" s="2"/>
      <c r="T106" s="6">
        <v>89108.4</v>
      </c>
      <c r="U106" s="2"/>
      <c r="V106" s="7">
        <f t="shared" si="87"/>
        <v>6.4615659158357092E-3</v>
      </c>
      <c r="W106" s="2"/>
      <c r="X106" s="6">
        <f t="shared" si="88"/>
        <v>-50134.2</v>
      </c>
      <c r="Y106" s="2"/>
      <c r="Z106" s="7">
        <f t="shared" si="89"/>
        <v>-0.56262035902339169</v>
      </c>
    </row>
    <row r="107" spans="1:26" s="23" customFormat="1" hidden="1" outlineLevel="2" x14ac:dyDescent="0.25">
      <c r="A107" s="27"/>
      <c r="B107" s="10" t="str">
        <f>CONCATENATE("          ", "6245", " - ", "PRINTING")</f>
        <v xml:space="preserve">          6245 - PRINTING</v>
      </c>
      <c r="C107" s="10"/>
      <c r="D107" s="6"/>
      <c r="E107" s="2"/>
      <c r="F107" s="7">
        <f t="shared" si="82"/>
        <v>0</v>
      </c>
      <c r="G107" s="2"/>
      <c r="H107" s="6"/>
      <c r="I107" s="2"/>
      <c r="J107" s="7">
        <f t="shared" si="83"/>
        <v>0</v>
      </c>
      <c r="K107" s="2"/>
      <c r="L107" s="6">
        <f t="shared" si="84"/>
        <v>0</v>
      </c>
      <c r="M107" s="2"/>
      <c r="N107" s="7">
        <f t="shared" si="85"/>
        <v>0</v>
      </c>
      <c r="O107" s="10"/>
      <c r="P107" s="6"/>
      <c r="Q107" s="2"/>
      <c r="R107" s="7">
        <f t="shared" si="86"/>
        <v>0</v>
      </c>
      <c r="S107" s="2"/>
      <c r="T107" s="6">
        <v>1882.72</v>
      </c>
      <c r="U107" s="2"/>
      <c r="V107" s="7">
        <f t="shared" si="87"/>
        <v>1.3652270022873497E-4</v>
      </c>
      <c r="W107" s="2"/>
      <c r="X107" s="6">
        <f t="shared" si="88"/>
        <v>-1882.72</v>
      </c>
      <c r="Y107" s="2"/>
      <c r="Z107" s="7">
        <f t="shared" si="89"/>
        <v>-1</v>
      </c>
    </row>
    <row r="108" spans="1:26" s="23" customFormat="1" hidden="1" outlineLevel="2" x14ac:dyDescent="0.25">
      <c r="A108" s="27"/>
      <c r="B108" s="10" t="str">
        <f>CONCATENATE("          ", "6246", " - ", "REPLACEMENTS")</f>
        <v xml:space="preserve">          6246 - REPLACEMENTS</v>
      </c>
      <c r="C108" s="10"/>
      <c r="D108" s="6"/>
      <c r="E108" s="2"/>
      <c r="F108" s="7">
        <f t="shared" si="82"/>
        <v>0</v>
      </c>
      <c r="G108" s="2"/>
      <c r="H108" s="6"/>
      <c r="I108" s="2"/>
      <c r="J108" s="7">
        <f t="shared" si="83"/>
        <v>0</v>
      </c>
      <c r="K108" s="2"/>
      <c r="L108" s="6">
        <f t="shared" si="84"/>
        <v>0</v>
      </c>
      <c r="M108" s="2"/>
      <c r="N108" s="7">
        <f t="shared" si="85"/>
        <v>0</v>
      </c>
      <c r="O108" s="10"/>
      <c r="P108" s="6"/>
      <c r="Q108" s="2"/>
      <c r="R108" s="7">
        <f t="shared" si="86"/>
        <v>0</v>
      </c>
      <c r="S108" s="2"/>
      <c r="T108" s="6">
        <v>25.87</v>
      </c>
      <c r="U108" s="2"/>
      <c r="V108" s="7">
        <f t="shared" si="87"/>
        <v>1.8759253924733225E-6</v>
      </c>
      <c r="W108" s="2"/>
      <c r="X108" s="6">
        <f t="shared" si="88"/>
        <v>-25.87</v>
      </c>
      <c r="Y108" s="2"/>
      <c r="Z108" s="7">
        <f t="shared" si="89"/>
        <v>-1</v>
      </c>
    </row>
    <row r="109" spans="1:26" s="23" customFormat="1" hidden="1" outlineLevel="2" x14ac:dyDescent="0.25">
      <c r="A109" s="27"/>
      <c r="B109" s="10" t="str">
        <f>CONCATENATE("          ", "6247", " - ", "STORE SUPPLIES")</f>
        <v xml:space="preserve">          6247 - STORE SUPPLIES</v>
      </c>
      <c r="C109" s="10"/>
      <c r="D109" s="6"/>
      <c r="E109" s="2"/>
      <c r="F109" s="7">
        <f t="shared" si="82"/>
        <v>0</v>
      </c>
      <c r="G109" s="2"/>
      <c r="H109" s="6"/>
      <c r="I109" s="2"/>
      <c r="J109" s="7">
        <f t="shared" si="83"/>
        <v>0</v>
      </c>
      <c r="K109" s="2"/>
      <c r="L109" s="6">
        <f t="shared" si="84"/>
        <v>0</v>
      </c>
      <c r="M109" s="2"/>
      <c r="N109" s="7">
        <f t="shared" si="85"/>
        <v>0</v>
      </c>
      <c r="O109" s="10"/>
      <c r="P109" s="6"/>
      <c r="Q109" s="2"/>
      <c r="R109" s="7">
        <f t="shared" si="86"/>
        <v>0</v>
      </c>
      <c r="S109" s="2"/>
      <c r="T109" s="6">
        <v>7629.9</v>
      </c>
      <c r="U109" s="2"/>
      <c r="V109" s="7">
        <f t="shared" si="87"/>
        <v>5.5327109207700827E-4</v>
      </c>
      <c r="W109" s="2"/>
      <c r="X109" s="6">
        <f t="shared" si="88"/>
        <v>-7629.9</v>
      </c>
      <c r="Y109" s="2"/>
      <c r="Z109" s="7">
        <f t="shared" si="89"/>
        <v>-1</v>
      </c>
    </row>
    <row r="110" spans="1:26" s="23" customFormat="1" hidden="1" outlineLevel="2" x14ac:dyDescent="0.25">
      <c r="A110" s="27"/>
      <c r="B110" s="10" t="str">
        <f>CONCATENATE("          ", "6248", " - ", "UNIFORMS")</f>
        <v xml:space="preserve">          6248 - UNIFORMS</v>
      </c>
      <c r="C110" s="10"/>
      <c r="D110" s="6"/>
      <c r="E110" s="2"/>
      <c r="F110" s="7">
        <f t="shared" si="82"/>
        <v>0</v>
      </c>
      <c r="G110" s="2"/>
      <c r="H110" s="6"/>
      <c r="I110" s="2"/>
      <c r="J110" s="7">
        <f t="shared" si="83"/>
        <v>0</v>
      </c>
      <c r="K110" s="2"/>
      <c r="L110" s="6">
        <f t="shared" si="84"/>
        <v>0</v>
      </c>
      <c r="M110" s="2"/>
      <c r="N110" s="7">
        <f t="shared" si="85"/>
        <v>0</v>
      </c>
      <c r="O110" s="10"/>
      <c r="P110" s="6">
        <v>4500.59</v>
      </c>
      <c r="Q110" s="2"/>
      <c r="R110" s="7">
        <f t="shared" si="86"/>
        <v>2.9800107353724859E-3</v>
      </c>
      <c r="S110" s="2"/>
      <c r="T110" s="6">
        <v>4597.09</v>
      </c>
      <c r="U110" s="2"/>
      <c r="V110" s="7">
        <f t="shared" si="87"/>
        <v>3.3335128962061022E-4</v>
      </c>
      <c r="W110" s="2"/>
      <c r="X110" s="6">
        <f t="shared" si="88"/>
        <v>-96.5</v>
      </c>
      <c r="Y110" s="2"/>
      <c r="Z110" s="7">
        <f t="shared" si="89"/>
        <v>-2.0991540300494441E-2</v>
      </c>
    </row>
    <row r="111" spans="1:26" s="26" customFormat="1" outlineLevel="1" collapsed="1" x14ac:dyDescent="0.25">
      <c r="A111" s="25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SUM(OSRRefD22_22x_0)</f>
        <v>1022.1</v>
      </c>
      <c r="E111" s="1"/>
      <c r="F111" s="5">
        <f t="shared" ref="F111:F118" si="90">IF(D$12=0,0,D111/D$12)</f>
        <v>9.1028553183928711E-3</v>
      </c>
      <c r="G111" s="1"/>
      <c r="H111" s="1">
        <f>SUM(OSRRefH22_22x_0)</f>
        <v>2130.15</v>
      </c>
      <c r="I111" s="1"/>
      <c r="J111" s="5">
        <f t="shared" ref="J111:J118" si="91">IF(H$12=0,0,H111/H$12)</f>
        <v>1.7547676480536553E-2</v>
      </c>
      <c r="K111" s="1"/>
      <c r="L111" s="1">
        <f t="shared" ref="L111:L118" si="92">+D111-H111</f>
        <v>-1108.0500000000002</v>
      </c>
      <c r="M111" s="1"/>
      <c r="N111" s="5">
        <f t="shared" ref="N111:N118" si="93">IF(H111=0,0,L111/H111)</f>
        <v>-0.52017463558904309</v>
      </c>
      <c r="O111" s="12"/>
      <c r="P111" s="1">
        <f>SUM(OSRRefP22_22x_0)</f>
        <v>11643.43</v>
      </c>
      <c r="Q111" s="1"/>
      <c r="R111" s="5">
        <f t="shared" ref="R111:R118" si="94">IF(P$12=0,0,P111/P$12)</f>
        <v>7.7095550575720208E-3</v>
      </c>
      <c r="S111" s="1"/>
      <c r="T111" s="1">
        <f>SUM(OSRRefT22_22x_0)</f>
        <v>27705.97</v>
      </c>
      <c r="U111" s="1"/>
      <c r="V111" s="5">
        <f t="shared" ref="V111:V118" si="95">IF(T$12=0,0,T111/T$12)</f>
        <v>2.0090580845034444E-3</v>
      </c>
      <c r="W111" s="1"/>
      <c r="X111" s="1">
        <f t="shared" ref="X111:X118" si="96">+P111-T111</f>
        <v>-16062.54</v>
      </c>
      <c r="Y111" s="1"/>
      <c r="Z111" s="5">
        <f t="shared" ref="Z111:Z118" si="97">IF(T111=0,0,X111/T111)</f>
        <v>-0.57975014049318618</v>
      </c>
    </row>
    <row r="112" spans="1:26" s="23" customFormat="1" hidden="1" outlineLevel="2" x14ac:dyDescent="0.25">
      <c r="A112" s="27"/>
      <c r="B112" s="10" t="str">
        <f>CONCATENATE("          ", "6309", " - ", "TELEPHONE")</f>
        <v xml:space="preserve">          6309 - TELEPHONE</v>
      </c>
      <c r="C112" s="10"/>
      <c r="D112" s="6">
        <v>1022.1</v>
      </c>
      <c r="E112" s="2"/>
      <c r="F112" s="7">
        <f t="shared" si="90"/>
        <v>9.1028553183928711E-3</v>
      </c>
      <c r="G112" s="2"/>
      <c r="H112" s="6">
        <v>2130.15</v>
      </c>
      <c r="I112" s="2"/>
      <c r="J112" s="7">
        <f t="shared" si="91"/>
        <v>1.7547676480536553E-2</v>
      </c>
      <c r="K112" s="2"/>
      <c r="L112" s="6">
        <f t="shared" si="92"/>
        <v>-1108.0500000000002</v>
      </c>
      <c r="M112" s="2"/>
      <c r="N112" s="7">
        <f t="shared" si="93"/>
        <v>-0.52017463558904309</v>
      </c>
      <c r="O112" s="10"/>
      <c r="P112" s="6">
        <v>11643.43</v>
      </c>
      <c r="Q112" s="2"/>
      <c r="R112" s="7">
        <f t="shared" si="94"/>
        <v>7.7095550575720208E-3</v>
      </c>
      <c r="S112" s="2"/>
      <c r="T112" s="6">
        <v>27705.97</v>
      </c>
      <c r="U112" s="2"/>
      <c r="V112" s="7">
        <f t="shared" si="95"/>
        <v>2.0090580845034444E-3</v>
      </c>
      <c r="W112" s="2"/>
      <c r="X112" s="6">
        <f t="shared" si="96"/>
        <v>-16062.54</v>
      </c>
      <c r="Y112" s="2"/>
      <c r="Z112" s="7">
        <f t="shared" si="97"/>
        <v>-0.57975014049318618</v>
      </c>
    </row>
    <row r="113" spans="1:26" s="26" customFormat="1" outlineLevel="1" collapsed="1" x14ac:dyDescent="0.25">
      <c r="A113" s="25"/>
      <c r="B113" s="12" t="str">
        <f>CONCATENATE("     ","Training                                          ")</f>
        <v xml:space="preserve">     Training                                          </v>
      </c>
      <c r="C113" s="12"/>
      <c r="D113" s="1">
        <f>SUM(OSRRefD22_23x_0)</f>
        <v>0</v>
      </c>
      <c r="E113" s="1"/>
      <c r="F113" s="5">
        <f t="shared" si="90"/>
        <v>0</v>
      </c>
      <c r="G113" s="1"/>
      <c r="H113" s="1">
        <f>SUM(OSRRefH22_23x_0)</f>
        <v>0</v>
      </c>
      <c r="I113" s="1"/>
      <c r="J113" s="5">
        <f t="shared" si="91"/>
        <v>0</v>
      </c>
      <c r="K113" s="1"/>
      <c r="L113" s="1">
        <f t="shared" si="92"/>
        <v>0</v>
      </c>
      <c r="M113" s="1"/>
      <c r="N113" s="5">
        <f t="shared" si="93"/>
        <v>0</v>
      </c>
      <c r="O113" s="12"/>
      <c r="P113" s="1">
        <f>SUM(OSRRefP22_23x_0)</f>
        <v>1186.23</v>
      </c>
      <c r="Q113" s="1"/>
      <c r="R113" s="5">
        <f t="shared" si="94"/>
        <v>7.8544771565970325E-4</v>
      </c>
      <c r="S113" s="1"/>
      <c r="T113" s="1">
        <f>SUM(OSRRefT22_23x_0)</f>
        <v>8521.24</v>
      </c>
      <c r="U113" s="1"/>
      <c r="V113" s="5">
        <f t="shared" si="95"/>
        <v>6.1790531470272035E-4</v>
      </c>
      <c r="W113" s="1"/>
      <c r="X113" s="1">
        <f t="shared" si="96"/>
        <v>-7335.01</v>
      </c>
      <c r="Y113" s="1"/>
      <c r="Z113" s="5">
        <f t="shared" si="97"/>
        <v>-0.86079138716900361</v>
      </c>
    </row>
    <row r="114" spans="1:26" s="23" customFormat="1" hidden="1" outlineLevel="2" x14ac:dyDescent="0.25">
      <c r="A114" s="27"/>
      <c r="B114" s="10" t="str">
        <f>CONCATENATE("          ", "6376", " - ", "TRAINING")</f>
        <v xml:space="preserve">          6376 - TRAINING</v>
      </c>
      <c r="C114" s="10"/>
      <c r="D114" s="6"/>
      <c r="E114" s="2"/>
      <c r="F114" s="7">
        <f t="shared" si="90"/>
        <v>0</v>
      </c>
      <c r="G114" s="2"/>
      <c r="H114" s="6">
        <v>0</v>
      </c>
      <c r="I114" s="2"/>
      <c r="J114" s="7">
        <f t="shared" si="91"/>
        <v>0</v>
      </c>
      <c r="K114" s="2"/>
      <c r="L114" s="6">
        <f t="shared" si="92"/>
        <v>0</v>
      </c>
      <c r="M114" s="2"/>
      <c r="N114" s="7">
        <f t="shared" si="93"/>
        <v>0</v>
      </c>
      <c r="O114" s="10"/>
      <c r="P114" s="6">
        <v>1186.23</v>
      </c>
      <c r="Q114" s="2"/>
      <c r="R114" s="7">
        <f t="shared" si="94"/>
        <v>7.8544771565970325E-4</v>
      </c>
      <c r="S114" s="2"/>
      <c r="T114" s="6">
        <v>8521.24</v>
      </c>
      <c r="U114" s="2"/>
      <c r="V114" s="7">
        <f t="shared" si="95"/>
        <v>6.1790531470272035E-4</v>
      </c>
      <c r="W114" s="2"/>
      <c r="X114" s="6">
        <f t="shared" si="96"/>
        <v>-7335.01</v>
      </c>
      <c r="Y114" s="2"/>
      <c r="Z114" s="7">
        <f t="shared" si="97"/>
        <v>-0.86079138716900361</v>
      </c>
    </row>
    <row r="115" spans="1:26" s="26" customFormat="1" outlineLevel="1" collapsed="1" x14ac:dyDescent="0.25">
      <c r="A115" s="25"/>
      <c r="B115" s="12" t="str">
        <f>CONCATENATE("     ","Travel                                            ")</f>
        <v xml:space="preserve">     Travel                                            </v>
      </c>
      <c r="C115" s="12"/>
      <c r="D115" s="1">
        <f>SUM(OSRRefD22_24x_0)</f>
        <v>0</v>
      </c>
      <c r="E115" s="1"/>
      <c r="F115" s="5">
        <f t="shared" si="90"/>
        <v>0</v>
      </c>
      <c r="G115" s="1"/>
      <c r="H115" s="1">
        <f>SUM(OSRRefH22_24x_0)</f>
        <v>0</v>
      </c>
      <c r="I115" s="1"/>
      <c r="J115" s="5">
        <f t="shared" si="91"/>
        <v>0</v>
      </c>
      <c r="K115" s="1"/>
      <c r="L115" s="1">
        <f t="shared" si="92"/>
        <v>0</v>
      </c>
      <c r="M115" s="1"/>
      <c r="N115" s="5">
        <f t="shared" si="93"/>
        <v>0</v>
      </c>
      <c r="O115" s="12"/>
      <c r="P115" s="1">
        <f>SUM(OSRRefP22_24x_0)</f>
        <v>492.51</v>
      </c>
      <c r="Q115" s="1"/>
      <c r="R115" s="5">
        <f t="shared" si="94"/>
        <v>3.2610948504047311E-4</v>
      </c>
      <c r="S115" s="1"/>
      <c r="T115" s="1">
        <f>SUM(OSRRefT22_24x_0)</f>
        <v>8235.58</v>
      </c>
      <c r="U115" s="1"/>
      <c r="V115" s="5">
        <f t="shared" si="95"/>
        <v>5.9719109562216639E-4</v>
      </c>
      <c r="W115" s="1"/>
      <c r="X115" s="1">
        <f t="shared" si="96"/>
        <v>-7743.07</v>
      </c>
      <c r="Y115" s="1"/>
      <c r="Z115" s="5">
        <f t="shared" si="97"/>
        <v>-0.94019729029406551</v>
      </c>
    </row>
    <row r="116" spans="1:26" s="23" customFormat="1" hidden="1" outlineLevel="2" x14ac:dyDescent="0.25">
      <c r="A116" s="27"/>
      <c r="B116" s="10" t="str">
        <f>CONCATENATE("          ", "6292", " - ", "TRAVEL/CONFERENCE")</f>
        <v xml:space="preserve">          6292 - TRAVEL/CONFERENCE</v>
      </c>
      <c r="C116" s="10"/>
      <c r="D116" s="6"/>
      <c r="E116" s="2"/>
      <c r="F116" s="7">
        <f t="shared" si="90"/>
        <v>0</v>
      </c>
      <c r="G116" s="2"/>
      <c r="H116" s="6"/>
      <c r="I116" s="2"/>
      <c r="J116" s="7">
        <f t="shared" si="91"/>
        <v>0</v>
      </c>
      <c r="K116" s="2"/>
      <c r="L116" s="6">
        <f t="shared" si="92"/>
        <v>0</v>
      </c>
      <c r="M116" s="2"/>
      <c r="N116" s="7">
        <f t="shared" si="93"/>
        <v>0</v>
      </c>
      <c r="O116" s="10"/>
      <c r="P116" s="6"/>
      <c r="Q116" s="2"/>
      <c r="R116" s="7">
        <f t="shared" si="94"/>
        <v>0</v>
      </c>
      <c r="S116" s="2"/>
      <c r="T116" s="6">
        <v>6889.94</v>
      </c>
      <c r="U116" s="2"/>
      <c r="V116" s="7">
        <f t="shared" si="95"/>
        <v>4.9961396979581146E-4</v>
      </c>
      <c r="W116" s="2"/>
      <c r="X116" s="6">
        <f t="shared" si="96"/>
        <v>-6889.94</v>
      </c>
      <c r="Y116" s="2"/>
      <c r="Z116" s="7">
        <f t="shared" si="97"/>
        <v>-1</v>
      </c>
    </row>
    <row r="117" spans="1:26" s="23" customFormat="1" hidden="1" outlineLevel="2" x14ac:dyDescent="0.25">
      <c r="A117" s="27"/>
      <c r="B117" s="10" t="str">
        <f>CONCATENATE("          ", "6294", " - ", "TRAVEL OPERATIONAL")</f>
        <v xml:space="preserve">          6294 - TRAVEL OPERATIONAL</v>
      </c>
      <c r="C117" s="10"/>
      <c r="D117" s="6"/>
      <c r="E117" s="2"/>
      <c r="F117" s="7">
        <f t="shared" si="90"/>
        <v>0</v>
      </c>
      <c r="G117" s="2"/>
      <c r="H117" s="6"/>
      <c r="I117" s="2"/>
      <c r="J117" s="7">
        <f t="shared" si="91"/>
        <v>0</v>
      </c>
      <c r="K117" s="2"/>
      <c r="L117" s="6">
        <f t="shared" si="92"/>
        <v>0</v>
      </c>
      <c r="M117" s="2"/>
      <c r="N117" s="7">
        <f t="shared" si="93"/>
        <v>0</v>
      </c>
      <c r="O117" s="10"/>
      <c r="P117" s="6">
        <v>160.30000000000001</v>
      </c>
      <c r="Q117" s="2"/>
      <c r="R117" s="7">
        <f t="shared" si="94"/>
        <v>1.0614068841645417E-4</v>
      </c>
      <c r="S117" s="2"/>
      <c r="T117" s="6">
        <v>56.99</v>
      </c>
      <c r="U117" s="2"/>
      <c r="V117" s="7">
        <f t="shared" si="95"/>
        <v>4.1325468928123174E-6</v>
      </c>
      <c r="W117" s="2"/>
      <c r="X117" s="6">
        <f t="shared" si="96"/>
        <v>103.31</v>
      </c>
      <c r="Y117" s="2"/>
      <c r="Z117" s="7">
        <f t="shared" si="97"/>
        <v>1.8127741709071767</v>
      </c>
    </row>
    <row r="118" spans="1:26" s="23" customFormat="1" hidden="1" outlineLevel="2" x14ac:dyDescent="0.25">
      <c r="A118" s="27"/>
      <c r="B118" s="10" t="str">
        <f>CONCATENATE("          ", "6298", " - ", "VEHICLE MILEAGE")</f>
        <v xml:space="preserve">          6298 - VEHICLE MILEAGE</v>
      </c>
      <c r="C118" s="10"/>
      <c r="D118" s="6"/>
      <c r="E118" s="2"/>
      <c r="F118" s="7">
        <f t="shared" si="90"/>
        <v>0</v>
      </c>
      <c r="G118" s="2"/>
      <c r="H118" s="6"/>
      <c r="I118" s="2"/>
      <c r="J118" s="7">
        <f t="shared" si="91"/>
        <v>0</v>
      </c>
      <c r="K118" s="2"/>
      <c r="L118" s="6">
        <f t="shared" si="92"/>
        <v>0</v>
      </c>
      <c r="M118" s="2"/>
      <c r="N118" s="7">
        <f t="shared" si="93"/>
        <v>0</v>
      </c>
      <c r="O118" s="10"/>
      <c r="P118" s="6">
        <v>332.21</v>
      </c>
      <c r="Q118" s="2"/>
      <c r="R118" s="7">
        <f t="shared" si="94"/>
        <v>2.1996879662401894E-4</v>
      </c>
      <c r="S118" s="2"/>
      <c r="T118" s="6">
        <v>1288.6500000000001</v>
      </c>
      <c r="U118" s="2"/>
      <c r="V118" s="7">
        <f t="shared" si="95"/>
        <v>9.3444578933542607E-5</v>
      </c>
      <c r="W118" s="2"/>
      <c r="X118" s="6">
        <f t="shared" si="96"/>
        <v>-956.44</v>
      </c>
      <c r="Y118" s="2"/>
      <c r="Z118" s="7">
        <f t="shared" si="97"/>
        <v>-0.74220308074341368</v>
      </c>
    </row>
    <row r="119" spans="1:26" s="26" customFormat="1" outlineLevel="1" collapsed="1" x14ac:dyDescent="0.25">
      <c r="A119" s="25"/>
      <c r="B119" s="12" t="str">
        <f>CONCATENATE("     ","Utilities                                         ")</f>
        <v xml:space="preserve">     Utilities                                         </v>
      </c>
      <c r="C119" s="12"/>
      <c r="D119" s="1">
        <f>SUM(OSRRefD22_25x_0)</f>
        <v>3648</v>
      </c>
      <c r="E119" s="1"/>
      <c r="F119" s="5">
        <f t="shared" ref="F119:F120" si="98">IF(D$12=0,0,D119/D$12)</f>
        <v>3.248920477594873E-2</v>
      </c>
      <c r="G119" s="1"/>
      <c r="H119" s="1">
        <f>SUM(OSRRefH22_25x_0)</f>
        <v>15583</v>
      </c>
      <c r="I119" s="1"/>
      <c r="J119" s="5">
        <f t="shared" ref="J119:J120" si="99">IF(H$12=0,0,H119/H$12)</f>
        <v>0.1283691019863395</v>
      </c>
      <c r="K119" s="1"/>
      <c r="L119" s="1">
        <f t="shared" ref="L119:L120" si="100">+D119-H119</f>
        <v>-11935</v>
      </c>
      <c r="M119" s="1"/>
      <c r="N119" s="5">
        <f t="shared" ref="N119:N120" si="101">IF(H119=0,0,L119/H119)</f>
        <v>-0.76589873580183532</v>
      </c>
      <c r="O119" s="12"/>
      <c r="P119" s="1">
        <f>SUM(OSRRefP22_25x_0)</f>
        <v>5836</v>
      </c>
      <c r="Q119" s="1"/>
      <c r="R119" s="5">
        <f t="shared" ref="R119:R120" si="102">IF(P$12=0,0,P119/P$12)</f>
        <v>3.8642361671767096E-3</v>
      </c>
      <c r="S119" s="1"/>
      <c r="T119" s="1">
        <f>SUM(OSRRefT22_25x_0)</f>
        <v>174802</v>
      </c>
      <c r="U119" s="1"/>
      <c r="V119" s="5">
        <f t="shared" ref="V119:V120" si="103">IF(T$12=0,0,T119/T$12)</f>
        <v>1.2675512580406716E-2</v>
      </c>
      <c r="W119" s="1"/>
      <c r="X119" s="1">
        <f t="shared" ref="X119:X120" si="104">+P119-T119</f>
        <v>-168966</v>
      </c>
      <c r="Y119" s="1"/>
      <c r="Z119" s="5">
        <f t="shared" ref="Z119:Z120" si="105">IF(T119=0,0,X119/T119)</f>
        <v>-0.96661365430601476</v>
      </c>
    </row>
    <row r="120" spans="1:26" s="23" customFormat="1" hidden="1" outlineLevel="2" x14ac:dyDescent="0.25">
      <c r="A120" s="27"/>
      <c r="B120" s="10" t="str">
        <f>CONCATENATE("          ", "6274", " - ", "UTILITIES")</f>
        <v xml:space="preserve">          6274 - UTILITIES</v>
      </c>
      <c r="C120" s="10"/>
      <c r="D120" s="6">
        <v>3648</v>
      </c>
      <c r="E120" s="2"/>
      <c r="F120" s="7">
        <f t="shared" si="98"/>
        <v>3.248920477594873E-2</v>
      </c>
      <c r="G120" s="2"/>
      <c r="H120" s="6">
        <v>15583</v>
      </c>
      <c r="I120" s="2"/>
      <c r="J120" s="7">
        <f t="shared" si="99"/>
        <v>0.1283691019863395</v>
      </c>
      <c r="K120" s="2"/>
      <c r="L120" s="6">
        <f t="shared" si="100"/>
        <v>-11935</v>
      </c>
      <c r="M120" s="2"/>
      <c r="N120" s="7">
        <f t="shared" si="101"/>
        <v>-0.76589873580183532</v>
      </c>
      <c r="O120" s="10"/>
      <c r="P120" s="6">
        <v>5836</v>
      </c>
      <c r="Q120" s="2"/>
      <c r="R120" s="7">
        <f t="shared" si="102"/>
        <v>3.8642361671767096E-3</v>
      </c>
      <c r="S120" s="2"/>
      <c r="T120" s="6">
        <v>174802</v>
      </c>
      <c r="U120" s="2"/>
      <c r="V120" s="7">
        <f t="shared" si="103"/>
        <v>1.2675512580406716E-2</v>
      </c>
      <c r="W120" s="2"/>
      <c r="X120" s="6">
        <f t="shared" si="104"/>
        <v>-168966</v>
      </c>
      <c r="Y120" s="2"/>
      <c r="Z120" s="7">
        <f t="shared" si="105"/>
        <v>-0.96661365430601476</v>
      </c>
    </row>
    <row r="121" spans="1:26" s="57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4" customFormat="1" collapsed="1" x14ac:dyDescent="0.25">
      <c r="A122" s="11"/>
      <c r="B122" s="29" t="s">
        <v>292</v>
      </c>
      <c r="C122" s="11"/>
      <c r="D122" s="4">
        <f>SUM(OSRRefD25x_0)</f>
        <v>41.26</v>
      </c>
      <c r="E122" s="4"/>
      <c r="F122" s="13">
        <f t="shared" ref="F122:F125" si="106">IF(D$12=0,0,D122/D$12)</f>
        <v>3.6746288077183235E-4</v>
      </c>
      <c r="G122" s="4"/>
      <c r="H122" s="4">
        <f>SUM(OSRRefH25x_0)</f>
        <v>6624.89</v>
      </c>
      <c r="I122" s="4"/>
      <c r="J122" s="13">
        <f t="shared" ref="J122:J125" si="107">IF(H$12=0,0,H122/H$12)</f>
        <v>5.4574291218525361E-2</v>
      </c>
      <c r="K122" s="4"/>
      <c r="L122" s="4">
        <f t="shared" ref="L122:L125" si="108">+D122-H122</f>
        <v>-6583.63</v>
      </c>
      <c r="M122" s="4"/>
      <c r="N122" s="13">
        <f t="shared" ref="N122:N125" si="109">IF(H122=0,0,L122/H122)</f>
        <v>-0.99377197206293233</v>
      </c>
      <c r="O122" s="11"/>
      <c r="P122" s="4">
        <f>SUM(OSRRefP25x_0)</f>
        <v>22486.66</v>
      </c>
      <c r="Q122" s="4"/>
      <c r="R122" s="13">
        <f t="shared" ref="R122:R125" si="110">IF(P$12=0,0,P122/P$12)</f>
        <v>1.4889267452194281E-2</v>
      </c>
      <c r="S122" s="4"/>
      <c r="T122" s="4">
        <f>SUM(OSRRefT25x_0)</f>
        <v>687198.88</v>
      </c>
      <c r="U122" s="4"/>
      <c r="V122" s="13">
        <f t="shared" ref="V122:V125" si="111">IF(T$12=0,0,T122/T$12)</f>
        <v>4.9831226465837944E-2</v>
      </c>
      <c r="W122" s="4"/>
      <c r="X122" s="4">
        <f t="shared" ref="X122:X125" si="112">+P122-T122</f>
        <v>-664712.22</v>
      </c>
      <c r="Y122" s="4"/>
      <c r="Z122" s="13">
        <f t="shared" ref="Z122:Z125" si="113">IF(T122=0,0,X122/T122)</f>
        <v>-0.96727779882295495</v>
      </c>
    </row>
    <row r="123" spans="1:26" s="23" customFormat="1" hidden="1" outlineLevel="1" x14ac:dyDescent="0.25">
      <c r="A123" s="44"/>
      <c r="B123" s="10" t="str">
        <f>CONCATENATE("          ", "9150", " - ", "MISC. INCOME")</f>
        <v xml:space="preserve">          9150 - MISC. INCOME</v>
      </c>
      <c r="C123" s="10"/>
      <c r="D123" s="2">
        <f>--8.44</f>
        <v>8.44</v>
      </c>
      <c r="E123" s="2"/>
      <c r="F123" s="19">
        <f t="shared" si="106"/>
        <v>7.5166910172425226E-5</v>
      </c>
      <c r="G123" s="2"/>
      <c r="H123" s="2">
        <f t="shared" ref="H123:H124" si="114">0</f>
        <v>0</v>
      </c>
      <c r="I123" s="2"/>
      <c r="J123" s="19">
        <f t="shared" si="107"/>
        <v>0</v>
      </c>
      <c r="K123" s="2"/>
      <c r="L123" s="2">
        <f t="shared" si="108"/>
        <v>8.44</v>
      </c>
      <c r="M123" s="2"/>
      <c r="N123" s="19">
        <f t="shared" si="109"/>
        <v>0</v>
      </c>
      <c r="O123" s="10"/>
      <c r="P123" s="2">
        <f>--5349.92</f>
        <v>5349.92</v>
      </c>
      <c r="Q123" s="2"/>
      <c r="R123" s="19">
        <f t="shared" si="110"/>
        <v>3.5423842281531908E-3</v>
      </c>
      <c r="S123" s="2"/>
      <c r="T123" s="2">
        <f>--313984.54</f>
        <v>313984.53999999998</v>
      </c>
      <c r="U123" s="2"/>
      <c r="V123" s="19">
        <f t="shared" si="111"/>
        <v>2.276813186818924E-2</v>
      </c>
      <c r="W123" s="2"/>
      <c r="X123" s="2">
        <f t="shared" si="112"/>
        <v>-308634.62</v>
      </c>
      <c r="Y123" s="2"/>
      <c r="Z123" s="19">
        <f t="shared" si="113"/>
        <v>-0.98296119929981274</v>
      </c>
    </row>
    <row r="124" spans="1:26" s="23" customFormat="1" hidden="1" outlineLevel="1" x14ac:dyDescent="0.25">
      <c r="A124" s="44"/>
      <c r="B124" s="10" t="str">
        <f>CONCATENATE("          ", "9160", " - ", "MISC. INCOME")</f>
        <v xml:space="preserve">          9160 - MISC. INCOME</v>
      </c>
      <c r="C124" s="10"/>
      <c r="D124" s="2">
        <f>0</f>
        <v>0</v>
      </c>
      <c r="E124" s="2"/>
      <c r="F124" s="19">
        <f t="shared" si="106"/>
        <v>0</v>
      </c>
      <c r="G124" s="2"/>
      <c r="H124" s="2">
        <f t="shared" si="114"/>
        <v>0</v>
      </c>
      <c r="I124" s="2"/>
      <c r="J124" s="19">
        <f t="shared" si="107"/>
        <v>0</v>
      </c>
      <c r="K124" s="2"/>
      <c r="L124" s="2">
        <f t="shared" si="108"/>
        <v>0</v>
      </c>
      <c r="M124" s="2"/>
      <c r="N124" s="19">
        <f t="shared" si="109"/>
        <v>0</v>
      </c>
      <c r="O124" s="10"/>
      <c r="P124" s="2">
        <f>--13615.06</f>
        <v>13615.06</v>
      </c>
      <c r="Q124" s="2"/>
      <c r="R124" s="19">
        <f t="shared" si="110"/>
        <v>9.0150457968267532E-3</v>
      </c>
      <c r="S124" s="2"/>
      <c r="T124" s="2">
        <f>--130089.32</f>
        <v>130089.32</v>
      </c>
      <c r="U124" s="2"/>
      <c r="V124" s="19">
        <f t="shared" si="111"/>
        <v>9.4332376759794223E-3</v>
      </c>
      <c r="W124" s="2"/>
      <c r="X124" s="2">
        <f t="shared" si="112"/>
        <v>-116474.26000000001</v>
      </c>
      <c r="Y124" s="2"/>
      <c r="Z124" s="19">
        <f t="shared" si="113"/>
        <v>-0.89534067823553853</v>
      </c>
    </row>
    <row r="125" spans="1:26" s="23" customFormat="1" hidden="1" outlineLevel="1" x14ac:dyDescent="0.25">
      <c r="A125" s="44"/>
      <c r="B125" s="10" t="str">
        <f>CONCATENATE("          ", "9165", " - ", "OTHER INCOME")</f>
        <v xml:space="preserve">          9165 - OTHER INCOME</v>
      </c>
      <c r="C125" s="10"/>
      <c r="D125" s="2">
        <f>--32.82</f>
        <v>32.82</v>
      </c>
      <c r="E125" s="2"/>
      <c r="F125" s="19">
        <f t="shared" si="106"/>
        <v>2.9229597059940714E-4</v>
      </c>
      <c r="G125" s="2"/>
      <c r="H125" s="2">
        <f>--6624.89</f>
        <v>6624.89</v>
      </c>
      <c r="I125" s="2"/>
      <c r="J125" s="19">
        <f t="shared" si="107"/>
        <v>5.4574291218525361E-2</v>
      </c>
      <c r="K125" s="2"/>
      <c r="L125" s="2">
        <f t="shared" si="108"/>
        <v>-6592.0700000000006</v>
      </c>
      <c r="M125" s="2"/>
      <c r="N125" s="19">
        <f t="shared" si="109"/>
        <v>-0.99504595548001551</v>
      </c>
      <c r="O125" s="10"/>
      <c r="P125" s="2">
        <f>--3521.68</f>
        <v>3521.68</v>
      </c>
      <c r="Q125" s="2"/>
      <c r="R125" s="19">
        <f t="shared" si="110"/>
        <v>2.3318374272143375E-3</v>
      </c>
      <c r="S125" s="2"/>
      <c r="T125" s="2">
        <f>--243125.02</f>
        <v>243125.02</v>
      </c>
      <c r="U125" s="2"/>
      <c r="V125" s="19">
        <f t="shared" si="111"/>
        <v>1.7629856921669282E-2</v>
      </c>
      <c r="W125" s="2"/>
      <c r="X125" s="2">
        <f t="shared" si="112"/>
        <v>-239603.34</v>
      </c>
      <c r="Y125" s="2"/>
      <c r="Z125" s="19">
        <f t="shared" si="113"/>
        <v>-0.98551494206560886</v>
      </c>
    </row>
    <row r="126" spans="1:26" x14ac:dyDescent="0.25">
      <c r="A126" s="9"/>
      <c r="B126" s="11"/>
      <c r="C126" s="11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1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4" customFormat="1" x14ac:dyDescent="0.25">
      <c r="A127" s="11"/>
      <c r="B127" s="28" t="s">
        <v>276</v>
      </c>
      <c r="C127" s="28"/>
      <c r="D127" s="20">
        <f>+D29-D31+D122</f>
        <v>-237242.53</v>
      </c>
      <c r="E127" s="14"/>
      <c r="F127" s="21">
        <f>IF(D$12=0,0,D127/D$12)</f>
        <v>-2.1128895665389691</v>
      </c>
      <c r="G127" s="14"/>
      <c r="H127" s="20">
        <f>+H29-H31+H122</f>
        <v>-230800.25</v>
      </c>
      <c r="I127" s="14"/>
      <c r="J127" s="21">
        <f>IF(H$12=0,0,H127/H$12)</f>
        <v>-1.9012783694232593</v>
      </c>
      <c r="K127" s="15"/>
      <c r="L127" s="20">
        <f>+D127-H127</f>
        <v>-6442.2799999999988</v>
      </c>
      <c r="M127" s="15"/>
      <c r="N127" s="21">
        <f>IF(H127=0,0,L127/H127)</f>
        <v>2.7912794721842802E-2</v>
      </c>
      <c r="O127" s="29"/>
      <c r="P127" s="20">
        <f>+P29-P31+P122</f>
        <v>-2627620.0000000009</v>
      </c>
      <c r="Q127" s="14"/>
      <c r="R127" s="21">
        <f>IF(P$12=0,0,P127/P$12)</f>
        <v>-1.7398465108973387</v>
      </c>
      <c r="S127" s="14"/>
      <c r="T127" s="20">
        <f>+T29-T31+T122</f>
        <v>1126910.3699999945</v>
      </c>
      <c r="U127" s="14"/>
      <c r="V127" s="21">
        <f>IF(T$12=0,0,T127/T$12)</f>
        <v>8.1716265099516697E-2</v>
      </c>
      <c r="W127" s="15"/>
      <c r="X127" s="20">
        <f>+P127-T127</f>
        <v>-3754530.3699999955</v>
      </c>
      <c r="Y127" s="15"/>
      <c r="Z127" s="21">
        <f>IF(T127=0,0,X127/T127)</f>
        <v>-3.3317027422509331</v>
      </c>
    </row>
    <row r="128" spans="1:26" x14ac:dyDescent="0.25">
      <c r="A128" s="9"/>
      <c r="B128" s="11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4" customFormat="1" x14ac:dyDescent="0.25">
      <c r="A129" s="51"/>
      <c r="B129" s="11" t="s">
        <v>127</v>
      </c>
      <c r="C129" s="11"/>
      <c r="D129" s="4">
        <v>30265.88</v>
      </c>
      <c r="E129" s="4"/>
      <c r="F129" s="13">
        <f>IF(D$12=0,0,D129/D$12)</f>
        <v>0.26954889611959731</v>
      </c>
      <c r="G129" s="4"/>
      <c r="H129" s="4">
        <v>81049.710000000006</v>
      </c>
      <c r="I129" s="4"/>
      <c r="J129" s="13">
        <f>IF(H$12=0,0,H129/H$12)</f>
        <v>0.66766851626472701</v>
      </c>
      <c r="K129" s="4"/>
      <c r="L129" s="4">
        <f>+D129-H129</f>
        <v>-50783.83</v>
      </c>
      <c r="M129" s="4"/>
      <c r="N129" s="13">
        <f>IF(H129=0,0,L129/H129)</f>
        <v>-0.6265763319819404</v>
      </c>
      <c r="O129" s="11"/>
      <c r="P129" s="4">
        <v>322728.17</v>
      </c>
      <c r="Q129" s="4"/>
      <c r="R129" s="13">
        <f>IF(P$12=0,0,P129/P$12)</f>
        <v>0.21369051862247318</v>
      </c>
      <c r="S129" s="4"/>
      <c r="T129" s="4">
        <v>1633082.15</v>
      </c>
      <c r="U129" s="4"/>
      <c r="V129" s="13">
        <f>IF(T$12=0,0,T129/T$12)</f>
        <v>0.11842057491998172</v>
      </c>
      <c r="W129" s="4"/>
      <c r="X129" s="4">
        <f>+P129-T129</f>
        <v>-1310353.98</v>
      </c>
      <c r="Y129" s="4"/>
      <c r="Z129" s="13">
        <f>IF(T129=0,0,X129/T129)</f>
        <v>-0.80238093350049788</v>
      </c>
    </row>
    <row r="130" spans="1:26" x14ac:dyDescent="0.25">
      <c r="A130" s="9"/>
      <c r="B130" s="11"/>
      <c r="C130" s="11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1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8" t="s">
        <v>125</v>
      </c>
      <c r="C131" s="28"/>
      <c r="D131" s="35">
        <f>+D127-D129</f>
        <v>-267508.40999999997</v>
      </c>
      <c r="E131" s="14"/>
      <c r="F131" s="36">
        <f>IF(D$12=0,0,D131/D$12)</f>
        <v>-2.3824384626585662</v>
      </c>
      <c r="G131" s="14"/>
      <c r="H131" s="35">
        <f>+H127-H129</f>
        <v>-311849.96000000002</v>
      </c>
      <c r="I131" s="14"/>
      <c r="J131" s="36">
        <f>IF(H$12=0,0,H131/H$12)</f>
        <v>-2.5689468856879865</v>
      </c>
      <c r="K131" s="15"/>
      <c r="L131" s="35">
        <f>D131-H131</f>
        <v>44341.550000000047</v>
      </c>
      <c r="M131" s="15"/>
      <c r="N131" s="36">
        <f>IF(H131=0,0,L131/H131)</f>
        <v>-0.14218873076013877</v>
      </c>
      <c r="O131" s="29"/>
      <c r="P131" s="35">
        <f>+P127-P129</f>
        <v>-2950348.1700000009</v>
      </c>
      <c r="Q131" s="14"/>
      <c r="R131" s="36">
        <f>IF(P$12=0,0,P131/P$12)</f>
        <v>-1.9535370295198118</v>
      </c>
      <c r="S131" s="14"/>
      <c r="T131" s="35">
        <f>+T127-T129</f>
        <v>-506171.78000000538</v>
      </c>
      <c r="U131" s="14"/>
      <c r="V131" s="36">
        <f>IF(T$12=0,0,T131/T$12)</f>
        <v>-3.6704309820465034E-2</v>
      </c>
      <c r="W131" s="15"/>
      <c r="X131" s="35">
        <f>P131-T131</f>
        <v>-2444176.3899999955</v>
      </c>
      <c r="Y131" s="15"/>
      <c r="Z131" s="36">
        <f>IF(T131=0,0,X131/T131)</f>
        <v>4.8287488291029765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4" customFormat="1" ht="15.75" thickBot="1" x14ac:dyDescent="0.3">
      <c r="A134" s="11"/>
      <c r="B134" s="28" t="s">
        <v>293</v>
      </c>
      <c r="C134" s="28"/>
      <c r="D134" s="30">
        <f>SUM(D131:D133)</f>
        <v>-267508.40999999997</v>
      </c>
      <c r="E134" s="14"/>
      <c r="F134" s="31">
        <f>IF(D$12=0,0,D134/D$12)</f>
        <v>-2.3824384626585662</v>
      </c>
      <c r="G134" s="14"/>
      <c r="H134" s="30">
        <f>SUM(H131:H133)</f>
        <v>-311849.96000000002</v>
      </c>
      <c r="I134" s="14"/>
      <c r="J134" s="31">
        <f>IF(H$12=0,0,H134/H$12)</f>
        <v>-2.5689468856879865</v>
      </c>
      <c r="K134" s="15"/>
      <c r="L134" s="30">
        <f>+D134-H134</f>
        <v>44341.550000000047</v>
      </c>
      <c r="M134" s="15"/>
      <c r="N134" s="31">
        <f>IF(H134=0,0,L134/H134)</f>
        <v>-0.14218873076013877</v>
      </c>
      <c r="O134" s="29"/>
      <c r="P134" s="30">
        <f>SUM(P131:P133)</f>
        <v>-2950348.1700000009</v>
      </c>
      <c r="Q134" s="14"/>
      <c r="R134" s="31">
        <f>IF(P$12=0,0,P134/P$12)</f>
        <v>-1.9535370295198118</v>
      </c>
      <c r="S134" s="14"/>
      <c r="T134" s="30">
        <f>SUM(T131:T133)</f>
        <v>-506171.78000000538</v>
      </c>
      <c r="U134" s="14"/>
      <c r="V134" s="31">
        <f>IF(T$12=0,0,T134/T$12)</f>
        <v>-3.6704309820465034E-2</v>
      </c>
      <c r="W134" s="15"/>
      <c r="X134" s="30">
        <f>+P134-T134</f>
        <v>-2444176.3899999955</v>
      </c>
      <c r="Y134" s="15"/>
      <c r="Z134" s="31">
        <f>IF(T134=0,0,X134/T134)</f>
        <v>4.8287488291029765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9">
        <v>44356.89330679398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2" t="s">
        <v>56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4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55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61758.750000000007</v>
      </c>
      <c r="E12" s="4"/>
      <c r="F12" s="13"/>
      <c r="G12" s="4"/>
      <c r="H12" s="4">
        <f>SUM(OSRRefH13x_0)</f>
        <v>28.36</v>
      </c>
      <c r="I12" s="4"/>
      <c r="J12" s="13"/>
      <c r="K12" s="4"/>
      <c r="L12" s="4">
        <f t="shared" ref="L12:L29" si="0">+D12-H12</f>
        <v>61730.390000000007</v>
      </c>
      <c r="M12" s="4"/>
      <c r="N12" s="13">
        <f t="shared" ref="N12:N29" si="1">IF(H12=0,0,L12/H12)</f>
        <v>2176.6710155148098</v>
      </c>
      <c r="O12" s="11"/>
      <c r="P12" s="4">
        <f>SUM(OSRRefP13x_0)</f>
        <v>521251.98000000004</v>
      </c>
      <c r="Q12" s="4"/>
      <c r="R12" s="13"/>
      <c r="S12" s="4"/>
      <c r="T12" s="4">
        <f>SUM(OSRRefT13x_0)</f>
        <v>6984151.5999999996</v>
      </c>
      <c r="U12" s="4"/>
      <c r="V12" s="13"/>
      <c r="W12" s="4"/>
      <c r="X12" s="4">
        <f t="shared" ref="X12:X29" si="2">+P12-T12</f>
        <v>-6462899.6199999992</v>
      </c>
      <c r="Y12" s="4"/>
      <c r="Z12" s="13">
        <f t="shared" ref="Z12:Z29" si="3">IF(T12=0,0,X12/T12)</f>
        <v>-0.92536645682204255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9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>--7161.66</f>
        <v>7161.66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7161.66</v>
      </c>
      <c r="M15" s="2"/>
      <c r="N15" s="19">
        <f t="shared" si="1"/>
        <v>0</v>
      </c>
      <c r="O15" s="10"/>
      <c r="P15" s="2">
        <f>--39282.92</f>
        <v>39282.92</v>
      </c>
      <c r="Q15" s="2"/>
      <c r="R15" s="19"/>
      <c r="S15" s="2"/>
      <c r="T15" s="2">
        <f>--604143.21</f>
        <v>604143.21</v>
      </c>
      <c r="U15" s="2"/>
      <c r="V15" s="19"/>
      <c r="W15" s="2"/>
      <c r="X15" s="2">
        <f t="shared" si="2"/>
        <v>-564860.28999999992</v>
      </c>
      <c r="Y15" s="2"/>
      <c r="Z15" s="19">
        <f t="shared" si="3"/>
        <v>-0.93497746999424181</v>
      </c>
    </row>
    <row r="16" spans="1:26" s="23" customFormat="1" hidden="1" outlineLevel="1" x14ac:dyDescent="0.25">
      <c r="A16" s="44"/>
      <c r="B16" s="10" t="str">
        <f>CONCATENATE("          ", "4052", " - ", "TAXABLE SALES-FOOD")</f>
        <v xml:space="preserve">          4052 - TAXABLE SALES-FOOD</v>
      </c>
      <c r="C16" s="10"/>
      <c r="D16" s="2">
        <f>--47978.22</f>
        <v>47978.22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47978.22</v>
      </c>
      <c r="M16" s="2"/>
      <c r="N16" s="19">
        <f t="shared" si="1"/>
        <v>0</v>
      </c>
      <c r="O16" s="10"/>
      <c r="P16" s="2">
        <f>--428653.01</f>
        <v>428653.01</v>
      </c>
      <c r="Q16" s="2"/>
      <c r="R16" s="19"/>
      <c r="S16" s="2"/>
      <c r="T16" s="2">
        <f>--836487.29</f>
        <v>836487.29</v>
      </c>
      <c r="U16" s="2"/>
      <c r="V16" s="19"/>
      <c r="W16" s="2"/>
      <c r="X16" s="2">
        <f t="shared" si="2"/>
        <v>-407834.28</v>
      </c>
      <c r="Y16" s="2"/>
      <c r="Z16" s="19">
        <f t="shared" si="3"/>
        <v>-0.48755585993422568</v>
      </c>
    </row>
    <row r="17" spans="1:26" s="23" customFormat="1" hidden="1" outlineLevel="1" x14ac:dyDescent="0.25">
      <c r="A17" s="44"/>
      <c r="B17" s="10" t="str">
        <f>CONCATENATE("          ", "4053", " - ", "TAXABLE SALES-FOOD")</f>
        <v xml:space="preserve">          4053 - TAXABLE SALES-FOOD</v>
      </c>
      <c r="C17" s="10"/>
      <c r="D17" s="2">
        <f t="shared" ref="D17:D24" si="6"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7">0</f>
        <v>0</v>
      </c>
      <c r="Q17" s="2"/>
      <c r="R17" s="19"/>
      <c r="S17" s="2"/>
      <c r="T17" s="2">
        <f>--253270.4</f>
        <v>253270.39999999999</v>
      </c>
      <c r="U17" s="2"/>
      <c r="V17" s="19"/>
      <c r="W17" s="2"/>
      <c r="X17" s="2">
        <f t="shared" si="2"/>
        <v>-253270.39999999999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"4055", " - ", "TAXABLE SALES-FOOD")</f>
        <v xml:space="preserve">          4055 - TAXABLE SALES-FOOD</v>
      </c>
      <c r="C18" s="10"/>
      <c r="D18" s="2">
        <f t="shared" si="6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7"/>
        <v>0</v>
      </c>
      <c r="Q18" s="2"/>
      <c r="R18" s="19"/>
      <c r="S18" s="2"/>
      <c r="T18" s="2">
        <f>--381406.04</f>
        <v>381406.04</v>
      </c>
      <c r="U18" s="2"/>
      <c r="V18" s="19"/>
      <c r="W18" s="2"/>
      <c r="X18" s="2">
        <f t="shared" si="2"/>
        <v>-381406.04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"4058", " - ", "TAXABLE SALES-FOOD")</f>
        <v xml:space="preserve">          4058 - TAXABLE SALES-FOOD</v>
      </c>
      <c r="C19" s="10"/>
      <c r="D19" s="2">
        <f t="shared" si="6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--974.91</f>
        <v>974.91</v>
      </c>
      <c r="Q19" s="2"/>
      <c r="R19" s="19"/>
      <c r="S19" s="2"/>
      <c r="T19" s="2">
        <f>--117077.57</f>
        <v>117077.57</v>
      </c>
      <c r="U19" s="2"/>
      <c r="V19" s="19"/>
      <c r="W19" s="2"/>
      <c r="X19" s="2">
        <f t="shared" si="2"/>
        <v>-116102.66</v>
      </c>
      <c r="Y19" s="2"/>
      <c r="Z19" s="19">
        <f t="shared" si="3"/>
        <v>-0.99167295665600164</v>
      </c>
    </row>
    <row r="20" spans="1:26" s="23" customFormat="1" hidden="1" outlineLevel="1" x14ac:dyDescent="0.25">
      <c r="A20" s="44"/>
      <c r="B20" s="10" t="str">
        <f>CONCATENATE("          ", "4131", " - ", "NON-TAXABLE SALES-FOOD")</f>
        <v xml:space="preserve">          4131 - NON-TAXABLE SALES-FOOD</v>
      </c>
      <c r="C20" s="10"/>
      <c r="D20" s="2">
        <f t="shared" si="6"/>
        <v>0</v>
      </c>
      <c r="E20" s="2"/>
      <c r="F20" s="19"/>
      <c r="G20" s="2"/>
      <c r="H20" s="2">
        <f>--2.48</f>
        <v>2.48</v>
      </c>
      <c r="I20" s="2"/>
      <c r="J20" s="19"/>
      <c r="K20" s="2"/>
      <c r="L20" s="2">
        <f t="shared" si="0"/>
        <v>-2.48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--2.48</f>
        <v>2.48</v>
      </c>
      <c r="U20" s="2"/>
      <c r="V20" s="19"/>
      <c r="W20" s="2"/>
      <c r="X20" s="2">
        <f t="shared" si="2"/>
        <v>-2.48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"4132", " - ", "NON-TAXABLE SALES-JUICE")</f>
        <v xml:space="preserve">          4132 - NON-TAXABLE SALES-JUICE</v>
      </c>
      <c r="C21" s="10"/>
      <c r="D21" s="2">
        <f t="shared" si="6"/>
        <v>0</v>
      </c>
      <c r="E21" s="2"/>
      <c r="F21" s="19"/>
      <c r="G21" s="2"/>
      <c r="H21" s="2">
        <f t="shared" ref="H21:H22" si="8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--2031.88</f>
        <v>2031.88</v>
      </c>
      <c r="Q21" s="2"/>
      <c r="R21" s="19"/>
      <c r="S21" s="2"/>
      <c r="T21" s="2">
        <f>--1093778.15</f>
        <v>1093778.1499999999</v>
      </c>
      <c r="U21" s="2"/>
      <c r="V21" s="19"/>
      <c r="W21" s="2"/>
      <c r="X21" s="2">
        <f t="shared" si="2"/>
        <v>-1091746.27</v>
      </c>
      <c r="Y21" s="2"/>
      <c r="Z21" s="19">
        <f t="shared" si="3"/>
        <v>-0.99814232895400234</v>
      </c>
    </row>
    <row r="22" spans="1:26" s="23" customFormat="1" hidden="1" outlineLevel="1" x14ac:dyDescent="0.25">
      <c r="A22" s="44"/>
      <c r="B22" s="10" t="str">
        <f>CONCATENATE("          ", "4133", " - ", "NON-TAXABLE SALES-CANDY")</f>
        <v xml:space="preserve">          4133 - NON-TAXABLE SALES-CANDY</v>
      </c>
      <c r="C22" s="10"/>
      <c r="D22" s="2">
        <f t="shared" si="6"/>
        <v>0</v>
      </c>
      <c r="E22" s="2"/>
      <c r="F22" s="19"/>
      <c r="G22" s="2"/>
      <c r="H22" s="2">
        <f t="shared" si="8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ref="P22:P24" si="9">0</f>
        <v>0</v>
      </c>
      <c r="Q22" s="2"/>
      <c r="R22" s="19"/>
      <c r="S22" s="2"/>
      <c r="T22" s="2">
        <f>--1.59</f>
        <v>1.59</v>
      </c>
      <c r="U22" s="2"/>
      <c r="V22" s="19"/>
      <c r="W22" s="2"/>
      <c r="X22" s="2">
        <f t="shared" si="2"/>
        <v>-1.59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"4134", " - ", "NON-TAXABLE SALES-SODA")</f>
        <v xml:space="preserve">          4134 - NON-TAXABLE SALES-SODA</v>
      </c>
      <c r="C23" s="10"/>
      <c r="D23" s="2">
        <f t="shared" si="6"/>
        <v>0</v>
      </c>
      <c r="E23" s="2"/>
      <c r="F23" s="19"/>
      <c r="G23" s="2"/>
      <c r="H23" s="2">
        <f>--23.64</f>
        <v>23.64</v>
      </c>
      <c r="I23" s="2"/>
      <c r="J23" s="19"/>
      <c r="K23" s="2"/>
      <c r="L23" s="2">
        <f t="shared" si="0"/>
        <v>-23.64</v>
      </c>
      <c r="M23" s="2"/>
      <c r="N23" s="19">
        <f t="shared" si="1"/>
        <v>-1</v>
      </c>
      <c r="O23" s="10"/>
      <c r="P23" s="2">
        <f t="shared" si="9"/>
        <v>0</v>
      </c>
      <c r="Q23" s="2"/>
      <c r="R23" s="19"/>
      <c r="S23" s="2"/>
      <c r="T23" s="2">
        <f>--94.84</f>
        <v>94.84</v>
      </c>
      <c r="U23" s="2"/>
      <c r="V23" s="19"/>
      <c r="W23" s="2"/>
      <c r="X23" s="2">
        <f t="shared" si="2"/>
        <v>-94.84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"4137", " - ", "NON-TAXABLE SALES-WATER")</f>
        <v xml:space="preserve">          4137 - NON-TAXABLE SALES-WATER</v>
      </c>
      <c r="C24" s="10"/>
      <c r="D24" s="2">
        <f t="shared" si="6"/>
        <v>0</v>
      </c>
      <c r="E24" s="2"/>
      <c r="F24" s="19"/>
      <c r="G24" s="2"/>
      <c r="H24" s="2">
        <f>--2.24</f>
        <v>2.2400000000000002</v>
      </c>
      <c r="I24" s="2"/>
      <c r="J24" s="19"/>
      <c r="K24" s="2"/>
      <c r="L24" s="2">
        <f t="shared" si="0"/>
        <v>-2.2400000000000002</v>
      </c>
      <c r="M24" s="2"/>
      <c r="N24" s="19">
        <f t="shared" si="1"/>
        <v>-1</v>
      </c>
      <c r="O24" s="10"/>
      <c r="P24" s="2">
        <f t="shared" si="9"/>
        <v>0</v>
      </c>
      <c r="Q24" s="2"/>
      <c r="R24" s="19"/>
      <c r="S24" s="2"/>
      <c r="T24" s="2">
        <f>--1575.68</f>
        <v>1575.68</v>
      </c>
      <c r="U24" s="2"/>
      <c r="V24" s="19"/>
      <c r="W24" s="2"/>
      <c r="X24" s="2">
        <f t="shared" si="2"/>
        <v>-1575.68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"4151", " - ", "NON-TAXABLE SALES-FOOD")</f>
        <v xml:space="preserve">          4151 - NON-TAXABLE SALES-FOOD</v>
      </c>
      <c r="C25" s="10"/>
      <c r="D25" s="2">
        <f>--6614.87</f>
        <v>6614.87</v>
      </c>
      <c r="E25" s="2"/>
      <c r="F25" s="19"/>
      <c r="G25" s="2"/>
      <c r="H25" s="2">
        <f t="shared" ref="H25:H29" si="10">0</f>
        <v>0</v>
      </c>
      <c r="I25" s="2"/>
      <c r="J25" s="19"/>
      <c r="K25" s="2"/>
      <c r="L25" s="2">
        <f t="shared" si="0"/>
        <v>6614.87</v>
      </c>
      <c r="M25" s="2"/>
      <c r="N25" s="19">
        <f t="shared" si="1"/>
        <v>0</v>
      </c>
      <c r="O25" s="10"/>
      <c r="P25" s="2">
        <f>--37883.27</f>
        <v>37883.269999999997</v>
      </c>
      <c r="Q25" s="2"/>
      <c r="R25" s="19"/>
      <c r="S25" s="2"/>
      <c r="T25" s="2">
        <f>--2191470.18</f>
        <v>2191470.1800000002</v>
      </c>
      <c r="U25" s="2"/>
      <c r="V25" s="19"/>
      <c r="W25" s="2"/>
      <c r="X25" s="2">
        <f t="shared" si="2"/>
        <v>-2153586.91</v>
      </c>
      <c r="Y25" s="2"/>
      <c r="Z25" s="19">
        <f t="shared" si="3"/>
        <v>-0.98271330801316215</v>
      </c>
    </row>
    <row r="26" spans="1:26" s="23" customFormat="1" hidden="1" outlineLevel="1" x14ac:dyDescent="0.25">
      <c r="A26" s="44"/>
      <c r="B26" s="10" t="str">
        <f>CONCATENATE("          ", "4152", " - ", "NON-TAXABLE SALES-FOOD")</f>
        <v xml:space="preserve">          4152 - NON-TAXABLE SALES-FOOD</v>
      </c>
      <c r="C26" s="10"/>
      <c r="D26" s="2">
        <f>0</f>
        <v>0</v>
      </c>
      <c r="E26" s="2"/>
      <c r="F26" s="19"/>
      <c r="G26" s="2"/>
      <c r="H26" s="2">
        <f t="shared" si="10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>--11580.95</f>
        <v>11580.95</v>
      </c>
      <c r="Q26" s="2"/>
      <c r="R26" s="19"/>
      <c r="S26" s="2"/>
      <c r="T26" s="2">
        <f>--51415.27</f>
        <v>51415.27</v>
      </c>
      <c r="U26" s="2"/>
      <c r="V26" s="19"/>
      <c r="W26" s="2"/>
      <c r="X26" s="2">
        <f t="shared" si="2"/>
        <v>-39834.319999999992</v>
      </c>
      <c r="Y26" s="2"/>
      <c r="Z26" s="19">
        <f t="shared" si="3"/>
        <v>-0.77475660440954597</v>
      </c>
    </row>
    <row r="27" spans="1:26" s="23" customFormat="1" hidden="1" outlineLevel="1" x14ac:dyDescent="0.25">
      <c r="A27" s="44"/>
      <c r="B27" s="10" t="str">
        <f>CONCATENATE("          ", "4153", " - ", "NON-TAXABLE SALES-FOOD")</f>
        <v xml:space="preserve">          4153 - NON-TAXABLE SALES-FOOD</v>
      </c>
      <c r="C27" s="10"/>
      <c r="D27" s="2">
        <f>--4</f>
        <v>4</v>
      </c>
      <c r="E27" s="2"/>
      <c r="F27" s="19"/>
      <c r="G27" s="2"/>
      <c r="H27" s="2">
        <f t="shared" si="10"/>
        <v>0</v>
      </c>
      <c r="I27" s="2"/>
      <c r="J27" s="19"/>
      <c r="K27" s="2"/>
      <c r="L27" s="2">
        <f t="shared" si="0"/>
        <v>4</v>
      </c>
      <c r="M27" s="2"/>
      <c r="N27" s="19">
        <f t="shared" si="1"/>
        <v>0</v>
      </c>
      <c r="O27" s="10"/>
      <c r="P27" s="2">
        <f>--400.45</f>
        <v>400.45</v>
      </c>
      <c r="Q27" s="2"/>
      <c r="R27" s="19"/>
      <c r="S27" s="2"/>
      <c r="T27" s="2">
        <f>--12314.09</f>
        <v>12314.09</v>
      </c>
      <c r="U27" s="2"/>
      <c r="V27" s="19"/>
      <c r="W27" s="2"/>
      <c r="X27" s="2">
        <f t="shared" si="2"/>
        <v>-11913.64</v>
      </c>
      <c r="Y27" s="2"/>
      <c r="Z27" s="19">
        <f t="shared" si="3"/>
        <v>-0.96748034162491903</v>
      </c>
    </row>
    <row r="28" spans="1:26" s="23" customFormat="1" hidden="1" outlineLevel="1" x14ac:dyDescent="0.25">
      <c r="A28" s="44"/>
      <c r="B28" s="10" t="str">
        <f>CONCATENATE("          ", "4155", " - ", "NON-TAXABLE SALES-FOOD")</f>
        <v xml:space="preserve">          4155 - NON-TAXABLE SALES-FOOD</v>
      </c>
      <c r="C28" s="10"/>
      <c r="D28" s="2">
        <f t="shared" ref="D28:D29" si="11">0</f>
        <v>0</v>
      </c>
      <c r="E28" s="2"/>
      <c r="F28" s="19"/>
      <c r="G28" s="2"/>
      <c r="H28" s="2">
        <f t="shared" si="10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ref="P28:P29" si="12">0</f>
        <v>0</v>
      </c>
      <c r="Q28" s="2"/>
      <c r="R28" s="19"/>
      <c r="S28" s="2"/>
      <c r="T28" s="2">
        <f>--687389.73</f>
        <v>687389.73</v>
      </c>
      <c r="U28" s="2"/>
      <c r="V28" s="19"/>
      <c r="W28" s="2"/>
      <c r="X28" s="2">
        <f t="shared" si="2"/>
        <v>-687389.73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"4158", " - ", "NON-TAXABLE SALES-FOOD")</f>
        <v xml:space="preserve">          4158 - NON-TAXABLE SALES-FOOD</v>
      </c>
      <c r="C29" s="10"/>
      <c r="D29" s="2">
        <f t="shared" si="11"/>
        <v>0</v>
      </c>
      <c r="E29" s="2"/>
      <c r="F29" s="19"/>
      <c r="G29" s="2"/>
      <c r="H29" s="2">
        <f t="shared" si="10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12"/>
        <v>0</v>
      </c>
      <c r="Q29" s="2"/>
      <c r="R29" s="19"/>
      <c r="S29" s="2"/>
      <c r="T29" s="2">
        <f>--474853.67</f>
        <v>474853.67</v>
      </c>
      <c r="U29" s="2"/>
      <c r="V29" s="19"/>
      <c r="W29" s="2"/>
      <c r="X29" s="2">
        <f t="shared" si="2"/>
        <v>-474853.67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collapsed="1" x14ac:dyDescent="0.25">
      <c r="A31" s="11"/>
      <c r="B31" s="29" t="s">
        <v>256</v>
      </c>
      <c r="C31" s="11"/>
      <c r="D31" s="4">
        <f>SUM(OSRRefD16x_0)</f>
        <v>4214.1399999999994</v>
      </c>
      <c r="E31" s="4"/>
      <c r="F31" s="13">
        <f t="shared" ref="F31:F33" si="13">IF(D$12=0,0,D31/D$12)</f>
        <v>6.8235513186390581E-2</v>
      </c>
      <c r="G31" s="4"/>
      <c r="H31" s="4">
        <f>SUM(OSRRefH16x_0)</f>
        <v>15630.21</v>
      </c>
      <c r="I31" s="4"/>
      <c r="J31" s="13">
        <f t="shared" ref="J31:J33" si="14">IF(H$12=0,0,H31/H$12)</f>
        <v>551.13575458392097</v>
      </c>
      <c r="K31" s="4"/>
      <c r="L31" s="4">
        <f t="shared" ref="L31:L33" si="15">+D31-H31</f>
        <v>-11416.07</v>
      </c>
      <c r="M31" s="4"/>
      <c r="N31" s="13">
        <f t="shared" ref="N31:N33" si="16">IF(H31=0,0,L31/H31)</f>
        <v>-0.73038494044545788</v>
      </c>
      <c r="O31" s="11"/>
      <c r="P31" s="4">
        <f>SUM(OSRRefP16x_0)</f>
        <v>46154.28</v>
      </c>
      <c r="Q31" s="4"/>
      <c r="R31" s="13">
        <f t="shared" ref="R31:R33" si="17">IF(P$12=0,0,P31/P$12)</f>
        <v>8.8545044951196153E-2</v>
      </c>
      <c r="S31" s="4"/>
      <c r="T31" s="4">
        <f>SUM(OSRRefT16x_0)</f>
        <v>2877163.1</v>
      </c>
      <c r="U31" s="4"/>
      <c r="V31" s="13">
        <f t="shared" ref="V31:V33" si="18">IF(T$12=0,0,T31/T$12)</f>
        <v>0.41195599190601767</v>
      </c>
      <c r="W31" s="4"/>
      <c r="X31" s="4">
        <f t="shared" ref="X31:X33" si="19">+P31-T31</f>
        <v>-2831008.8200000003</v>
      </c>
      <c r="Y31" s="4"/>
      <c r="Z31" s="13">
        <f t="shared" ref="Z31:Z33" si="20">IF(T31=0,0,X31/T31)</f>
        <v>-0.98395840680703861</v>
      </c>
    </row>
    <row r="32" spans="1:26" s="23" customFormat="1" hidden="1" outlineLevel="1" x14ac:dyDescent="0.25">
      <c r="A32" s="44"/>
      <c r="B32" s="10" t="str">
        <f>CONCATENATE("          ", "5053", " - ", "PURCHASES @ COST-FOOD")</f>
        <v xml:space="preserve">          5053 - PURCHASES @ COST-FOOD</v>
      </c>
      <c r="C32" s="10"/>
      <c r="D32" s="2">
        <v>3962.14</v>
      </c>
      <c r="E32" s="2"/>
      <c r="F32" s="19">
        <f t="shared" si="13"/>
        <v>6.4155119719877737E-2</v>
      </c>
      <c r="G32" s="2"/>
      <c r="H32" s="2">
        <v>2957.21</v>
      </c>
      <c r="I32" s="2"/>
      <c r="J32" s="19">
        <f t="shared" si="14"/>
        <v>104.27397743300423</v>
      </c>
      <c r="K32" s="2"/>
      <c r="L32" s="2">
        <f t="shared" si="15"/>
        <v>1004.9299999999998</v>
      </c>
      <c r="M32" s="2"/>
      <c r="N32" s="19">
        <f t="shared" si="16"/>
        <v>0.339823685162704</v>
      </c>
      <c r="O32" s="10"/>
      <c r="P32" s="2">
        <v>9628.2800000000007</v>
      </c>
      <c r="Q32" s="2"/>
      <c r="R32" s="19">
        <f t="shared" si="17"/>
        <v>1.847145021875984E-2</v>
      </c>
      <c r="S32" s="2"/>
      <c r="T32" s="2">
        <v>2759963.31</v>
      </c>
      <c r="U32" s="2"/>
      <c r="V32" s="19">
        <f t="shared" si="18"/>
        <v>0.3951751720280528</v>
      </c>
      <c r="W32" s="2"/>
      <c r="X32" s="2">
        <f t="shared" si="19"/>
        <v>-2750335.0300000003</v>
      </c>
      <c r="Y32" s="2"/>
      <c r="Z32" s="19">
        <f t="shared" si="20"/>
        <v>-0.99651144637861155</v>
      </c>
    </row>
    <row r="33" spans="1:26" s="23" customFormat="1" hidden="1" outlineLevel="1" x14ac:dyDescent="0.25">
      <c r="A33" s="44"/>
      <c r="B33" s="10" t="str">
        <f>CONCATENATE("          ", "5059", " - ", "PURCHASES @ COST-FOOD")</f>
        <v xml:space="preserve">          5059 - PURCHASES @ COST-FOOD</v>
      </c>
      <c r="C33" s="10"/>
      <c r="D33" s="2">
        <v>252</v>
      </c>
      <c r="E33" s="2"/>
      <c r="F33" s="19">
        <f t="shared" si="13"/>
        <v>4.0803934665128421E-3</v>
      </c>
      <c r="G33" s="2"/>
      <c r="H33" s="2">
        <v>12673</v>
      </c>
      <c r="I33" s="2"/>
      <c r="J33" s="19">
        <f t="shared" si="14"/>
        <v>446.86177715091679</v>
      </c>
      <c r="K33" s="2"/>
      <c r="L33" s="2">
        <f t="shared" si="15"/>
        <v>-12421</v>
      </c>
      <c r="M33" s="2"/>
      <c r="N33" s="19">
        <f t="shared" si="16"/>
        <v>-0.98011520555511722</v>
      </c>
      <c r="O33" s="10"/>
      <c r="P33" s="2">
        <v>36526</v>
      </c>
      <c r="Q33" s="2"/>
      <c r="R33" s="19">
        <f t="shared" si="17"/>
        <v>7.0073594732436309E-2</v>
      </c>
      <c r="S33" s="2"/>
      <c r="T33" s="2">
        <v>117199.79</v>
      </c>
      <c r="U33" s="2"/>
      <c r="V33" s="19">
        <f t="shared" si="18"/>
        <v>1.6780819877964849E-2</v>
      </c>
      <c r="W33" s="2"/>
      <c r="X33" s="2">
        <f t="shared" si="19"/>
        <v>-80673.789999999994</v>
      </c>
      <c r="Y33" s="2"/>
      <c r="Z33" s="19">
        <f t="shared" si="20"/>
        <v>-0.68834415146989592</v>
      </c>
    </row>
    <row r="34" spans="1:26" x14ac:dyDescent="0.25">
      <c r="A34" s="9"/>
      <c r="B34" s="11"/>
      <c r="C34" s="11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1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x14ac:dyDescent="0.25">
      <c r="A35" s="11"/>
      <c r="B35" s="28" t="s">
        <v>107</v>
      </c>
      <c r="C35" s="28"/>
      <c r="D35" s="20">
        <f>D12-D31</f>
        <v>57544.610000000008</v>
      </c>
      <c r="E35" s="14"/>
      <c r="F35" s="21">
        <f>IF(D$12=0,0,D35/D$12)</f>
        <v>0.93176448681360946</v>
      </c>
      <c r="G35" s="14"/>
      <c r="H35" s="20">
        <f>H12-H31</f>
        <v>-15601.849999999999</v>
      </c>
      <c r="I35" s="14"/>
      <c r="J35" s="21">
        <f>IF(H$12=0,0,H35/H$12)</f>
        <v>-550.13575458392097</v>
      </c>
      <c r="K35" s="15"/>
      <c r="L35" s="20">
        <f>+D35-H35</f>
        <v>73146.460000000006</v>
      </c>
      <c r="M35" s="15"/>
      <c r="N35" s="21">
        <f>IF(H35=0,0,L35/H35)</f>
        <v>-4.6883196543999599</v>
      </c>
      <c r="O35" s="29"/>
      <c r="P35" s="20">
        <f>P12-P31</f>
        <v>475097.70000000007</v>
      </c>
      <c r="Q35" s="14"/>
      <c r="R35" s="21">
        <f>IF(P$12=0,0,P35/P$12)</f>
        <v>0.91145495504880392</v>
      </c>
      <c r="S35" s="14"/>
      <c r="T35" s="20">
        <f>T12-T31</f>
        <v>4106988.4999999995</v>
      </c>
      <c r="U35" s="14"/>
      <c r="V35" s="21">
        <f>IF(T$12=0,0,T35/T$12)</f>
        <v>0.58804400809398238</v>
      </c>
      <c r="W35" s="15"/>
      <c r="X35" s="20">
        <f>+P35-T35</f>
        <v>-3631890.7999999993</v>
      </c>
      <c r="Y35" s="15"/>
      <c r="Z35" s="21">
        <f>IF(T35=0,0,X35/T35)</f>
        <v>-0.88431969069307104</v>
      </c>
    </row>
    <row r="36" spans="1:26" x14ac:dyDescent="0.25">
      <c r="A36" s="9"/>
      <c r="B36" s="11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4" customFormat="1" x14ac:dyDescent="0.25">
      <c r="A37" s="11"/>
      <c r="B37" s="29" t="s">
        <v>294</v>
      </c>
      <c r="C37" s="11"/>
      <c r="D37" s="22">
        <f>SUM(OSRRefD22x_0)</f>
        <v>134612.78000000003</v>
      </c>
      <c r="E37" s="22"/>
      <c r="F37" s="32">
        <f t="shared" ref="F37:F47" si="21">IF(D$12=0,0,D37/D$12)</f>
        <v>2.1796551905600423</v>
      </c>
      <c r="G37" s="22"/>
      <c r="H37" s="22">
        <f>SUM(OSRRefH22x_0)</f>
        <v>173662.77999999997</v>
      </c>
      <c r="I37" s="22"/>
      <c r="J37" s="32">
        <f t="shared" ref="J37:J47" si="22">IF(H$12=0,0,H37/H$12)</f>
        <v>6123.5112834978836</v>
      </c>
      <c r="K37" s="4"/>
      <c r="L37" s="22">
        <f t="shared" ref="L37:L47" si="23">+D37-H37</f>
        <v>-39049.999999999942</v>
      </c>
      <c r="M37" s="4"/>
      <c r="N37" s="32">
        <f t="shared" ref="N37:N47" si="24">IF(H37=0,0,L37/H37)</f>
        <v>-0.22486107846482678</v>
      </c>
      <c r="O37" s="11"/>
      <c r="P37" s="22">
        <f>SUM(OSRRefP22x_0)</f>
        <v>1481759.5700000005</v>
      </c>
      <c r="Q37" s="22"/>
      <c r="R37" s="32">
        <f t="shared" ref="R37:R47" si="25">IF(P$12=0,0,P37/P$12)</f>
        <v>2.8426934128864132</v>
      </c>
      <c r="S37" s="22"/>
      <c r="T37" s="22">
        <f>SUM(OSRRefT22x_0)</f>
        <v>5726740.7200000007</v>
      </c>
      <c r="U37" s="22"/>
      <c r="V37" s="32">
        <f t="shared" ref="V37:V47" si="26">IF(T$12=0,0,T37/T$12)</f>
        <v>0.81996225855120342</v>
      </c>
      <c r="W37" s="4"/>
      <c r="X37" s="22">
        <f t="shared" ref="X37:X47" si="27">+P37-T37</f>
        <v>-4244981.1500000004</v>
      </c>
      <c r="Y37" s="4"/>
      <c r="Z37" s="32">
        <f t="shared" ref="Z37:Z47" si="28">IF(T37=0,0,X37/T37)</f>
        <v>-0.74125604031187919</v>
      </c>
    </row>
    <row r="38" spans="1:26" s="26" customFormat="1" outlineLevel="1" collapsed="1" x14ac:dyDescent="0.25">
      <c r="A38" s="25"/>
      <c r="B38" s="12" t="str">
        <f>CONCATENATE("     ","*Benefits                                         ")</f>
        <v xml:space="preserve">     *Benefits                                         </v>
      </c>
      <c r="C38" s="12"/>
      <c r="D38" s="1">
        <f>SUM(OSRRefD22_0x_0)</f>
        <v>19280.190000000002</v>
      </c>
      <c r="E38" s="1"/>
      <c r="F38" s="5">
        <f t="shared" si="21"/>
        <v>0.31218556075050097</v>
      </c>
      <c r="G38" s="1"/>
      <c r="H38" s="1">
        <f>SUM(OSRRefH22_0x_0)</f>
        <v>34494.14</v>
      </c>
      <c r="I38" s="1"/>
      <c r="J38" s="5">
        <f t="shared" si="22"/>
        <v>1216.2954866008463</v>
      </c>
      <c r="K38" s="1"/>
      <c r="L38" s="1">
        <f t="shared" si="23"/>
        <v>-15213.949999999997</v>
      </c>
      <c r="M38" s="1"/>
      <c r="N38" s="5">
        <f t="shared" si="24"/>
        <v>-0.44105897407501671</v>
      </c>
      <c r="O38" s="12"/>
      <c r="P38" s="1">
        <f>SUM(OSRRefP22_0x_0)</f>
        <v>263146.38999999996</v>
      </c>
      <c r="Q38" s="1"/>
      <c r="R38" s="5">
        <f t="shared" si="25"/>
        <v>0.50483528139307965</v>
      </c>
      <c r="S38" s="1"/>
      <c r="T38" s="1">
        <f>SUM(OSRRefT22_0x_0)</f>
        <v>755427.72999999986</v>
      </c>
      <c r="U38" s="1"/>
      <c r="V38" s="5">
        <f t="shared" si="26"/>
        <v>0.108163134660479</v>
      </c>
      <c r="W38" s="1"/>
      <c r="X38" s="1">
        <f t="shared" si="27"/>
        <v>-492281.33999999991</v>
      </c>
      <c r="Y38" s="1"/>
      <c r="Z38" s="5">
        <f t="shared" si="28"/>
        <v>-0.65165908061119227</v>
      </c>
    </row>
    <row r="39" spans="1:26" s="23" customFormat="1" hidden="1" outlineLevel="2" x14ac:dyDescent="0.25">
      <c r="A39" s="27"/>
      <c r="B39" s="10" t="str">
        <f>CONCATENATE("          ", "6111", " - ", "F.I.C.A.")</f>
        <v xml:space="preserve">          6111 - F.I.C.A.</v>
      </c>
      <c r="C39" s="10"/>
      <c r="D39" s="6">
        <v>2396.2199999999998</v>
      </c>
      <c r="E39" s="2"/>
      <c r="F39" s="7">
        <f t="shared" si="21"/>
        <v>3.8799684255267468E-2</v>
      </c>
      <c r="G39" s="2"/>
      <c r="H39" s="6">
        <v>3759.38</v>
      </c>
      <c r="I39" s="2"/>
      <c r="J39" s="7">
        <f t="shared" si="22"/>
        <v>132.5592383638928</v>
      </c>
      <c r="K39" s="2"/>
      <c r="L39" s="6">
        <f t="shared" si="23"/>
        <v>-1363.1600000000003</v>
      </c>
      <c r="M39" s="2"/>
      <c r="N39" s="7">
        <f t="shared" si="24"/>
        <v>-0.36260234400353258</v>
      </c>
      <c r="O39" s="10"/>
      <c r="P39" s="6">
        <v>31891.19</v>
      </c>
      <c r="Q39" s="2"/>
      <c r="R39" s="7">
        <f t="shared" si="25"/>
        <v>6.1181906685515125E-2</v>
      </c>
      <c r="S39" s="2"/>
      <c r="T39" s="6">
        <v>157370.4</v>
      </c>
      <c r="U39" s="2"/>
      <c r="V39" s="7">
        <f t="shared" si="26"/>
        <v>2.2532500583177489E-2</v>
      </c>
      <c r="W39" s="2"/>
      <c r="X39" s="6">
        <f t="shared" si="27"/>
        <v>-125479.20999999999</v>
      </c>
      <c r="Y39" s="2"/>
      <c r="Z39" s="7">
        <f t="shared" si="28"/>
        <v>-0.79734950155810747</v>
      </c>
    </row>
    <row r="40" spans="1:26" s="23" customFormat="1" hidden="1" outlineLevel="2" x14ac:dyDescent="0.25">
      <c r="A40" s="27"/>
      <c r="B40" s="10" t="str">
        <f>CONCATENATE("          ", "6112", " - ", "COMPENSATION INSURANCE")</f>
        <v xml:space="preserve">          6112 - COMPENSATION INSURANCE</v>
      </c>
      <c r="C40" s="10"/>
      <c r="D40" s="6">
        <v>920.55</v>
      </c>
      <c r="E40" s="2"/>
      <c r="F40" s="7">
        <f t="shared" si="21"/>
        <v>1.4905580180946017E-2</v>
      </c>
      <c r="G40" s="2"/>
      <c r="H40" s="6">
        <v>1545.38</v>
      </c>
      <c r="I40" s="2"/>
      <c r="J40" s="7">
        <f t="shared" si="22"/>
        <v>54.491537376586749</v>
      </c>
      <c r="K40" s="2"/>
      <c r="L40" s="6">
        <f t="shared" si="23"/>
        <v>-624.83000000000015</v>
      </c>
      <c r="M40" s="2"/>
      <c r="N40" s="7">
        <f t="shared" si="24"/>
        <v>-0.40432126726112677</v>
      </c>
      <c r="O40" s="10"/>
      <c r="P40" s="6">
        <v>8765.76</v>
      </c>
      <c r="Q40" s="2"/>
      <c r="R40" s="7">
        <f t="shared" si="25"/>
        <v>1.6816741875973304E-2</v>
      </c>
      <c r="S40" s="2"/>
      <c r="T40" s="6">
        <v>80380.88</v>
      </c>
      <c r="U40" s="2"/>
      <c r="V40" s="7">
        <f t="shared" si="26"/>
        <v>1.1509039981319994E-2</v>
      </c>
      <c r="W40" s="2"/>
      <c r="X40" s="6">
        <f t="shared" si="27"/>
        <v>-71615.12000000001</v>
      </c>
      <c r="Y40" s="2"/>
      <c r="Z40" s="7">
        <f t="shared" si="28"/>
        <v>-0.89094720037899566</v>
      </c>
    </row>
    <row r="41" spans="1:26" s="23" customFormat="1" hidden="1" outlineLevel="2" x14ac:dyDescent="0.25">
      <c r="A41" s="27"/>
      <c r="B41" s="10" t="str">
        <f>CONCATENATE("          ", "6113", " - ", "GROUP INSURANCE")</f>
        <v xml:space="preserve">          6113 - GROUP INSURANCE</v>
      </c>
      <c r="C41" s="10"/>
      <c r="D41" s="6">
        <v>8554.93</v>
      </c>
      <c r="E41" s="2"/>
      <c r="F41" s="7">
        <f t="shared" si="21"/>
        <v>0.13852174793045519</v>
      </c>
      <c r="G41" s="2"/>
      <c r="H41" s="6">
        <v>18239.05</v>
      </c>
      <c r="I41" s="2"/>
      <c r="J41" s="7">
        <f t="shared" si="22"/>
        <v>643.12588152327226</v>
      </c>
      <c r="K41" s="2"/>
      <c r="L41" s="6">
        <f t="shared" si="23"/>
        <v>-9684.119999999999</v>
      </c>
      <c r="M41" s="2"/>
      <c r="N41" s="7">
        <f t="shared" si="24"/>
        <v>-0.5309552855000671</v>
      </c>
      <c r="O41" s="10"/>
      <c r="P41" s="6">
        <v>121774.22</v>
      </c>
      <c r="Q41" s="2"/>
      <c r="R41" s="7">
        <f t="shared" si="25"/>
        <v>0.23361871929963698</v>
      </c>
      <c r="S41" s="2"/>
      <c r="T41" s="6">
        <v>295651.58</v>
      </c>
      <c r="U41" s="2"/>
      <c r="V41" s="7">
        <f t="shared" si="26"/>
        <v>4.2331781572438956E-2</v>
      </c>
      <c r="W41" s="2"/>
      <c r="X41" s="6">
        <f t="shared" si="27"/>
        <v>-173877.36000000002</v>
      </c>
      <c r="Y41" s="2"/>
      <c r="Z41" s="7">
        <f t="shared" si="28"/>
        <v>-0.58811578142081977</v>
      </c>
    </row>
    <row r="42" spans="1:26" s="23" customFormat="1" hidden="1" outlineLevel="2" x14ac:dyDescent="0.25">
      <c r="A42" s="27"/>
      <c r="B42" s="10" t="str">
        <f>CONCATENATE("          ", "6114", " - ", "STATE UNEMPLOYMENT INSURANCE")</f>
        <v xml:space="preserve">          6114 - STATE UNEMPLOYMENT INSURANCE</v>
      </c>
      <c r="C42" s="10"/>
      <c r="D42" s="6">
        <v>118.49</v>
      </c>
      <c r="E42" s="2"/>
      <c r="F42" s="7">
        <f t="shared" si="21"/>
        <v>1.918594531139312E-3</v>
      </c>
      <c r="G42" s="2"/>
      <c r="H42" s="6">
        <v>190.67</v>
      </c>
      <c r="I42" s="2"/>
      <c r="J42" s="7">
        <f t="shared" si="22"/>
        <v>6.7232016925246825</v>
      </c>
      <c r="K42" s="2"/>
      <c r="L42" s="6">
        <f t="shared" si="23"/>
        <v>-72.179999999999993</v>
      </c>
      <c r="M42" s="2"/>
      <c r="N42" s="7">
        <f t="shared" si="24"/>
        <v>-0.37855981538784284</v>
      </c>
      <c r="O42" s="10"/>
      <c r="P42" s="6">
        <v>1162.6099999999999</v>
      </c>
      <c r="Q42" s="2"/>
      <c r="R42" s="7">
        <f t="shared" si="25"/>
        <v>2.230418386132557E-3</v>
      </c>
      <c r="S42" s="2"/>
      <c r="T42" s="6">
        <v>7547.47</v>
      </c>
      <c r="U42" s="2"/>
      <c r="V42" s="7">
        <f t="shared" si="26"/>
        <v>1.0806566684491788E-3</v>
      </c>
      <c r="W42" s="2"/>
      <c r="X42" s="6">
        <f t="shared" si="27"/>
        <v>-6384.8600000000006</v>
      </c>
      <c r="Y42" s="2"/>
      <c r="Z42" s="7">
        <f t="shared" si="28"/>
        <v>-0.84596030192899085</v>
      </c>
    </row>
    <row r="43" spans="1:26" s="23" customFormat="1" hidden="1" outlineLevel="2" x14ac:dyDescent="0.25">
      <c r="A43" s="27"/>
      <c r="B43" s="10" t="str">
        <f>CONCATENATE("          ", "6115", " - ", "P.E.R.S.")</f>
        <v xml:space="preserve">          6115 - P.E.R.S.</v>
      </c>
      <c r="C43" s="10"/>
      <c r="D43" s="6">
        <v>2783.65</v>
      </c>
      <c r="E43" s="2"/>
      <c r="F43" s="7">
        <f t="shared" si="21"/>
        <v>4.5072965369279655E-2</v>
      </c>
      <c r="G43" s="2"/>
      <c r="H43" s="6">
        <v>4349.3900000000003</v>
      </c>
      <c r="I43" s="2"/>
      <c r="J43" s="7">
        <f t="shared" si="22"/>
        <v>153.36354019746122</v>
      </c>
      <c r="K43" s="2"/>
      <c r="L43" s="6">
        <f t="shared" si="23"/>
        <v>-1565.7400000000002</v>
      </c>
      <c r="M43" s="2"/>
      <c r="N43" s="7">
        <f t="shared" si="24"/>
        <v>-0.35999071134113064</v>
      </c>
      <c r="O43" s="10"/>
      <c r="P43" s="6">
        <v>40740.129999999997</v>
      </c>
      <c r="Q43" s="2"/>
      <c r="R43" s="7">
        <f t="shared" si="25"/>
        <v>7.8158225892974054E-2</v>
      </c>
      <c r="S43" s="2"/>
      <c r="T43" s="6">
        <v>92623.39</v>
      </c>
      <c r="U43" s="2"/>
      <c r="V43" s="7">
        <f t="shared" si="26"/>
        <v>1.326193864405807E-2</v>
      </c>
      <c r="W43" s="2"/>
      <c r="X43" s="6">
        <f t="shared" si="27"/>
        <v>-51883.26</v>
      </c>
      <c r="Y43" s="2"/>
      <c r="Z43" s="7">
        <f t="shared" si="28"/>
        <v>-0.56015289442547933</v>
      </c>
    </row>
    <row r="44" spans="1:26" s="23" customFormat="1" hidden="1" outlineLevel="2" x14ac:dyDescent="0.25">
      <c r="A44" s="27"/>
      <c r="B44" s="10" t="str">
        <f>CONCATENATE("          ", "6117", " - ", "RETIREMENT STAFF HOURLY")</f>
        <v xml:space="preserve">          6117 - RETIREMENT STAFF HOURLY</v>
      </c>
      <c r="C44" s="10"/>
      <c r="D44" s="6"/>
      <c r="E44" s="2"/>
      <c r="F44" s="7">
        <f t="shared" si="21"/>
        <v>0</v>
      </c>
      <c r="G44" s="2"/>
      <c r="H44" s="6"/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0"/>
      <c r="P44" s="6"/>
      <c r="Q44" s="2"/>
      <c r="R44" s="7">
        <f t="shared" si="25"/>
        <v>0</v>
      </c>
      <c r="S44" s="2"/>
      <c r="T44" s="6">
        <v>1352.45</v>
      </c>
      <c r="U44" s="2"/>
      <c r="V44" s="7">
        <f t="shared" si="26"/>
        <v>1.9364556748739534E-4</v>
      </c>
      <c r="W44" s="2"/>
      <c r="X44" s="6">
        <f t="shared" si="27"/>
        <v>-1352.45</v>
      </c>
      <c r="Y44" s="2"/>
      <c r="Z44" s="7">
        <f t="shared" si="28"/>
        <v>-1</v>
      </c>
    </row>
    <row r="45" spans="1:26" s="23" customFormat="1" hidden="1" outlineLevel="2" x14ac:dyDescent="0.25">
      <c r="A45" s="27"/>
      <c r="B45" s="10" t="str">
        <f>CONCATENATE("          ", "6118", " - ", "VACATION")</f>
        <v xml:space="preserve">          6118 - VACATION</v>
      </c>
      <c r="C45" s="10"/>
      <c r="D45" s="6">
        <v>2462.92</v>
      </c>
      <c r="E45" s="2"/>
      <c r="F45" s="7">
        <f t="shared" si="21"/>
        <v>3.987969316088813E-2</v>
      </c>
      <c r="G45" s="2"/>
      <c r="H45" s="6">
        <v>3509.82</v>
      </c>
      <c r="I45" s="2"/>
      <c r="J45" s="7">
        <f t="shared" si="22"/>
        <v>123.75952045133992</v>
      </c>
      <c r="K45" s="2"/>
      <c r="L45" s="6">
        <f t="shared" si="23"/>
        <v>-1046.9000000000001</v>
      </c>
      <c r="M45" s="2"/>
      <c r="N45" s="7">
        <f t="shared" si="24"/>
        <v>-0.29827740453926416</v>
      </c>
      <c r="O45" s="10"/>
      <c r="P45" s="6">
        <v>32978.22</v>
      </c>
      <c r="Q45" s="2"/>
      <c r="R45" s="7">
        <f t="shared" si="25"/>
        <v>6.3267328020509384E-2</v>
      </c>
      <c r="S45" s="2"/>
      <c r="T45" s="6">
        <v>88475.93</v>
      </c>
      <c r="U45" s="2"/>
      <c r="V45" s="7">
        <f t="shared" si="26"/>
        <v>1.2668099873433446E-2</v>
      </c>
      <c r="W45" s="2"/>
      <c r="X45" s="6">
        <f t="shared" si="27"/>
        <v>-55497.709999999992</v>
      </c>
      <c r="Y45" s="2"/>
      <c r="Z45" s="7">
        <f t="shared" si="28"/>
        <v>-0.62726336982273023</v>
      </c>
    </row>
    <row r="46" spans="1:26" s="23" customFormat="1" hidden="1" outlineLevel="2" x14ac:dyDescent="0.25">
      <c r="A46" s="27"/>
      <c r="B46" s="10" t="str">
        <f>CONCATENATE("          ", "6119", " - ", "SICK LEAVE")</f>
        <v xml:space="preserve">          6119 - SICK LEAVE</v>
      </c>
      <c r="C46" s="10"/>
      <c r="D46" s="6">
        <v>1382.86</v>
      </c>
      <c r="E46" s="2"/>
      <c r="F46" s="7">
        <f t="shared" si="21"/>
        <v>2.2391321067864872E-2</v>
      </c>
      <c r="G46" s="2"/>
      <c r="H46" s="6">
        <v>2296.34</v>
      </c>
      <c r="I46" s="2"/>
      <c r="J46" s="7">
        <f t="shared" si="22"/>
        <v>80.97108603667138</v>
      </c>
      <c r="K46" s="2"/>
      <c r="L46" s="6">
        <f t="shared" si="23"/>
        <v>-913.48000000000025</v>
      </c>
      <c r="M46" s="2"/>
      <c r="N46" s="7">
        <f t="shared" si="24"/>
        <v>-0.39779823545293824</v>
      </c>
      <c r="O46" s="10"/>
      <c r="P46" s="6">
        <v>19412.47</v>
      </c>
      <c r="Q46" s="2"/>
      <c r="R46" s="7">
        <f t="shared" si="25"/>
        <v>3.7242007215013362E-2</v>
      </c>
      <c r="S46" s="2"/>
      <c r="T46" s="6">
        <v>931.77</v>
      </c>
      <c r="U46" s="2"/>
      <c r="V46" s="7">
        <f t="shared" si="26"/>
        <v>1.3341205251042948E-4</v>
      </c>
      <c r="W46" s="2"/>
      <c r="X46" s="6">
        <f t="shared" si="27"/>
        <v>18480.7</v>
      </c>
      <c r="Y46" s="2"/>
      <c r="Z46" s="7">
        <f t="shared" si="28"/>
        <v>19.833971902937421</v>
      </c>
    </row>
    <row r="47" spans="1:26" s="23" customFormat="1" hidden="1" outlineLevel="2" x14ac:dyDescent="0.25">
      <c r="A47" s="27"/>
      <c r="B47" s="10" t="str">
        <f>CONCATENATE("          ", "6156", " - ", "EMPLOYEE MEALS")</f>
        <v xml:space="preserve">          6156 - EMPLOYEE MEALS</v>
      </c>
      <c r="C47" s="10"/>
      <c r="D47" s="6">
        <v>660.57</v>
      </c>
      <c r="E47" s="2"/>
      <c r="F47" s="7">
        <f t="shared" si="21"/>
        <v>1.0695974254660271E-2</v>
      </c>
      <c r="G47" s="2"/>
      <c r="H47" s="6">
        <v>604.11</v>
      </c>
      <c r="I47" s="2"/>
      <c r="J47" s="7">
        <f t="shared" si="22"/>
        <v>21.301480959097322</v>
      </c>
      <c r="K47" s="2"/>
      <c r="L47" s="6">
        <f t="shared" si="23"/>
        <v>56.460000000000036</v>
      </c>
      <c r="M47" s="2"/>
      <c r="N47" s="7">
        <f t="shared" si="24"/>
        <v>9.3459800367482804E-2</v>
      </c>
      <c r="O47" s="10"/>
      <c r="P47" s="6">
        <v>6421.79</v>
      </c>
      <c r="Q47" s="2"/>
      <c r="R47" s="7">
        <f t="shared" si="25"/>
        <v>1.2319934017324979E-2</v>
      </c>
      <c r="S47" s="2"/>
      <c r="T47" s="6">
        <v>31093.86</v>
      </c>
      <c r="U47" s="2"/>
      <c r="V47" s="7">
        <f t="shared" si="26"/>
        <v>4.4520597176040686E-3</v>
      </c>
      <c r="W47" s="2"/>
      <c r="X47" s="6">
        <f t="shared" si="27"/>
        <v>-24672.07</v>
      </c>
      <c r="Y47" s="2"/>
      <c r="Z47" s="7">
        <f t="shared" si="28"/>
        <v>-0.79347080098771905</v>
      </c>
    </row>
    <row r="48" spans="1:26" s="26" customFormat="1" outlineLevel="1" collapsed="1" x14ac:dyDescent="0.25">
      <c r="A48" s="25"/>
      <c r="B48" s="12" t="str">
        <f>CONCATENATE("     ","*Payroll                                          ")</f>
        <v xml:space="preserve">     *Payroll                                          </v>
      </c>
      <c r="C48" s="12"/>
      <c r="D48" s="1">
        <f>SUM(OSRRefD22_1x_0)</f>
        <v>26587.039999999994</v>
      </c>
      <c r="E48" s="1"/>
      <c r="F48" s="5">
        <f t="shared" ref="F48:F55" si="29">IF(D$12=0,0,D48/D$12)</f>
        <v>0.43049835043617285</v>
      </c>
      <c r="G48" s="1"/>
      <c r="H48" s="1">
        <f>SUM(OSRRefH22_1x_0)</f>
        <v>38021.42</v>
      </c>
      <c r="I48" s="1"/>
      <c r="J48" s="5">
        <f t="shared" ref="J48:J55" si="30">IF(H$12=0,0,H48/H$12)</f>
        <v>1340.6706629055006</v>
      </c>
      <c r="K48" s="1"/>
      <c r="L48" s="1">
        <f t="shared" ref="L48:L55" si="31">+D48-H48</f>
        <v>-11434.380000000005</v>
      </c>
      <c r="M48" s="1"/>
      <c r="N48" s="5">
        <f t="shared" ref="N48:N55" si="32">IF(H48=0,0,L48/H48)</f>
        <v>-0.30073521714864948</v>
      </c>
      <c r="O48" s="12"/>
      <c r="P48" s="1">
        <f>SUM(OSRRefP22_1x_0)</f>
        <v>361474.98000000004</v>
      </c>
      <c r="Q48" s="1"/>
      <c r="R48" s="5">
        <f t="shared" ref="R48:R55" si="33">IF(P$12=0,0,P48/P$12)</f>
        <v>0.69347454565064681</v>
      </c>
      <c r="S48" s="1"/>
      <c r="T48" s="1">
        <f>SUM(OSRRefT22_1x_0)</f>
        <v>2641555.41</v>
      </c>
      <c r="U48" s="1"/>
      <c r="V48" s="5">
        <f t="shared" ref="V48:V55" si="34">IF(T$12=0,0,T48/T$12)</f>
        <v>0.3782213733733959</v>
      </c>
      <c r="W48" s="1"/>
      <c r="X48" s="1">
        <f t="shared" ref="X48:X55" si="35">+P48-T48</f>
        <v>-2280080.4300000002</v>
      </c>
      <c r="Y48" s="1"/>
      <c r="Z48" s="5">
        <f t="shared" ref="Z48:Z55" si="36">IF(T48=0,0,X48/T48)</f>
        <v>-0.86315828218799318</v>
      </c>
    </row>
    <row r="49" spans="1:26" s="23" customFormat="1" hidden="1" outlineLevel="2" x14ac:dyDescent="0.25">
      <c r="A49" s="27"/>
      <c r="B49" s="10" t="str">
        <f>CONCATENATE("          ", "6001", " - ", "ADMINISTRATIVE SALARIES")</f>
        <v xml:space="preserve">          6001 - ADMINISTRATIVE SALARIES</v>
      </c>
      <c r="C49" s="10"/>
      <c r="D49" s="6">
        <v>8301.9599999999991</v>
      </c>
      <c r="E49" s="2"/>
      <c r="F49" s="7">
        <f t="shared" si="29"/>
        <v>0.13442564818750377</v>
      </c>
      <c r="G49" s="2"/>
      <c r="H49" s="6">
        <v>9962.35</v>
      </c>
      <c r="I49" s="2"/>
      <c r="J49" s="7">
        <f t="shared" si="30"/>
        <v>351.28173483779972</v>
      </c>
      <c r="K49" s="2"/>
      <c r="L49" s="6">
        <f t="shared" si="31"/>
        <v>-1660.3900000000012</v>
      </c>
      <c r="M49" s="2"/>
      <c r="N49" s="7">
        <f t="shared" si="32"/>
        <v>-0.16666649937012865</v>
      </c>
      <c r="O49" s="10"/>
      <c r="P49" s="6">
        <v>119358.13</v>
      </c>
      <c r="Q49" s="2"/>
      <c r="R49" s="7">
        <f t="shared" si="33"/>
        <v>0.22898355225432429</v>
      </c>
      <c r="S49" s="2"/>
      <c r="T49" s="6">
        <v>179437.74</v>
      </c>
      <c r="U49" s="2"/>
      <c r="V49" s="7">
        <f t="shared" si="34"/>
        <v>2.5692131310551737E-2</v>
      </c>
      <c r="W49" s="2"/>
      <c r="X49" s="6">
        <f t="shared" si="35"/>
        <v>-60079.609999999986</v>
      </c>
      <c r="Y49" s="2"/>
      <c r="Z49" s="7">
        <f t="shared" si="36"/>
        <v>-0.3348214818131347</v>
      </c>
    </row>
    <row r="50" spans="1:26" s="23" customFormat="1" hidden="1" outlineLevel="2" x14ac:dyDescent="0.25">
      <c r="A50" s="27"/>
      <c r="B50" s="10" t="str">
        <f>CONCATENATE("          ", "6002", " - ", "STAFF SALARIES")</f>
        <v xml:space="preserve">          6002 - STAFF SALARIES</v>
      </c>
      <c r="C50" s="10"/>
      <c r="D50" s="6">
        <v>14361.06</v>
      </c>
      <c r="E50" s="2"/>
      <c r="F50" s="7">
        <f t="shared" si="29"/>
        <v>0.23253482300078931</v>
      </c>
      <c r="G50" s="2"/>
      <c r="H50" s="6">
        <v>27809.07</v>
      </c>
      <c r="I50" s="2"/>
      <c r="J50" s="7">
        <f t="shared" si="30"/>
        <v>980.5736953455571</v>
      </c>
      <c r="K50" s="2"/>
      <c r="L50" s="6">
        <f t="shared" si="31"/>
        <v>-13448.01</v>
      </c>
      <c r="M50" s="2"/>
      <c r="N50" s="7">
        <f t="shared" si="32"/>
        <v>-0.4835835934103514</v>
      </c>
      <c r="O50" s="10"/>
      <c r="P50" s="6">
        <v>204042.77</v>
      </c>
      <c r="Q50" s="2"/>
      <c r="R50" s="7">
        <f t="shared" si="33"/>
        <v>0.3914474722954529</v>
      </c>
      <c r="S50" s="2"/>
      <c r="T50" s="6">
        <v>765113.28</v>
      </c>
      <c r="U50" s="2"/>
      <c r="V50" s="7">
        <f t="shared" si="34"/>
        <v>0.10954992443176635</v>
      </c>
      <c r="W50" s="2"/>
      <c r="X50" s="6">
        <f t="shared" si="35"/>
        <v>-561070.51</v>
      </c>
      <c r="Y50" s="2"/>
      <c r="Z50" s="7">
        <f t="shared" si="36"/>
        <v>-0.73331691484952399</v>
      </c>
    </row>
    <row r="51" spans="1:26" s="23" customFormat="1" hidden="1" outlineLevel="2" x14ac:dyDescent="0.25">
      <c r="A51" s="27"/>
      <c r="B51" s="10" t="str">
        <f>CONCATENATE("          ", "6004", " - ", "STAFF HOURLY")</f>
        <v xml:space="preserve">          6004 - STAFF HOURLY</v>
      </c>
      <c r="C51" s="10"/>
      <c r="D51" s="6">
        <v>2883.67</v>
      </c>
      <c r="E51" s="2"/>
      <c r="F51" s="7">
        <f t="shared" si="29"/>
        <v>4.6692492966583676E-2</v>
      </c>
      <c r="G51" s="2"/>
      <c r="H51" s="6">
        <v>250</v>
      </c>
      <c r="I51" s="2"/>
      <c r="J51" s="7">
        <f t="shared" si="30"/>
        <v>8.8152327221438647</v>
      </c>
      <c r="K51" s="2"/>
      <c r="L51" s="6">
        <f t="shared" si="31"/>
        <v>2633.67</v>
      </c>
      <c r="M51" s="2"/>
      <c r="N51" s="7">
        <f t="shared" si="32"/>
        <v>10.53468</v>
      </c>
      <c r="O51" s="10"/>
      <c r="P51" s="6">
        <v>31463.03</v>
      </c>
      <c r="Q51" s="2"/>
      <c r="R51" s="7">
        <f t="shared" si="33"/>
        <v>6.0360499733737215E-2</v>
      </c>
      <c r="S51" s="2"/>
      <c r="T51" s="6">
        <v>217791.13</v>
      </c>
      <c r="U51" s="2"/>
      <c r="V51" s="7">
        <f t="shared" si="34"/>
        <v>3.118362006918636E-2</v>
      </c>
      <c r="W51" s="2"/>
      <c r="X51" s="6">
        <f t="shared" si="35"/>
        <v>-186328.1</v>
      </c>
      <c r="Y51" s="2"/>
      <c r="Z51" s="7">
        <f t="shared" si="36"/>
        <v>-0.85553576034065304</v>
      </c>
    </row>
    <row r="52" spans="1:26" s="23" customFormat="1" hidden="1" outlineLevel="2" x14ac:dyDescent="0.25">
      <c r="A52" s="27"/>
      <c r="B52" s="10" t="str">
        <f>CONCATENATE("          ", "6005", " - ", "TEMPORARY WAGES-HOURLY")</f>
        <v xml:space="preserve">          6005 - TEMPORARY WAGES-HOURLY</v>
      </c>
      <c r="C52" s="10"/>
      <c r="D52" s="6">
        <v>1040.3499999999999</v>
      </c>
      <c r="E52" s="2"/>
      <c r="F52" s="7">
        <f t="shared" si="29"/>
        <v>1.6845386281296171E-2</v>
      </c>
      <c r="G52" s="2"/>
      <c r="H52" s="6"/>
      <c r="I52" s="2"/>
      <c r="J52" s="7">
        <f t="shared" si="30"/>
        <v>0</v>
      </c>
      <c r="K52" s="2"/>
      <c r="L52" s="6">
        <f t="shared" si="31"/>
        <v>1040.3499999999999</v>
      </c>
      <c r="M52" s="2"/>
      <c r="N52" s="7">
        <f t="shared" si="32"/>
        <v>0</v>
      </c>
      <c r="O52" s="10"/>
      <c r="P52" s="6">
        <v>6463.36</v>
      </c>
      <c r="Q52" s="2"/>
      <c r="R52" s="7">
        <f t="shared" si="33"/>
        <v>1.2399684313908983E-2</v>
      </c>
      <c r="S52" s="2"/>
      <c r="T52" s="6">
        <v>505027.62</v>
      </c>
      <c r="U52" s="2"/>
      <c r="V52" s="7">
        <f t="shared" si="34"/>
        <v>7.2310518001928822E-2</v>
      </c>
      <c r="W52" s="2"/>
      <c r="X52" s="6">
        <f t="shared" si="35"/>
        <v>-498564.26</v>
      </c>
      <c r="Y52" s="2"/>
      <c r="Z52" s="7">
        <f t="shared" si="36"/>
        <v>-0.98720196729042264</v>
      </c>
    </row>
    <row r="53" spans="1:26" s="23" customFormat="1" hidden="1" outlineLevel="2" x14ac:dyDescent="0.25">
      <c r="A53" s="27"/>
      <c r="B53" s="10" t="str">
        <f>CONCATENATE("          ", "6006", " - ", "TEMPORARY PART TIME")</f>
        <v xml:space="preserve">          6006 - TEMPORARY PART TIME</v>
      </c>
      <c r="C53" s="10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0"/>
      <c r="P53" s="6"/>
      <c r="Q53" s="2"/>
      <c r="R53" s="7">
        <f t="shared" si="33"/>
        <v>0</v>
      </c>
      <c r="S53" s="2"/>
      <c r="T53" s="6">
        <v>33612.15</v>
      </c>
      <c r="U53" s="2"/>
      <c r="V53" s="7">
        <f t="shared" si="34"/>
        <v>4.8126317876605092E-3</v>
      </c>
      <c r="W53" s="2"/>
      <c r="X53" s="6">
        <f t="shared" si="35"/>
        <v>-33612.15</v>
      </c>
      <c r="Y53" s="2"/>
      <c r="Z53" s="7">
        <f t="shared" si="36"/>
        <v>-1</v>
      </c>
    </row>
    <row r="54" spans="1:26" s="23" customFormat="1" hidden="1" outlineLevel="2" x14ac:dyDescent="0.25">
      <c r="A54" s="27"/>
      <c r="B54" s="10" t="str">
        <f>CONCATENATE("          ", "6007", " - ", "STUDENT HOURLY")</f>
        <v xml:space="preserve">          6007 - STUDENT HOURLY</v>
      </c>
      <c r="C54" s="10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0"/>
      <c r="P54" s="6">
        <v>147.69</v>
      </c>
      <c r="Q54" s="2"/>
      <c r="R54" s="7">
        <f t="shared" si="33"/>
        <v>2.8333705322327983E-4</v>
      </c>
      <c r="S54" s="2"/>
      <c r="T54" s="6">
        <v>893279.31</v>
      </c>
      <c r="U54" s="2"/>
      <c r="V54" s="7">
        <f t="shared" si="34"/>
        <v>0.12790090495744683</v>
      </c>
      <c r="W54" s="2"/>
      <c r="X54" s="6">
        <f t="shared" si="35"/>
        <v>-893131.62000000011</v>
      </c>
      <c r="Y54" s="2"/>
      <c r="Z54" s="7">
        <f t="shared" si="36"/>
        <v>-0.999834665374708</v>
      </c>
    </row>
    <row r="55" spans="1:26" s="23" customFormat="1" hidden="1" outlineLevel="2" x14ac:dyDescent="0.25">
      <c r="A55" s="27"/>
      <c r="B55" s="10" t="str">
        <f>CONCATENATE("          ", "6008", " - ", "STUDENT HOURLY-FICA EXEMPT")</f>
        <v xml:space="preserve">          6008 - STUDENT HOURLY-FICA EXEMPT</v>
      </c>
      <c r="C55" s="10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0"/>
      <c r="P55" s="6"/>
      <c r="Q55" s="2"/>
      <c r="R55" s="7">
        <f t="shared" si="33"/>
        <v>0</v>
      </c>
      <c r="S55" s="2"/>
      <c r="T55" s="6">
        <v>47294.18</v>
      </c>
      <c r="U55" s="2"/>
      <c r="V55" s="7">
        <f t="shared" si="34"/>
        <v>6.7716428148552792E-3</v>
      </c>
      <c r="W55" s="2"/>
      <c r="X55" s="6">
        <f t="shared" si="35"/>
        <v>-47294.18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6.3</v>
      </c>
      <c r="E56" s="1"/>
      <c r="F56" s="5">
        <f t="shared" ref="F56:F65" si="37">IF(D$12=0,0,D56/D$12)</f>
        <v>1.0200983666282105E-4</v>
      </c>
      <c r="G56" s="1"/>
      <c r="H56" s="1">
        <f>SUM(OSRRefH22_2x_0)</f>
        <v>109.76</v>
      </c>
      <c r="I56" s="1"/>
      <c r="J56" s="5">
        <f t="shared" ref="J56:J65" si="38">IF(H$12=0,0,H56/H$12)</f>
        <v>3.8702397743300425</v>
      </c>
      <c r="K56" s="1"/>
      <c r="L56" s="1">
        <f t="shared" ref="L56:L65" si="39">+D56-H56</f>
        <v>-103.46000000000001</v>
      </c>
      <c r="M56" s="1"/>
      <c r="N56" s="5">
        <f t="shared" ref="N56:N65" si="40">IF(H56=0,0,L56/H56)</f>
        <v>-0.94260204081632659</v>
      </c>
      <c r="O56" s="12"/>
      <c r="P56" s="1">
        <f>SUM(OSRRefP22_2x_0)</f>
        <v>447.45</v>
      </c>
      <c r="Q56" s="1"/>
      <c r="R56" s="5">
        <f t="shared" ref="R56:R65" si="41">IF(P$12=0,0,P56/P$12)</f>
        <v>8.5841400544895763E-4</v>
      </c>
      <c r="S56" s="1"/>
      <c r="T56" s="1">
        <f>SUM(OSRRefT22_2x_0)</f>
        <v>32110.92</v>
      </c>
      <c r="U56" s="1"/>
      <c r="V56" s="5">
        <f t="shared" ref="V56:V65" si="42">IF(T$12=0,0,T56/T$12)</f>
        <v>4.5976837043457076E-3</v>
      </c>
      <c r="W56" s="1"/>
      <c r="X56" s="1">
        <f t="shared" ref="X56:X65" si="43">+P56-T56</f>
        <v>-31663.469999999998</v>
      </c>
      <c r="Y56" s="1"/>
      <c r="Z56" s="5">
        <f t="shared" ref="Z56:Z65" si="44">IF(T56=0,0,X56/T56)</f>
        <v>-0.98606548800221228</v>
      </c>
    </row>
    <row r="57" spans="1:26" s="23" customFormat="1" hidden="1" outlineLevel="2" x14ac:dyDescent="0.25">
      <c r="A57" s="27"/>
      <c r="B57" s="10" t="str">
        <f>CONCATENATE("          ", "6362", " - ", "ADVERTISING EXPENSE")</f>
        <v xml:space="preserve">          6362 - ADVERTISING EXPENSE</v>
      </c>
      <c r="C57" s="10"/>
      <c r="D57" s="6">
        <v>6.3</v>
      </c>
      <c r="E57" s="2"/>
      <c r="F57" s="7">
        <f t="shared" si="37"/>
        <v>1.0200983666282105E-4</v>
      </c>
      <c r="G57" s="2"/>
      <c r="H57" s="6">
        <v>109.76</v>
      </c>
      <c r="I57" s="2"/>
      <c r="J57" s="7">
        <f t="shared" si="38"/>
        <v>3.8702397743300425</v>
      </c>
      <c r="K57" s="2"/>
      <c r="L57" s="6">
        <f t="shared" si="39"/>
        <v>-103.46000000000001</v>
      </c>
      <c r="M57" s="2"/>
      <c r="N57" s="7">
        <f t="shared" si="40"/>
        <v>-0.94260204081632659</v>
      </c>
      <c r="O57" s="10"/>
      <c r="P57" s="6">
        <v>447.45</v>
      </c>
      <c r="Q57" s="2"/>
      <c r="R57" s="7">
        <f t="shared" si="41"/>
        <v>8.5841400544895763E-4</v>
      </c>
      <c r="S57" s="2"/>
      <c r="T57" s="6">
        <v>32110.92</v>
      </c>
      <c r="U57" s="2"/>
      <c r="V57" s="7">
        <f t="shared" si="42"/>
        <v>4.5976837043457076E-3</v>
      </c>
      <c r="W57" s="2"/>
      <c r="X57" s="6">
        <f t="shared" si="43"/>
        <v>-31663.469999999998</v>
      </c>
      <c r="Y57" s="2"/>
      <c r="Z57" s="7">
        <f t="shared" si="44"/>
        <v>-0.98606548800221228</v>
      </c>
    </row>
    <row r="58" spans="1:26" s="26" customFormat="1" outlineLevel="1" collapsed="1" x14ac:dyDescent="0.25">
      <c r="A58" s="25"/>
      <c r="B58" s="12" t="str">
        <f>CONCATENATE("     ","Bad Debts/Over/Short                              ")</f>
        <v xml:space="preserve">     Bad Debts/Over/Short                              </v>
      </c>
      <c r="C58" s="12"/>
      <c r="D58" s="1">
        <f>SUM(OSRRefD22_3x_0)</f>
        <v>7.22</v>
      </c>
      <c r="E58" s="1"/>
      <c r="F58" s="5">
        <f t="shared" si="37"/>
        <v>1.1690651122310602E-4</v>
      </c>
      <c r="G58" s="1"/>
      <c r="H58" s="1">
        <f>SUM(OSRRefH22_3x_0)</f>
        <v>0</v>
      </c>
      <c r="I58" s="1"/>
      <c r="J58" s="5">
        <f t="shared" si="38"/>
        <v>0</v>
      </c>
      <c r="K58" s="1"/>
      <c r="L58" s="1">
        <f t="shared" si="39"/>
        <v>7.22</v>
      </c>
      <c r="M58" s="1"/>
      <c r="N58" s="5">
        <f t="shared" si="40"/>
        <v>0</v>
      </c>
      <c r="O58" s="12"/>
      <c r="P58" s="1">
        <f>SUM(OSRRefP22_3x_0)</f>
        <v>19.510000000000002</v>
      </c>
      <c r="Q58" s="1"/>
      <c r="R58" s="5">
        <f t="shared" si="41"/>
        <v>3.7429114417944273E-5</v>
      </c>
      <c r="S58" s="1"/>
      <c r="T58" s="1">
        <f>SUM(OSRRefT22_3x_0)</f>
        <v>-689.57</v>
      </c>
      <c r="U58" s="1"/>
      <c r="V58" s="5">
        <f t="shared" si="42"/>
        <v>-9.8733538372792492E-5</v>
      </c>
      <c r="W58" s="1"/>
      <c r="X58" s="1">
        <f t="shared" si="43"/>
        <v>709.08</v>
      </c>
      <c r="Y58" s="1"/>
      <c r="Z58" s="5">
        <f t="shared" si="44"/>
        <v>-1.0282929941847818</v>
      </c>
    </row>
    <row r="59" spans="1:26" s="23" customFormat="1" hidden="1" outlineLevel="2" x14ac:dyDescent="0.25">
      <c r="A59" s="27"/>
      <c r="B59" s="10" t="str">
        <f>CONCATENATE("          ", "6272", " - ", "CASH (OVER/SHORT)")</f>
        <v xml:space="preserve">          6272 - CASH (OVER/SHORT)</v>
      </c>
      <c r="C59" s="10"/>
      <c r="D59" s="6">
        <v>7.22</v>
      </c>
      <c r="E59" s="2"/>
      <c r="F59" s="7">
        <f t="shared" si="37"/>
        <v>1.1690651122310602E-4</v>
      </c>
      <c r="G59" s="2"/>
      <c r="H59" s="6"/>
      <c r="I59" s="2"/>
      <c r="J59" s="7">
        <f t="shared" si="38"/>
        <v>0</v>
      </c>
      <c r="K59" s="2"/>
      <c r="L59" s="6">
        <f t="shared" si="39"/>
        <v>7.22</v>
      </c>
      <c r="M59" s="2"/>
      <c r="N59" s="7">
        <f t="shared" si="40"/>
        <v>0</v>
      </c>
      <c r="O59" s="10"/>
      <c r="P59" s="6">
        <v>19.510000000000002</v>
      </c>
      <c r="Q59" s="2"/>
      <c r="R59" s="7">
        <f t="shared" si="41"/>
        <v>3.7429114417944273E-5</v>
      </c>
      <c r="S59" s="2"/>
      <c r="T59" s="6">
        <v>-689.57</v>
      </c>
      <c r="U59" s="2"/>
      <c r="V59" s="7">
        <f t="shared" si="42"/>
        <v>-9.8733538372792492E-5</v>
      </c>
      <c r="W59" s="2"/>
      <c r="X59" s="6">
        <f t="shared" si="43"/>
        <v>709.08</v>
      </c>
      <c r="Y59" s="2"/>
      <c r="Z59" s="7">
        <f t="shared" si="44"/>
        <v>-1.0282929941847818</v>
      </c>
    </row>
    <row r="60" spans="1:26" s="26" customFormat="1" outlineLevel="1" collapsed="1" x14ac:dyDescent="0.25">
      <c r="A60" s="25"/>
      <c r="B60" s="12" t="str">
        <f>CONCATENATE("     ","Bank/card Fees                                    ")</f>
        <v xml:space="preserve">     Bank/card Fees                                    </v>
      </c>
      <c r="C60" s="12"/>
      <c r="D60" s="1">
        <f>SUM(OSRRefD22_4x_0)</f>
        <v>838.07</v>
      </c>
      <c r="E60" s="1"/>
      <c r="F60" s="5">
        <f t="shared" si="37"/>
        <v>1.357006092254134E-2</v>
      </c>
      <c r="G60" s="1"/>
      <c r="H60" s="1">
        <f>SUM(OSRRefH22_4x_0)</f>
        <v>312.5</v>
      </c>
      <c r="I60" s="1"/>
      <c r="J60" s="5">
        <f t="shared" si="38"/>
        <v>11.019040902679832</v>
      </c>
      <c r="K60" s="1"/>
      <c r="L60" s="1">
        <f t="shared" si="39"/>
        <v>525.57000000000005</v>
      </c>
      <c r="M60" s="1"/>
      <c r="N60" s="5">
        <f t="shared" si="40"/>
        <v>1.6818240000000002</v>
      </c>
      <c r="O60" s="12"/>
      <c r="P60" s="1">
        <f>SUM(OSRRefP22_4x_0)</f>
        <v>9485.84</v>
      </c>
      <c r="Q60" s="1"/>
      <c r="R60" s="5">
        <f t="shared" si="41"/>
        <v>1.8198185069723857E-2</v>
      </c>
      <c r="S60" s="1"/>
      <c r="T60" s="1">
        <f>SUM(OSRRefT22_4x_0)</f>
        <v>238565.16</v>
      </c>
      <c r="U60" s="1"/>
      <c r="V60" s="5">
        <f t="shared" si="42"/>
        <v>3.4158072971955535E-2</v>
      </c>
      <c r="W60" s="1"/>
      <c r="X60" s="1">
        <f t="shared" si="43"/>
        <v>-229079.32</v>
      </c>
      <c r="Y60" s="1"/>
      <c r="Z60" s="5">
        <f t="shared" si="44"/>
        <v>-0.96023794924623529</v>
      </c>
    </row>
    <row r="61" spans="1:26" s="23" customFormat="1" hidden="1" outlineLevel="2" x14ac:dyDescent="0.25">
      <c r="A61" s="27"/>
      <c r="B61" s="10" t="str">
        <f>CONCATENATE("          ", "6381", " - ", "BANK/CREDIT CARD FEES")</f>
        <v xml:space="preserve">          6381 - BANK/CREDIT CARD FEES</v>
      </c>
      <c r="C61" s="10"/>
      <c r="D61" s="6">
        <v>838.07</v>
      </c>
      <c r="E61" s="2"/>
      <c r="F61" s="7">
        <f t="shared" si="37"/>
        <v>1.357006092254134E-2</v>
      </c>
      <c r="G61" s="2"/>
      <c r="H61" s="6">
        <v>312.5</v>
      </c>
      <c r="I61" s="2"/>
      <c r="J61" s="7">
        <f t="shared" si="38"/>
        <v>11.019040902679832</v>
      </c>
      <c r="K61" s="2"/>
      <c r="L61" s="6">
        <f t="shared" si="39"/>
        <v>525.57000000000005</v>
      </c>
      <c r="M61" s="2"/>
      <c r="N61" s="7">
        <f t="shared" si="40"/>
        <v>1.6818240000000002</v>
      </c>
      <c r="O61" s="10"/>
      <c r="P61" s="6">
        <v>9485.84</v>
      </c>
      <c r="Q61" s="2"/>
      <c r="R61" s="7">
        <f t="shared" si="41"/>
        <v>1.8198185069723857E-2</v>
      </c>
      <c r="S61" s="2"/>
      <c r="T61" s="6">
        <v>238565.16</v>
      </c>
      <c r="U61" s="2"/>
      <c r="V61" s="7">
        <f t="shared" si="42"/>
        <v>3.4158072971955535E-2</v>
      </c>
      <c r="W61" s="2"/>
      <c r="X61" s="6">
        <f t="shared" si="43"/>
        <v>-229079.32</v>
      </c>
      <c r="Y61" s="2"/>
      <c r="Z61" s="7">
        <f t="shared" si="44"/>
        <v>-0.96023794924623529</v>
      </c>
    </row>
    <row r="62" spans="1:26" s="26" customFormat="1" outlineLevel="1" collapsed="1" x14ac:dyDescent="0.25">
      <c r="A62" s="25"/>
      <c r="B62" s="12" t="str">
        <f>CONCATENATE("     ","Depreciation                                      ")</f>
        <v xml:space="preserve">     Depreciation                                      </v>
      </c>
      <c r="C62" s="12"/>
      <c r="D62" s="1">
        <f>SUM(OSRRefD22_5x_0)</f>
        <v>45872.82</v>
      </c>
      <c r="E62" s="1"/>
      <c r="F62" s="5">
        <f t="shared" si="37"/>
        <v>0.74277442467666521</v>
      </c>
      <c r="G62" s="1"/>
      <c r="H62" s="1">
        <f>SUM(OSRRefH22_5x_0)</f>
        <v>46707.92</v>
      </c>
      <c r="I62" s="1"/>
      <c r="J62" s="5">
        <f t="shared" si="38"/>
        <v>1646.9647390691114</v>
      </c>
      <c r="K62" s="1"/>
      <c r="L62" s="1">
        <f t="shared" si="39"/>
        <v>-835.09999999999854</v>
      </c>
      <c r="M62" s="1"/>
      <c r="N62" s="5">
        <f t="shared" si="40"/>
        <v>-1.7879194791804016E-2</v>
      </c>
      <c r="O62" s="12"/>
      <c r="P62" s="1">
        <f>SUM(OSRRefP22_5x_0)</f>
        <v>507606.12</v>
      </c>
      <c r="Q62" s="1"/>
      <c r="R62" s="5">
        <f t="shared" si="41"/>
        <v>0.97382099152889545</v>
      </c>
      <c r="S62" s="1"/>
      <c r="T62" s="1">
        <f>SUM(OSRRefT22_5x_0)</f>
        <v>534329.26</v>
      </c>
      <c r="U62" s="1"/>
      <c r="V62" s="5">
        <f t="shared" si="42"/>
        <v>7.6505965305793192E-2</v>
      </c>
      <c r="W62" s="1"/>
      <c r="X62" s="1">
        <f t="shared" si="43"/>
        <v>-26723.140000000014</v>
      </c>
      <c r="Y62" s="1"/>
      <c r="Z62" s="5">
        <f t="shared" si="44"/>
        <v>-5.0012496040362855E-2</v>
      </c>
    </row>
    <row r="63" spans="1:26" s="23" customFormat="1" hidden="1" outlineLevel="2" x14ac:dyDescent="0.25">
      <c r="A63" s="27"/>
      <c r="B63" s="10" t="str">
        <f>CONCATENATE("          ", "6321", " - ", "BUILDING DEPRECIATION")</f>
        <v xml:space="preserve">          6321 - BUILDING DEPRECIATION</v>
      </c>
      <c r="C63" s="10"/>
      <c r="D63" s="6">
        <v>28664</v>
      </c>
      <c r="E63" s="2"/>
      <c r="F63" s="7">
        <f t="shared" si="37"/>
        <v>0.46412856477827025</v>
      </c>
      <c r="G63" s="2"/>
      <c r="H63" s="6">
        <v>29123.47</v>
      </c>
      <c r="I63" s="2"/>
      <c r="J63" s="7">
        <f t="shared" si="38"/>
        <v>1026.9206629055009</v>
      </c>
      <c r="K63" s="2"/>
      <c r="L63" s="6">
        <f t="shared" si="39"/>
        <v>-459.47000000000116</v>
      </c>
      <c r="M63" s="2"/>
      <c r="N63" s="7">
        <f t="shared" si="40"/>
        <v>-1.5776622771943079E-2</v>
      </c>
      <c r="O63" s="10"/>
      <c r="P63" s="6">
        <v>316088.19</v>
      </c>
      <c r="Q63" s="2"/>
      <c r="R63" s="7">
        <f t="shared" si="41"/>
        <v>0.60640189798415722</v>
      </c>
      <c r="S63" s="2"/>
      <c r="T63" s="6">
        <v>320358.17</v>
      </c>
      <c r="U63" s="2"/>
      <c r="V63" s="7">
        <f t="shared" si="42"/>
        <v>4.5869303581554562E-2</v>
      </c>
      <c r="W63" s="2"/>
      <c r="X63" s="6">
        <f t="shared" si="43"/>
        <v>-4269.9799999999814</v>
      </c>
      <c r="Y63" s="2"/>
      <c r="Z63" s="7">
        <f t="shared" si="44"/>
        <v>-1.3328768858930558E-2</v>
      </c>
    </row>
    <row r="64" spans="1:26" s="23" customFormat="1" hidden="1" outlineLevel="2" x14ac:dyDescent="0.25">
      <c r="A64" s="27"/>
      <c r="B64" s="10" t="str">
        <f>CONCATENATE("          ", "6322", " - ", "EQUIPMENT DEPRECIATION EXPENSE")</f>
        <v xml:space="preserve">          6322 - EQUIPMENT DEPRECIATION EXPENSE</v>
      </c>
      <c r="C64" s="10"/>
      <c r="D64" s="6">
        <v>17208.82</v>
      </c>
      <c r="E64" s="2"/>
      <c r="F64" s="7">
        <f t="shared" si="37"/>
        <v>0.27864585989839491</v>
      </c>
      <c r="G64" s="2"/>
      <c r="H64" s="6">
        <v>17584.45</v>
      </c>
      <c r="I64" s="2"/>
      <c r="J64" s="7">
        <f t="shared" si="38"/>
        <v>620.04407616361073</v>
      </c>
      <c r="K64" s="2"/>
      <c r="L64" s="6">
        <f t="shared" si="39"/>
        <v>-375.63000000000102</v>
      </c>
      <c r="M64" s="2"/>
      <c r="N64" s="7">
        <f t="shared" si="40"/>
        <v>-2.1361486995612657E-2</v>
      </c>
      <c r="O64" s="10"/>
      <c r="P64" s="6">
        <v>191517.93</v>
      </c>
      <c r="Q64" s="2"/>
      <c r="R64" s="7">
        <f t="shared" si="41"/>
        <v>0.36741909354473817</v>
      </c>
      <c r="S64" s="2"/>
      <c r="T64" s="6">
        <v>209728.61</v>
      </c>
      <c r="U64" s="2"/>
      <c r="V64" s="7">
        <f t="shared" si="42"/>
        <v>3.0029217865202122E-2</v>
      </c>
      <c r="W64" s="2"/>
      <c r="X64" s="6">
        <f t="shared" si="43"/>
        <v>-18210.679999999993</v>
      </c>
      <c r="Y64" s="2"/>
      <c r="Z64" s="7">
        <f t="shared" si="44"/>
        <v>-8.6829736772679675E-2</v>
      </c>
    </row>
    <row r="65" spans="1:26" s="23" customFormat="1" hidden="1" outlineLevel="2" x14ac:dyDescent="0.25">
      <c r="A65" s="27"/>
      <c r="B65" s="10" t="str">
        <f>CONCATENATE("          ", "6326", " - ", "VEHICLES DEPRECIATION EXPENSE")</f>
        <v xml:space="preserve">          6326 - VEHICLES DEPRECIATION EXPENSE</v>
      </c>
      <c r="C65" s="10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0"/>
      <c r="P65" s="6"/>
      <c r="Q65" s="2"/>
      <c r="R65" s="7">
        <f t="shared" si="41"/>
        <v>0</v>
      </c>
      <c r="S65" s="2"/>
      <c r="T65" s="6">
        <v>4242.4799999999996</v>
      </c>
      <c r="U65" s="2"/>
      <c r="V65" s="7">
        <f t="shared" si="42"/>
        <v>6.0744385903650766E-4</v>
      </c>
      <c r="W65" s="2"/>
      <c r="X65" s="6">
        <f t="shared" si="43"/>
        <v>-4242.4799999999996</v>
      </c>
      <c r="Y65" s="2"/>
      <c r="Z65" s="7">
        <f t="shared" si="44"/>
        <v>-1</v>
      </c>
    </row>
    <row r="66" spans="1:26" s="26" customFormat="1" outlineLevel="1" collapsed="1" x14ac:dyDescent="0.25">
      <c r="A66" s="25"/>
      <c r="B66" s="12" t="str">
        <f>CONCATENATE("     ","Discounts and Markdowns                           ")</f>
        <v xml:space="preserve">     Discounts and Markdowns                           </v>
      </c>
      <c r="C66" s="12"/>
      <c r="D66" s="1">
        <f>SUM(OSRRefD22_6x_0)</f>
        <v>0</v>
      </c>
      <c r="E66" s="1"/>
      <c r="F66" s="5">
        <f t="shared" ref="F66:F76" si="45">IF(D$12=0,0,D66/D$12)</f>
        <v>0</v>
      </c>
      <c r="G66" s="1"/>
      <c r="H66" s="1">
        <f>SUM(OSRRefH22_6x_0)</f>
        <v>0</v>
      </c>
      <c r="I66" s="1"/>
      <c r="J66" s="5">
        <f t="shared" ref="J66:J76" si="46">IF(H$12=0,0,H66/H$12)</f>
        <v>0</v>
      </c>
      <c r="K66" s="1"/>
      <c r="L66" s="1">
        <f t="shared" ref="L66:L76" si="47">+D66-H66</f>
        <v>0</v>
      </c>
      <c r="M66" s="1"/>
      <c r="N66" s="5">
        <f t="shared" ref="N66:N76" si="48">IF(H66=0,0,L66/H66)</f>
        <v>0</v>
      </c>
      <c r="O66" s="12"/>
      <c r="P66" s="1">
        <f>SUM(OSRRefP22_6x_0)</f>
        <v>0</v>
      </c>
      <c r="Q66" s="1"/>
      <c r="R66" s="5">
        <f t="shared" ref="R66:R76" si="49">IF(P$12=0,0,P66/P$12)</f>
        <v>0</v>
      </c>
      <c r="S66" s="1"/>
      <c r="T66" s="1">
        <f>SUM(OSRRefT22_6x_0)</f>
        <v>125.96</v>
      </c>
      <c r="U66" s="1"/>
      <c r="V66" s="5">
        <f t="shared" ref="V66:V76" si="50">IF(T$12=0,0,T66/T$12)</f>
        <v>1.8035118252587758E-5</v>
      </c>
      <c r="W66" s="1"/>
      <c r="X66" s="1">
        <f t="shared" ref="X66:X76" si="51">+P66-T66</f>
        <v>-125.96</v>
      </c>
      <c r="Y66" s="1"/>
      <c r="Z66" s="5">
        <f t="shared" ref="Z66:Z76" si="52">IF(T66=0,0,X66/T66)</f>
        <v>-1</v>
      </c>
    </row>
    <row r="67" spans="1:26" s="23" customFormat="1" hidden="1" outlineLevel="2" x14ac:dyDescent="0.25">
      <c r="A67" s="27"/>
      <c r="B67" s="10" t="str">
        <f>CONCATENATE("          ", "6382", " - ", "DISCOUNTS/MARK DOWNS")</f>
        <v xml:space="preserve">          6382 - DISCOUNTS/MARK DOWNS</v>
      </c>
      <c r="C67" s="10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0"/>
      <c r="P67" s="6"/>
      <c r="Q67" s="2"/>
      <c r="R67" s="7">
        <f t="shared" si="49"/>
        <v>0</v>
      </c>
      <c r="S67" s="2"/>
      <c r="T67" s="6">
        <v>125.96</v>
      </c>
      <c r="U67" s="2"/>
      <c r="V67" s="7">
        <f t="shared" si="50"/>
        <v>1.8035118252587758E-5</v>
      </c>
      <c r="W67" s="2"/>
      <c r="X67" s="6">
        <f t="shared" si="51"/>
        <v>-125.96</v>
      </c>
      <c r="Y67" s="2"/>
      <c r="Z67" s="7">
        <f t="shared" si="52"/>
        <v>-1</v>
      </c>
    </row>
    <row r="68" spans="1:26" s="26" customFormat="1" outlineLevel="1" collapsed="1" x14ac:dyDescent="0.25">
      <c r="A68" s="25"/>
      <c r="B68" s="12" t="str">
        <f>CONCATENATE("     ","Donations                                         ")</f>
        <v xml:space="preserve">     Donations                                         </v>
      </c>
      <c r="C68" s="12"/>
      <c r="D68" s="1">
        <f>SUM(OSRRefD22_7x_0)</f>
        <v>0</v>
      </c>
      <c r="E68" s="1"/>
      <c r="F68" s="5">
        <f t="shared" si="45"/>
        <v>0</v>
      </c>
      <c r="G68" s="1"/>
      <c r="H68" s="1">
        <f>SUM(OSRRefH22_7x_0)</f>
        <v>0</v>
      </c>
      <c r="I68" s="1"/>
      <c r="J68" s="5">
        <f t="shared" si="46"/>
        <v>0</v>
      </c>
      <c r="K68" s="1"/>
      <c r="L68" s="1">
        <f t="shared" si="47"/>
        <v>0</v>
      </c>
      <c r="M68" s="1"/>
      <c r="N68" s="5">
        <f t="shared" si="48"/>
        <v>0</v>
      </c>
      <c r="O68" s="12"/>
      <c r="P68" s="1">
        <f>SUM(OSRRefP22_7x_0)</f>
        <v>0</v>
      </c>
      <c r="Q68" s="1"/>
      <c r="R68" s="5">
        <f t="shared" si="49"/>
        <v>0</v>
      </c>
      <c r="S68" s="1"/>
      <c r="T68" s="1">
        <f>SUM(OSRRefT22_7x_0)</f>
        <v>236.68</v>
      </c>
      <c r="U68" s="1"/>
      <c r="V68" s="5">
        <f t="shared" si="50"/>
        <v>3.3888153286936101E-5</v>
      </c>
      <c r="W68" s="1"/>
      <c r="X68" s="1">
        <f t="shared" si="51"/>
        <v>-236.68</v>
      </c>
      <c r="Y68" s="1"/>
      <c r="Z68" s="5">
        <f t="shared" si="52"/>
        <v>-1</v>
      </c>
    </row>
    <row r="69" spans="1:26" s="23" customFormat="1" hidden="1" outlineLevel="2" x14ac:dyDescent="0.25">
      <c r="A69" s="27"/>
      <c r="B69" s="10" t="str">
        <f>CONCATENATE("          ", "6399", " - ", "DONATION-ON CAMPUS")</f>
        <v xml:space="preserve">          6399 - DONATION-ON CAMPUS</v>
      </c>
      <c r="C69" s="10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0"/>
      <c r="P69" s="6"/>
      <c r="Q69" s="2"/>
      <c r="R69" s="7">
        <f t="shared" si="49"/>
        <v>0</v>
      </c>
      <c r="S69" s="2"/>
      <c r="T69" s="6">
        <v>236.68</v>
      </c>
      <c r="U69" s="2"/>
      <c r="V69" s="7">
        <f t="shared" si="50"/>
        <v>3.3888153286936101E-5</v>
      </c>
      <c r="W69" s="2"/>
      <c r="X69" s="6">
        <f t="shared" si="51"/>
        <v>-236.68</v>
      </c>
      <c r="Y69" s="2"/>
      <c r="Z69" s="7">
        <f t="shared" si="52"/>
        <v>-1</v>
      </c>
    </row>
    <row r="70" spans="1:26" s="26" customFormat="1" outlineLevel="1" collapsed="1" x14ac:dyDescent="0.25">
      <c r="A70" s="25"/>
      <c r="B70" s="12" t="str">
        <f>CONCATENATE("     ","Employees' Appreciation                           ")</f>
        <v xml:space="preserve">     Employees' Appreciation                           </v>
      </c>
      <c r="C70" s="12"/>
      <c r="D70" s="1">
        <f>SUM(OSRRefD22_8x_0)</f>
        <v>0</v>
      </c>
      <c r="E70" s="1"/>
      <c r="F70" s="5">
        <f t="shared" si="45"/>
        <v>0</v>
      </c>
      <c r="G70" s="1"/>
      <c r="H70" s="1">
        <f>SUM(OSRRefH22_8x_0)</f>
        <v>0</v>
      </c>
      <c r="I70" s="1"/>
      <c r="J70" s="5">
        <f t="shared" si="46"/>
        <v>0</v>
      </c>
      <c r="K70" s="1"/>
      <c r="L70" s="1">
        <f t="shared" si="47"/>
        <v>0</v>
      </c>
      <c r="M70" s="1"/>
      <c r="N70" s="5">
        <f t="shared" si="48"/>
        <v>0</v>
      </c>
      <c r="O70" s="12"/>
      <c r="P70" s="1">
        <f>SUM(OSRRefP22_8x_0)</f>
        <v>10</v>
      </c>
      <c r="Q70" s="1"/>
      <c r="R70" s="5">
        <f t="shared" si="49"/>
        <v>1.9184579404379433E-5</v>
      </c>
      <c r="S70" s="1"/>
      <c r="T70" s="1">
        <f>SUM(OSRRefT22_8x_0)</f>
        <v>1836.65</v>
      </c>
      <c r="U70" s="1"/>
      <c r="V70" s="5">
        <f t="shared" si="50"/>
        <v>2.6297395949996278E-4</v>
      </c>
      <c r="W70" s="1"/>
      <c r="X70" s="1">
        <f t="shared" si="51"/>
        <v>-1826.65</v>
      </c>
      <c r="Y70" s="1"/>
      <c r="Z70" s="5">
        <f t="shared" si="52"/>
        <v>-0.99455530449459617</v>
      </c>
    </row>
    <row r="71" spans="1:26" s="23" customFormat="1" hidden="1" outlineLevel="2" x14ac:dyDescent="0.25">
      <c r="A71" s="27"/>
      <c r="B71" s="10" t="str">
        <f>CONCATENATE("          ", "6277", " - ", "EMPLOYEE APPRECIATION")</f>
        <v xml:space="preserve">          6277 - EMPLOYEE APPRECIATION</v>
      </c>
      <c r="C71" s="10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0"/>
      <c r="P71" s="6">
        <v>10</v>
      </c>
      <c r="Q71" s="2"/>
      <c r="R71" s="7">
        <f t="shared" si="49"/>
        <v>1.9184579404379433E-5</v>
      </c>
      <c r="S71" s="2"/>
      <c r="T71" s="6">
        <v>1836.65</v>
      </c>
      <c r="U71" s="2"/>
      <c r="V71" s="7">
        <f t="shared" si="50"/>
        <v>2.6297395949996278E-4</v>
      </c>
      <c r="W71" s="2"/>
      <c r="X71" s="6">
        <f t="shared" si="51"/>
        <v>-1826.65</v>
      </c>
      <c r="Y71" s="2"/>
      <c r="Z71" s="7">
        <f t="shared" si="52"/>
        <v>-0.99455530449459617</v>
      </c>
    </row>
    <row r="72" spans="1:26" s="26" customFormat="1" outlineLevel="1" collapsed="1" x14ac:dyDescent="0.25">
      <c r="A72" s="25"/>
      <c r="B72" s="12" t="str">
        <f>CONCATENATE("     ","Equipment Rental                                  ")</f>
        <v xml:space="preserve">     Equipment Rental                                  </v>
      </c>
      <c r="C72" s="12"/>
      <c r="D72" s="1">
        <f>SUM(OSRRefD22_9x_0)</f>
        <v>1064.6099999999999</v>
      </c>
      <c r="E72" s="1"/>
      <c r="F72" s="5">
        <f t="shared" si="45"/>
        <v>1.7238205112635858E-2</v>
      </c>
      <c r="G72" s="1"/>
      <c r="H72" s="1">
        <f>SUM(OSRRefH22_9x_0)</f>
        <v>1485.11</v>
      </c>
      <c r="I72" s="1"/>
      <c r="J72" s="5">
        <f t="shared" si="46"/>
        <v>52.366361071932296</v>
      </c>
      <c r="K72" s="1"/>
      <c r="L72" s="1">
        <f t="shared" si="47"/>
        <v>-420.5</v>
      </c>
      <c r="M72" s="1"/>
      <c r="N72" s="5">
        <f t="shared" si="48"/>
        <v>-0.2831440095346473</v>
      </c>
      <c r="O72" s="12"/>
      <c r="P72" s="1">
        <f>SUM(OSRRefP22_9x_0)</f>
        <v>7133.78</v>
      </c>
      <c r="Q72" s="1"/>
      <c r="R72" s="5">
        <f t="shared" si="49"/>
        <v>1.3685856886337389E-2</v>
      </c>
      <c r="S72" s="1"/>
      <c r="T72" s="1">
        <f>SUM(OSRRefT22_9x_0)</f>
        <v>27530.68</v>
      </c>
      <c r="U72" s="1"/>
      <c r="V72" s="5">
        <f t="shared" si="50"/>
        <v>3.9418789248503719E-3</v>
      </c>
      <c r="W72" s="1"/>
      <c r="X72" s="1">
        <f t="shared" si="51"/>
        <v>-20396.900000000001</v>
      </c>
      <c r="Y72" s="1"/>
      <c r="Z72" s="5">
        <f t="shared" si="52"/>
        <v>-0.74087890310010507</v>
      </c>
    </row>
    <row r="73" spans="1:26" s="23" customFormat="1" hidden="1" outlineLevel="2" x14ac:dyDescent="0.25">
      <c r="A73" s="27"/>
      <c r="B73" s="10" t="str">
        <f>CONCATENATE("          ", "6351", " - ", "EQUIPMENT RENTAL")</f>
        <v xml:space="preserve">          6351 - EQUIPMENT RENTAL</v>
      </c>
      <c r="C73" s="10"/>
      <c r="D73" s="6">
        <v>1064.6099999999999</v>
      </c>
      <c r="E73" s="2"/>
      <c r="F73" s="7">
        <f t="shared" si="45"/>
        <v>1.7238205112635858E-2</v>
      </c>
      <c r="G73" s="2"/>
      <c r="H73" s="6">
        <v>1485.11</v>
      </c>
      <c r="I73" s="2"/>
      <c r="J73" s="7">
        <f t="shared" si="46"/>
        <v>52.366361071932296</v>
      </c>
      <c r="K73" s="2"/>
      <c r="L73" s="6">
        <f t="shared" si="47"/>
        <v>-420.5</v>
      </c>
      <c r="M73" s="2"/>
      <c r="N73" s="7">
        <f t="shared" si="48"/>
        <v>-0.2831440095346473</v>
      </c>
      <c r="O73" s="10"/>
      <c r="P73" s="6">
        <v>7133.78</v>
      </c>
      <c r="Q73" s="2"/>
      <c r="R73" s="7">
        <f t="shared" si="49"/>
        <v>1.3685856886337389E-2</v>
      </c>
      <c r="S73" s="2"/>
      <c r="T73" s="6">
        <v>27530.68</v>
      </c>
      <c r="U73" s="2"/>
      <c r="V73" s="7">
        <f t="shared" si="50"/>
        <v>3.9418789248503719E-3</v>
      </c>
      <c r="W73" s="2"/>
      <c r="X73" s="6">
        <f t="shared" si="51"/>
        <v>-20396.900000000001</v>
      </c>
      <c r="Y73" s="2"/>
      <c r="Z73" s="7">
        <f t="shared" si="52"/>
        <v>-0.74087890310010507</v>
      </c>
    </row>
    <row r="74" spans="1:26" s="26" customFormat="1" outlineLevel="1" collapsed="1" x14ac:dyDescent="0.25">
      <c r="A74" s="25"/>
      <c r="B74" s="12" t="str">
        <f>CONCATENATE("     ","Freight out/Postage                               ")</f>
        <v xml:space="preserve">     Freight out/Postage                               </v>
      </c>
      <c r="C74" s="12"/>
      <c r="D74" s="1">
        <f>SUM(OSRRefD22_10x_0)</f>
        <v>0</v>
      </c>
      <c r="E74" s="1"/>
      <c r="F74" s="5">
        <f t="shared" si="45"/>
        <v>0</v>
      </c>
      <c r="G74" s="1"/>
      <c r="H74" s="1">
        <f>SUM(OSRRefH22_10x_0)</f>
        <v>0.57999999999999996</v>
      </c>
      <c r="I74" s="1"/>
      <c r="J74" s="5">
        <f t="shared" si="46"/>
        <v>2.0451339915373765E-2</v>
      </c>
      <c r="K74" s="1"/>
      <c r="L74" s="1">
        <f t="shared" si="47"/>
        <v>-0.57999999999999996</v>
      </c>
      <c r="M74" s="1"/>
      <c r="N74" s="5">
        <f t="shared" si="48"/>
        <v>-1</v>
      </c>
      <c r="O74" s="12"/>
      <c r="P74" s="1">
        <f>SUM(OSRRefP22_10x_0)</f>
        <v>277.65000000000003</v>
      </c>
      <c r="Q74" s="1"/>
      <c r="R74" s="5">
        <f t="shared" si="49"/>
        <v>5.3265984716259495E-4</v>
      </c>
      <c r="S74" s="1"/>
      <c r="T74" s="1">
        <f>SUM(OSRRefT22_10x_0)</f>
        <v>331.76</v>
      </c>
      <c r="U74" s="1"/>
      <c r="V74" s="5">
        <f t="shared" si="50"/>
        <v>4.750183257763191E-5</v>
      </c>
      <c r="W74" s="1"/>
      <c r="X74" s="1">
        <f t="shared" si="51"/>
        <v>-54.109999999999957</v>
      </c>
      <c r="Y74" s="1"/>
      <c r="Z74" s="5">
        <f t="shared" si="52"/>
        <v>-0.16309983120327937</v>
      </c>
    </row>
    <row r="75" spans="1:26" s="23" customFormat="1" hidden="1" outlineLevel="2" x14ac:dyDescent="0.25">
      <c r="A75" s="27"/>
      <c r="B75" s="10" t="str">
        <f>CONCATENATE("          ", "6305", " - ", "FREIGHT OUT")</f>
        <v xml:space="preserve">          6305 - FREIGHT OUT</v>
      </c>
      <c r="C75" s="10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0"/>
      <c r="P75" s="6">
        <v>280.10000000000002</v>
      </c>
      <c r="Q75" s="2"/>
      <c r="R75" s="7">
        <f t="shared" si="49"/>
        <v>5.3736006911666787E-4</v>
      </c>
      <c r="S75" s="2"/>
      <c r="T75" s="6">
        <v>331.18</v>
      </c>
      <c r="U75" s="2"/>
      <c r="V75" s="7">
        <f t="shared" si="50"/>
        <v>4.7418787415782905E-5</v>
      </c>
      <c r="W75" s="2"/>
      <c r="X75" s="6">
        <f t="shared" si="51"/>
        <v>-51.079999999999984</v>
      </c>
      <c r="Y75" s="2"/>
      <c r="Z75" s="7">
        <f t="shared" si="52"/>
        <v>-0.15423636693037013</v>
      </c>
    </row>
    <row r="76" spans="1:26" s="23" customFormat="1" hidden="1" outlineLevel="2" x14ac:dyDescent="0.25">
      <c r="A76" s="27"/>
      <c r="B76" s="10" t="str">
        <f>CONCATENATE("          ", "6307", " - ", "POSTAGE")</f>
        <v xml:space="preserve">          6307 - POSTAGE</v>
      </c>
      <c r="C76" s="10"/>
      <c r="D76" s="6"/>
      <c r="E76" s="2"/>
      <c r="F76" s="7">
        <f t="shared" si="45"/>
        <v>0</v>
      </c>
      <c r="G76" s="2"/>
      <c r="H76" s="6">
        <v>0.57999999999999996</v>
      </c>
      <c r="I76" s="2"/>
      <c r="J76" s="7">
        <f t="shared" si="46"/>
        <v>2.0451339915373765E-2</v>
      </c>
      <c r="K76" s="2"/>
      <c r="L76" s="6">
        <f t="shared" si="47"/>
        <v>-0.57999999999999996</v>
      </c>
      <c r="M76" s="2"/>
      <c r="N76" s="7">
        <f t="shared" si="48"/>
        <v>-1</v>
      </c>
      <c r="O76" s="10"/>
      <c r="P76" s="6">
        <v>-2.4500000000000002</v>
      </c>
      <c r="Q76" s="2"/>
      <c r="R76" s="7">
        <f t="shared" si="49"/>
        <v>-4.700221954072961E-6</v>
      </c>
      <c r="S76" s="2"/>
      <c r="T76" s="6">
        <v>0.57999999999999996</v>
      </c>
      <c r="U76" s="2"/>
      <c r="V76" s="7">
        <f t="shared" si="50"/>
        <v>8.3045161849006827E-8</v>
      </c>
      <c r="W76" s="2"/>
      <c r="X76" s="6">
        <f t="shared" si="51"/>
        <v>-3.0300000000000002</v>
      </c>
      <c r="Y76" s="2"/>
      <c r="Z76" s="7">
        <f t="shared" si="52"/>
        <v>-5.224137931034484</v>
      </c>
    </row>
    <row r="77" spans="1:26" s="26" customFormat="1" outlineLevel="1" collapsed="1" x14ac:dyDescent="0.25">
      <c r="A77" s="25"/>
      <c r="B77" s="12" t="str">
        <f>CONCATENATE("     ","General                                           ")</f>
        <v xml:space="preserve">     General                                           </v>
      </c>
      <c r="C77" s="12"/>
      <c r="D77" s="1">
        <f>SUM(OSRRefD22_11x_0)</f>
        <v>-646.37</v>
      </c>
      <c r="E77" s="1"/>
      <c r="F77" s="5">
        <f t="shared" ref="F77:F79" si="53">IF(D$12=0,0,D77/D$12)</f>
        <v>-1.0466047321229783E-2</v>
      </c>
      <c r="G77" s="1"/>
      <c r="H77" s="1">
        <f>SUM(OSRRefH22_11x_0)</f>
        <v>-1200</v>
      </c>
      <c r="I77" s="1"/>
      <c r="J77" s="5">
        <f t="shared" ref="J77:J79" si="54">IF(H$12=0,0,H77/H$12)</f>
        <v>-42.313117066290552</v>
      </c>
      <c r="K77" s="1"/>
      <c r="L77" s="1">
        <f t="shared" ref="L77:L79" si="55">+D77-H77</f>
        <v>553.63</v>
      </c>
      <c r="M77" s="1"/>
      <c r="N77" s="5">
        <f t="shared" ref="N77:N79" si="56">IF(H77=0,0,L77/H77)</f>
        <v>-0.46135833333333331</v>
      </c>
      <c r="O77" s="12"/>
      <c r="P77" s="1">
        <f>SUM(OSRRefP22_11x_0)</f>
        <v>10538.97</v>
      </c>
      <c r="Q77" s="1"/>
      <c r="R77" s="5">
        <f t="shared" ref="R77:R79" si="57">IF(P$12=0,0,P77/P$12)</f>
        <v>2.0218570680537267E-2</v>
      </c>
      <c r="S77" s="1"/>
      <c r="T77" s="1">
        <f>SUM(OSRRefT22_11x_0)</f>
        <v>94368.49</v>
      </c>
      <c r="U77" s="1"/>
      <c r="V77" s="5">
        <f t="shared" ref="V77:V79" si="58">IF(T$12=0,0,T77/T$12)</f>
        <v>1.3511804354304109E-2</v>
      </c>
      <c r="W77" s="1"/>
      <c r="X77" s="1">
        <f t="shared" ref="X77:X79" si="59">+P77-T77</f>
        <v>-83829.52</v>
      </c>
      <c r="Y77" s="1"/>
      <c r="Z77" s="5">
        <f t="shared" ref="Z77:Z79" si="60">IF(T77=0,0,X77/T77)</f>
        <v>-0.88832109107605728</v>
      </c>
    </row>
    <row r="78" spans="1:26" s="23" customFormat="1" hidden="1" outlineLevel="2" x14ac:dyDescent="0.25">
      <c r="A78" s="27"/>
      <c r="B78" s="10" t="str">
        <f>CONCATENATE("          ", "6269", " - ", "ENTERTAINMENT")</f>
        <v xml:space="preserve">          6269 - ENTERTAINMENT</v>
      </c>
      <c r="C78" s="10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0"/>
      <c r="P78" s="6"/>
      <c r="Q78" s="2"/>
      <c r="R78" s="7">
        <f t="shared" si="57"/>
        <v>0</v>
      </c>
      <c r="S78" s="2"/>
      <c r="T78" s="6">
        <v>10050</v>
      </c>
      <c r="U78" s="2"/>
      <c r="V78" s="7">
        <f t="shared" si="58"/>
        <v>1.4389722010043425E-3</v>
      </c>
      <c r="W78" s="2"/>
      <c r="X78" s="6">
        <f t="shared" si="59"/>
        <v>-10050</v>
      </c>
      <c r="Y78" s="2"/>
      <c r="Z78" s="7">
        <f t="shared" si="60"/>
        <v>-1</v>
      </c>
    </row>
    <row r="79" spans="1:26" s="23" customFormat="1" hidden="1" outlineLevel="2" x14ac:dyDescent="0.25">
      <c r="A79" s="27"/>
      <c r="B79" s="10" t="str">
        <f>CONCATENATE("          ", "6279", " - ", "GENERAL EXPENSE")</f>
        <v xml:space="preserve">          6279 - GENERAL EXPENSE</v>
      </c>
      <c r="C79" s="10"/>
      <c r="D79" s="6">
        <v>-646.37</v>
      </c>
      <c r="E79" s="2"/>
      <c r="F79" s="7">
        <f t="shared" si="53"/>
        <v>-1.0466047321229783E-2</v>
      </c>
      <c r="G79" s="2"/>
      <c r="H79" s="6">
        <v>-1200</v>
      </c>
      <c r="I79" s="2"/>
      <c r="J79" s="7">
        <f t="shared" si="54"/>
        <v>-42.313117066290552</v>
      </c>
      <c r="K79" s="2"/>
      <c r="L79" s="6">
        <f t="shared" si="55"/>
        <v>553.63</v>
      </c>
      <c r="M79" s="2"/>
      <c r="N79" s="7">
        <f t="shared" si="56"/>
        <v>-0.46135833333333331</v>
      </c>
      <c r="O79" s="10"/>
      <c r="P79" s="6">
        <v>10538.97</v>
      </c>
      <c r="Q79" s="2"/>
      <c r="R79" s="7">
        <f t="shared" si="57"/>
        <v>2.0218570680537267E-2</v>
      </c>
      <c r="S79" s="2"/>
      <c r="T79" s="6">
        <v>84318.49</v>
      </c>
      <c r="U79" s="2"/>
      <c r="V79" s="7">
        <f t="shared" si="58"/>
        <v>1.2072832153299767E-2</v>
      </c>
      <c r="W79" s="2"/>
      <c r="X79" s="6">
        <f t="shared" si="59"/>
        <v>-73779.520000000004</v>
      </c>
      <c r="Y79" s="2"/>
      <c r="Z79" s="7">
        <f t="shared" si="60"/>
        <v>-0.87500997705248273</v>
      </c>
    </row>
    <row r="80" spans="1:26" s="26" customFormat="1" outlineLevel="1" collapsed="1" x14ac:dyDescent="0.25">
      <c r="A80" s="25"/>
      <c r="B80" s="12" t="str">
        <f>CONCATENATE("     ","Insurance                                         ")</f>
        <v xml:space="preserve">     Insurance                                         </v>
      </c>
      <c r="C80" s="12"/>
      <c r="D80" s="1">
        <f>SUM(OSRRefD22_12x_0)</f>
        <v>4483.67</v>
      </c>
      <c r="E80" s="1"/>
      <c r="F80" s="5">
        <f t="shared" ref="F80:F92" si="61">IF(D$12=0,0,D80/D$12)</f>
        <v>7.2599753071427117E-2</v>
      </c>
      <c r="G80" s="1"/>
      <c r="H80" s="1">
        <f>SUM(OSRRefH22_12x_0)</f>
        <v>4483.67</v>
      </c>
      <c r="I80" s="1"/>
      <c r="J80" s="5">
        <f t="shared" ref="J80:J92" si="62">IF(H$12=0,0,H80/H$12)</f>
        <v>158.09837799717914</v>
      </c>
      <c r="K80" s="1"/>
      <c r="L80" s="1">
        <f t="shared" ref="L80:L92" si="63">+D80-H80</f>
        <v>0</v>
      </c>
      <c r="M80" s="1"/>
      <c r="N80" s="5">
        <f t="shared" ref="N80:N92" si="64">IF(H80=0,0,L80/H80)</f>
        <v>0</v>
      </c>
      <c r="O80" s="12"/>
      <c r="P80" s="1">
        <f>SUM(OSRRefP22_12x_0)</f>
        <v>55432.37</v>
      </c>
      <c r="Q80" s="1"/>
      <c r="R80" s="5">
        <f t="shared" ref="R80:R92" si="65">IF(P$12=0,0,P80/P$12)</f>
        <v>0.10634467038379403</v>
      </c>
      <c r="S80" s="1"/>
      <c r="T80" s="1">
        <f>SUM(OSRRefT22_12x_0)</f>
        <v>55081.37</v>
      </c>
      <c r="U80" s="1"/>
      <c r="V80" s="5">
        <f t="shared" ref="V80:V92" si="66">IF(T$12=0,0,T80/T$12)</f>
        <v>7.8866229077845344E-3</v>
      </c>
      <c r="W80" s="1"/>
      <c r="X80" s="1">
        <f t="shared" ref="X80:X92" si="67">+P80-T80</f>
        <v>351</v>
      </c>
      <c r="Y80" s="1"/>
      <c r="Z80" s="5">
        <f t="shared" ref="Z80:Z92" si="68">IF(T80=0,0,X80/T80)</f>
        <v>6.3723905196984018E-3</v>
      </c>
    </row>
    <row r="81" spans="1:26" s="23" customFormat="1" hidden="1" outlineLevel="2" x14ac:dyDescent="0.25">
      <c r="A81" s="27"/>
      <c r="B81" s="10" t="str">
        <f>CONCATENATE("          ", "6314", " - ", "LIABILITY INSURANCE")</f>
        <v xml:space="preserve">          6314 - LIABILITY INSURANCE</v>
      </c>
      <c r="C81" s="10"/>
      <c r="D81" s="6">
        <v>4483.67</v>
      </c>
      <c r="E81" s="2"/>
      <c r="F81" s="7">
        <f t="shared" si="61"/>
        <v>7.2599753071427117E-2</v>
      </c>
      <c r="G81" s="2"/>
      <c r="H81" s="6">
        <v>4483.67</v>
      </c>
      <c r="I81" s="2"/>
      <c r="J81" s="7">
        <f t="shared" si="62"/>
        <v>158.09837799717914</v>
      </c>
      <c r="K81" s="2"/>
      <c r="L81" s="6">
        <f t="shared" si="63"/>
        <v>0</v>
      </c>
      <c r="M81" s="2"/>
      <c r="N81" s="7">
        <f t="shared" si="64"/>
        <v>0</v>
      </c>
      <c r="O81" s="10"/>
      <c r="P81" s="6">
        <v>55432.37</v>
      </c>
      <c r="Q81" s="2"/>
      <c r="R81" s="7">
        <f t="shared" si="65"/>
        <v>0.10634467038379403</v>
      </c>
      <c r="S81" s="2"/>
      <c r="T81" s="6">
        <v>55081.37</v>
      </c>
      <c r="U81" s="2"/>
      <c r="V81" s="7">
        <f t="shared" si="66"/>
        <v>7.8866229077845344E-3</v>
      </c>
      <c r="W81" s="2"/>
      <c r="X81" s="6">
        <f t="shared" si="67"/>
        <v>351</v>
      </c>
      <c r="Y81" s="2"/>
      <c r="Z81" s="7">
        <f t="shared" si="68"/>
        <v>6.3723905196984018E-3</v>
      </c>
    </row>
    <row r="82" spans="1:26" s="26" customFormat="1" outlineLevel="1" collapsed="1" x14ac:dyDescent="0.25">
      <c r="A82" s="25"/>
      <c r="B82" s="12" t="str">
        <f>CONCATENATE("     ","Interest                                          ")</f>
        <v xml:space="preserve">     Interest                                          </v>
      </c>
      <c r="C82" s="12"/>
      <c r="D82" s="1">
        <f>SUM(OSRRefD22_13x_0)</f>
        <v>11554</v>
      </c>
      <c r="E82" s="1"/>
      <c r="F82" s="5">
        <f t="shared" si="61"/>
        <v>0.1870828020321007</v>
      </c>
      <c r="G82" s="1"/>
      <c r="H82" s="1">
        <f>SUM(OSRRefH22_13x_0)</f>
        <v>11929</v>
      </c>
      <c r="I82" s="1"/>
      <c r="J82" s="5">
        <f t="shared" si="62"/>
        <v>420.62764456981665</v>
      </c>
      <c r="K82" s="1"/>
      <c r="L82" s="1">
        <f t="shared" si="63"/>
        <v>-375</v>
      </c>
      <c r="M82" s="1"/>
      <c r="N82" s="5">
        <f t="shared" si="64"/>
        <v>-3.1435996311509763E-2</v>
      </c>
      <c r="O82" s="12"/>
      <c r="P82" s="1">
        <f>SUM(OSRRefP22_13x_0)</f>
        <v>123971</v>
      </c>
      <c r="Q82" s="1"/>
      <c r="R82" s="5">
        <f t="shared" si="65"/>
        <v>0.23783314933403224</v>
      </c>
      <c r="S82" s="1"/>
      <c r="T82" s="1">
        <f>SUM(OSRRefT22_13x_0)</f>
        <v>127619.05</v>
      </c>
      <c r="U82" s="1"/>
      <c r="V82" s="5">
        <f t="shared" si="66"/>
        <v>1.8272663210804303E-2</v>
      </c>
      <c r="W82" s="1"/>
      <c r="X82" s="1">
        <f t="shared" si="67"/>
        <v>-3648.0500000000029</v>
      </c>
      <c r="Y82" s="1"/>
      <c r="Z82" s="5">
        <f t="shared" si="68"/>
        <v>-2.858546588459954E-2</v>
      </c>
    </row>
    <row r="83" spans="1:26" s="23" customFormat="1" hidden="1" outlineLevel="2" x14ac:dyDescent="0.25">
      <c r="A83" s="27"/>
      <c r="B83" s="10" t="str">
        <f>CONCATENATE("          ", "6401", " - ", "INTEREST EXPENSE")</f>
        <v xml:space="preserve">          6401 - INTEREST EXPENSE</v>
      </c>
      <c r="C83" s="10"/>
      <c r="D83" s="6">
        <v>11554</v>
      </c>
      <c r="E83" s="2"/>
      <c r="F83" s="7">
        <f t="shared" si="61"/>
        <v>0.1870828020321007</v>
      </c>
      <c r="G83" s="2"/>
      <c r="H83" s="6">
        <v>11929</v>
      </c>
      <c r="I83" s="2"/>
      <c r="J83" s="7">
        <f t="shared" si="62"/>
        <v>420.62764456981665</v>
      </c>
      <c r="K83" s="2"/>
      <c r="L83" s="6">
        <f t="shared" si="63"/>
        <v>-375</v>
      </c>
      <c r="M83" s="2"/>
      <c r="N83" s="7">
        <f t="shared" si="64"/>
        <v>-3.1435996311509763E-2</v>
      </c>
      <c r="O83" s="10"/>
      <c r="P83" s="6">
        <v>123971</v>
      </c>
      <c r="Q83" s="2"/>
      <c r="R83" s="7">
        <f t="shared" si="65"/>
        <v>0.23783314933403224</v>
      </c>
      <c r="S83" s="2"/>
      <c r="T83" s="6">
        <v>127619.05</v>
      </c>
      <c r="U83" s="2"/>
      <c r="V83" s="7">
        <f t="shared" si="66"/>
        <v>1.8272663210804303E-2</v>
      </c>
      <c r="W83" s="2"/>
      <c r="X83" s="6">
        <f t="shared" si="67"/>
        <v>-3648.0500000000029</v>
      </c>
      <c r="Y83" s="2"/>
      <c r="Z83" s="7">
        <f t="shared" si="68"/>
        <v>-2.858546588459954E-2</v>
      </c>
    </row>
    <row r="84" spans="1:26" s="26" customFormat="1" outlineLevel="1" collapsed="1" x14ac:dyDescent="0.25">
      <c r="A84" s="25"/>
      <c r="B84" s="12" t="str">
        <f>CONCATENATE("     ","Professional Services                             ")</f>
        <v xml:space="preserve">     Professional Services                             </v>
      </c>
      <c r="C84" s="12"/>
      <c r="D84" s="1">
        <f>SUM(OSRRefD22_14x_0)</f>
        <v>0</v>
      </c>
      <c r="E84" s="1"/>
      <c r="F84" s="5">
        <f t="shared" si="61"/>
        <v>0</v>
      </c>
      <c r="G84" s="1"/>
      <c r="H84" s="1">
        <f>SUM(OSRRefH22_14x_0)</f>
        <v>0</v>
      </c>
      <c r="I84" s="1"/>
      <c r="J84" s="5">
        <f t="shared" si="62"/>
        <v>0</v>
      </c>
      <c r="K84" s="1"/>
      <c r="L84" s="1">
        <f t="shared" si="63"/>
        <v>0</v>
      </c>
      <c r="M84" s="1"/>
      <c r="N84" s="5">
        <f t="shared" si="64"/>
        <v>0</v>
      </c>
      <c r="O84" s="12"/>
      <c r="P84" s="1">
        <f>SUM(OSRRefP22_14x_0)</f>
        <v>0</v>
      </c>
      <c r="Q84" s="1"/>
      <c r="R84" s="5">
        <f t="shared" si="65"/>
        <v>0</v>
      </c>
      <c r="S84" s="1"/>
      <c r="T84" s="1">
        <f>SUM(OSRRefT22_14x_0)</f>
        <v>125</v>
      </c>
      <c r="U84" s="1"/>
      <c r="V84" s="5">
        <f t="shared" si="66"/>
        <v>1.7897664191596299E-5</v>
      </c>
      <c r="W84" s="1"/>
      <c r="X84" s="1">
        <f t="shared" si="67"/>
        <v>-125</v>
      </c>
      <c r="Y84" s="1"/>
      <c r="Z84" s="5">
        <f t="shared" si="68"/>
        <v>-1</v>
      </c>
    </row>
    <row r="85" spans="1:26" s="23" customFormat="1" hidden="1" outlineLevel="2" x14ac:dyDescent="0.25">
      <c r="A85" s="27"/>
      <c r="B85" s="10" t="str">
        <f>CONCATENATE("          ", "6336", " - ", "PROFESSIONAL SERVICES")</f>
        <v xml:space="preserve">          6336 - PROFESSIONAL SERVICES</v>
      </c>
      <c r="C85" s="10"/>
      <c r="D85" s="6"/>
      <c r="E85" s="2"/>
      <c r="F85" s="7">
        <f t="shared" si="61"/>
        <v>0</v>
      </c>
      <c r="G85" s="2"/>
      <c r="H85" s="6"/>
      <c r="I85" s="2"/>
      <c r="J85" s="7">
        <f t="shared" si="62"/>
        <v>0</v>
      </c>
      <c r="K85" s="2"/>
      <c r="L85" s="6">
        <f t="shared" si="63"/>
        <v>0</v>
      </c>
      <c r="M85" s="2"/>
      <c r="N85" s="7">
        <f t="shared" si="64"/>
        <v>0</v>
      </c>
      <c r="O85" s="10"/>
      <c r="P85" s="6"/>
      <c r="Q85" s="2"/>
      <c r="R85" s="7">
        <f t="shared" si="65"/>
        <v>0</v>
      </c>
      <c r="S85" s="2"/>
      <c r="T85" s="6">
        <v>125</v>
      </c>
      <c r="U85" s="2"/>
      <c r="V85" s="7">
        <f t="shared" si="66"/>
        <v>1.7897664191596299E-5</v>
      </c>
      <c r="W85" s="2"/>
      <c r="X85" s="6">
        <f t="shared" si="67"/>
        <v>-125</v>
      </c>
      <c r="Y85" s="2"/>
      <c r="Z85" s="7">
        <f t="shared" si="68"/>
        <v>-1</v>
      </c>
    </row>
    <row r="86" spans="1:26" s="26" customFormat="1" outlineLevel="1" collapsed="1" x14ac:dyDescent="0.25">
      <c r="A86" s="25"/>
      <c r="B86" s="12" t="str">
        <f>CONCATENATE("     ","Rent                                              ")</f>
        <v xml:space="preserve">     Rent                                              </v>
      </c>
      <c r="C86" s="12"/>
      <c r="D86" s="1">
        <f>SUM(OSRRefD22_15x_0)</f>
        <v>1850</v>
      </c>
      <c r="E86" s="1"/>
      <c r="F86" s="5">
        <f t="shared" si="61"/>
        <v>2.9955269496225227E-2</v>
      </c>
      <c r="G86" s="1"/>
      <c r="H86" s="1">
        <f>SUM(OSRRefH22_15x_0)</f>
        <v>3000</v>
      </c>
      <c r="I86" s="1"/>
      <c r="J86" s="5">
        <f t="shared" si="62"/>
        <v>105.78279266572638</v>
      </c>
      <c r="K86" s="1"/>
      <c r="L86" s="1">
        <f t="shared" si="63"/>
        <v>-1150</v>
      </c>
      <c r="M86" s="1"/>
      <c r="N86" s="5">
        <f t="shared" si="64"/>
        <v>-0.38333333333333336</v>
      </c>
      <c r="O86" s="12"/>
      <c r="P86" s="1">
        <f>SUM(OSRRefP22_15x_0)</f>
        <v>14800</v>
      </c>
      <c r="Q86" s="1"/>
      <c r="R86" s="5">
        <f t="shared" si="65"/>
        <v>2.8393177518481558E-2</v>
      </c>
      <c r="S86" s="1"/>
      <c r="T86" s="1">
        <f>SUM(OSRRefT22_15x_0)</f>
        <v>33000</v>
      </c>
      <c r="U86" s="1"/>
      <c r="V86" s="5">
        <f t="shared" si="66"/>
        <v>4.7249833465814236E-3</v>
      </c>
      <c r="W86" s="1"/>
      <c r="X86" s="1">
        <f t="shared" si="67"/>
        <v>-18200</v>
      </c>
      <c r="Y86" s="1"/>
      <c r="Z86" s="5">
        <f t="shared" si="68"/>
        <v>-0.55151515151515151</v>
      </c>
    </row>
    <row r="87" spans="1:26" s="23" customFormat="1" hidden="1" outlineLevel="2" x14ac:dyDescent="0.25">
      <c r="A87" s="27"/>
      <c r="B87" s="10" t="str">
        <f>CONCATENATE("          ", "6273", " - ", "RENT")</f>
        <v xml:space="preserve">          6273 - RENT</v>
      </c>
      <c r="C87" s="10"/>
      <c r="D87" s="6">
        <v>1850</v>
      </c>
      <c r="E87" s="2"/>
      <c r="F87" s="7">
        <f t="shared" si="61"/>
        <v>2.9955269496225227E-2</v>
      </c>
      <c r="G87" s="2"/>
      <c r="H87" s="6">
        <v>3000</v>
      </c>
      <c r="I87" s="2"/>
      <c r="J87" s="7">
        <f t="shared" si="62"/>
        <v>105.78279266572638</v>
      </c>
      <c r="K87" s="2"/>
      <c r="L87" s="6">
        <f t="shared" si="63"/>
        <v>-1150</v>
      </c>
      <c r="M87" s="2"/>
      <c r="N87" s="7">
        <f t="shared" si="64"/>
        <v>-0.38333333333333336</v>
      </c>
      <c r="O87" s="10"/>
      <c r="P87" s="6">
        <v>14800</v>
      </c>
      <c r="Q87" s="2"/>
      <c r="R87" s="7">
        <f t="shared" si="65"/>
        <v>2.8393177518481558E-2</v>
      </c>
      <c r="S87" s="2"/>
      <c r="T87" s="6">
        <v>33000</v>
      </c>
      <c r="U87" s="2"/>
      <c r="V87" s="7">
        <f t="shared" si="66"/>
        <v>4.7249833465814236E-3</v>
      </c>
      <c r="W87" s="2"/>
      <c r="X87" s="6">
        <f t="shared" si="67"/>
        <v>-18200</v>
      </c>
      <c r="Y87" s="2"/>
      <c r="Z87" s="7">
        <f t="shared" si="68"/>
        <v>-0.55151515151515151</v>
      </c>
    </row>
    <row r="88" spans="1:26" s="26" customFormat="1" outlineLevel="1" collapsed="1" x14ac:dyDescent="0.25">
      <c r="A88" s="25"/>
      <c r="B88" s="12" t="str">
        <f>CONCATENATE("     ","Repair and Maintenance                            ")</f>
        <v xml:space="preserve">     Repair and Maintenance                            </v>
      </c>
      <c r="C88" s="12"/>
      <c r="D88" s="1">
        <f>SUM(OSRRefD22_16x_0)</f>
        <v>8616.18</v>
      </c>
      <c r="E88" s="1"/>
      <c r="F88" s="5">
        <f t="shared" si="61"/>
        <v>0.13951351023134373</v>
      </c>
      <c r="G88" s="1"/>
      <c r="H88" s="1">
        <f>SUM(OSRRefH22_16x_0)</f>
        <v>7900.66</v>
      </c>
      <c r="I88" s="1"/>
      <c r="J88" s="5">
        <f t="shared" si="62"/>
        <v>278.5846262341326</v>
      </c>
      <c r="K88" s="1"/>
      <c r="L88" s="1">
        <f t="shared" si="63"/>
        <v>715.52000000000044</v>
      </c>
      <c r="M88" s="1"/>
      <c r="N88" s="5">
        <f t="shared" si="64"/>
        <v>9.0564585743469594E-2</v>
      </c>
      <c r="O88" s="12"/>
      <c r="P88" s="1">
        <f>SUM(OSRRefP22_16x_0)</f>
        <v>55349.14</v>
      </c>
      <c r="Q88" s="1"/>
      <c r="R88" s="5">
        <f t="shared" si="65"/>
        <v>0.10618499712941137</v>
      </c>
      <c r="S88" s="1"/>
      <c r="T88" s="1">
        <f>SUM(OSRRefT22_16x_0)</f>
        <v>243986.68</v>
      </c>
      <c r="U88" s="1"/>
      <c r="V88" s="5">
        <f t="shared" si="66"/>
        <v>3.4934333326899721E-2</v>
      </c>
      <c r="W88" s="1"/>
      <c r="X88" s="1">
        <f t="shared" si="67"/>
        <v>-188637.53999999998</v>
      </c>
      <c r="Y88" s="1"/>
      <c r="Z88" s="5">
        <f t="shared" si="68"/>
        <v>-0.77314687834598173</v>
      </c>
    </row>
    <row r="89" spans="1:26" s="23" customFormat="1" hidden="1" outlineLevel="2" x14ac:dyDescent="0.25">
      <c r="A89" s="27"/>
      <c r="B89" s="10" t="str">
        <f>CONCATENATE("          ", "6371", " - ", "COMPUTER SOFTWARE MAINTENANCE")</f>
        <v xml:space="preserve">          6371 - COMPUTER SOFTWARE MAINTENANCE</v>
      </c>
      <c r="C89" s="10"/>
      <c r="D89" s="6">
        <v>8257.2000000000007</v>
      </c>
      <c r="E89" s="2"/>
      <c r="F89" s="7">
        <f t="shared" si="61"/>
        <v>0.13370089258607079</v>
      </c>
      <c r="G89" s="2"/>
      <c r="H89" s="6"/>
      <c r="I89" s="2"/>
      <c r="J89" s="7">
        <f t="shared" si="62"/>
        <v>0</v>
      </c>
      <c r="K89" s="2"/>
      <c r="L89" s="6">
        <f t="shared" si="63"/>
        <v>8257.2000000000007</v>
      </c>
      <c r="M89" s="2"/>
      <c r="N89" s="7">
        <f t="shared" si="64"/>
        <v>0</v>
      </c>
      <c r="O89" s="10"/>
      <c r="P89" s="6">
        <v>8959.4699999999993</v>
      </c>
      <c r="Q89" s="2"/>
      <c r="R89" s="7">
        <f t="shared" si="65"/>
        <v>1.7188366363615537E-2</v>
      </c>
      <c r="S89" s="2"/>
      <c r="T89" s="6">
        <v>12244.62</v>
      </c>
      <c r="U89" s="2"/>
      <c r="V89" s="7">
        <f t="shared" si="66"/>
        <v>1.7532007753096313E-3</v>
      </c>
      <c r="W89" s="2"/>
      <c r="X89" s="6">
        <f t="shared" si="67"/>
        <v>-3285.1500000000015</v>
      </c>
      <c r="Y89" s="2"/>
      <c r="Z89" s="7">
        <f t="shared" si="68"/>
        <v>-0.26829334025882395</v>
      </c>
    </row>
    <row r="90" spans="1:26" s="23" customFormat="1" hidden="1" outlineLevel="2" x14ac:dyDescent="0.25">
      <c r="A90" s="27"/>
      <c r="B90" s="10" t="str">
        <f>CONCATENATE("          ", "6372", " - ", "COMPUTER HARDWARE MAINTENANCE")</f>
        <v xml:space="preserve">          6372 - COMPUTER HARDWARE MAINTENANCE</v>
      </c>
      <c r="C90" s="10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0"/>
      <c r="P90" s="6">
        <v>100</v>
      </c>
      <c r="Q90" s="2"/>
      <c r="R90" s="7">
        <f t="shared" si="65"/>
        <v>1.9184579404379432E-4</v>
      </c>
      <c r="S90" s="2"/>
      <c r="T90" s="6">
        <v>8142.87</v>
      </c>
      <c r="U90" s="2"/>
      <c r="V90" s="7">
        <f t="shared" si="66"/>
        <v>1.16590682252659E-3</v>
      </c>
      <c r="W90" s="2"/>
      <c r="X90" s="6">
        <f t="shared" si="67"/>
        <v>-8042.87</v>
      </c>
      <c r="Y90" s="2"/>
      <c r="Z90" s="7">
        <f t="shared" si="68"/>
        <v>-0.98771931763616516</v>
      </c>
    </row>
    <row r="91" spans="1:26" s="23" customFormat="1" hidden="1" outlineLevel="2" x14ac:dyDescent="0.25">
      <c r="A91" s="27"/>
      <c r="B91" s="10" t="str">
        <f>CONCATENATE("          ", "6373", " - ", "MAINTENANCE CONTRACTS")</f>
        <v xml:space="preserve">          6373 - MAINTENANCE CONTRACTS</v>
      </c>
      <c r="C91" s="10"/>
      <c r="D91" s="6"/>
      <c r="E91" s="2"/>
      <c r="F91" s="7">
        <f t="shared" si="61"/>
        <v>0</v>
      </c>
      <c r="G91" s="2"/>
      <c r="H91" s="6">
        <v>6801.32</v>
      </c>
      <c r="I91" s="2"/>
      <c r="J91" s="7">
        <f t="shared" si="62"/>
        <v>239.82087447108603</v>
      </c>
      <c r="K91" s="2"/>
      <c r="L91" s="6">
        <f t="shared" si="63"/>
        <v>-6801.32</v>
      </c>
      <c r="M91" s="2"/>
      <c r="N91" s="7">
        <f t="shared" si="64"/>
        <v>-1</v>
      </c>
      <c r="O91" s="10"/>
      <c r="P91" s="6">
        <v>19481.849999999999</v>
      </c>
      <c r="Q91" s="2"/>
      <c r="R91" s="7">
        <f t="shared" si="65"/>
        <v>3.7375109826920938E-2</v>
      </c>
      <c r="S91" s="2"/>
      <c r="T91" s="6">
        <v>94141.31</v>
      </c>
      <c r="U91" s="2"/>
      <c r="V91" s="7">
        <f t="shared" si="66"/>
        <v>1.3479276423495733E-2</v>
      </c>
      <c r="W91" s="2"/>
      <c r="X91" s="6">
        <f t="shared" si="67"/>
        <v>-74659.459999999992</v>
      </c>
      <c r="Y91" s="2"/>
      <c r="Z91" s="7">
        <f t="shared" si="68"/>
        <v>-0.79305737300660029</v>
      </c>
    </row>
    <row r="92" spans="1:26" s="23" customFormat="1" hidden="1" outlineLevel="2" x14ac:dyDescent="0.25">
      <c r="A92" s="27"/>
      <c r="B92" s="10" t="str">
        <f>CONCATENATE("          ", "6375", " - ", "OUTSIDE REPAIRS &amp; MAINTENANCE")</f>
        <v xml:space="preserve">          6375 - OUTSIDE REPAIRS &amp; MAINTENANCE</v>
      </c>
      <c r="C92" s="10"/>
      <c r="D92" s="6">
        <v>358.98</v>
      </c>
      <c r="E92" s="2"/>
      <c r="F92" s="7">
        <f t="shared" si="61"/>
        <v>5.8126176452729366E-3</v>
      </c>
      <c r="G92" s="2"/>
      <c r="H92" s="6">
        <v>1099.3399999999999</v>
      </c>
      <c r="I92" s="2"/>
      <c r="J92" s="7">
        <f t="shared" si="62"/>
        <v>38.763751763046542</v>
      </c>
      <c r="K92" s="2"/>
      <c r="L92" s="6">
        <f t="shared" si="63"/>
        <v>-740.3599999999999</v>
      </c>
      <c r="M92" s="2"/>
      <c r="N92" s="7">
        <f t="shared" si="64"/>
        <v>-0.67345862062692152</v>
      </c>
      <c r="O92" s="10"/>
      <c r="P92" s="6">
        <v>26807.82</v>
      </c>
      <c r="Q92" s="2"/>
      <c r="R92" s="7">
        <f t="shared" si="65"/>
        <v>5.14296751448311E-2</v>
      </c>
      <c r="S92" s="2"/>
      <c r="T92" s="6">
        <v>129457.88</v>
      </c>
      <c r="U92" s="2"/>
      <c r="V92" s="7">
        <f t="shared" si="66"/>
        <v>1.8535949305567768E-2</v>
      </c>
      <c r="W92" s="2"/>
      <c r="X92" s="6">
        <f t="shared" si="67"/>
        <v>-102650.06</v>
      </c>
      <c r="Y92" s="2"/>
      <c r="Z92" s="7">
        <f t="shared" si="68"/>
        <v>-0.79292245477834178</v>
      </c>
    </row>
    <row r="93" spans="1:26" s="26" customFormat="1" outlineLevel="1" collapsed="1" x14ac:dyDescent="0.25">
      <c r="A93" s="25"/>
      <c r="B93" s="12" t="str">
        <f>CONCATENATE("     ","Royalty &amp; Commissions                             ")</f>
        <v xml:space="preserve">     Royalty &amp; Commissions                             </v>
      </c>
      <c r="C93" s="12"/>
      <c r="D93" s="1">
        <f>SUM(OSRRefD22_17x_0)</f>
        <v>0</v>
      </c>
      <c r="E93" s="1"/>
      <c r="F93" s="5">
        <f t="shared" ref="F93:F95" si="69">IF(D$12=0,0,D93/D$12)</f>
        <v>0</v>
      </c>
      <c r="G93" s="1"/>
      <c r="H93" s="1">
        <f>SUM(OSRRefH22_17x_0)</f>
        <v>0</v>
      </c>
      <c r="I93" s="1"/>
      <c r="J93" s="5">
        <f t="shared" ref="J93:J95" si="70">IF(H$12=0,0,H93/H$12)</f>
        <v>0</v>
      </c>
      <c r="K93" s="1"/>
      <c r="L93" s="1">
        <f t="shared" ref="L93:L95" si="71">+D93-H93</f>
        <v>0</v>
      </c>
      <c r="M93" s="1"/>
      <c r="N93" s="5">
        <f t="shared" ref="N93:N95" si="72">IF(H93=0,0,L93/H93)</f>
        <v>0</v>
      </c>
      <c r="O93" s="12"/>
      <c r="P93" s="1">
        <f>SUM(OSRRefP22_17x_0)</f>
        <v>185.7</v>
      </c>
      <c r="Q93" s="1"/>
      <c r="R93" s="5">
        <f t="shared" ref="R93:R95" si="73">IF(P$12=0,0,P93/P$12)</f>
        <v>3.5625763953932603E-4</v>
      </c>
      <c r="S93" s="1"/>
      <c r="T93" s="1">
        <f>SUM(OSRRefT22_17x_0)</f>
        <v>258319.61</v>
      </c>
      <c r="U93" s="1"/>
      <c r="V93" s="5">
        <f t="shared" ref="V93:V95" si="74">IF(T$12=0,0,T93/T$12)</f>
        <v>3.6986541071072972E-2</v>
      </c>
      <c r="W93" s="1"/>
      <c r="X93" s="1">
        <f t="shared" ref="X93:X95" si="75">+P93-T93</f>
        <v>-258133.90999999997</v>
      </c>
      <c r="Y93" s="1"/>
      <c r="Z93" s="5">
        <f t="shared" ref="Z93:Z95" si="76">IF(T93=0,0,X93/T93)</f>
        <v>-0.99928112310172656</v>
      </c>
    </row>
    <row r="94" spans="1:26" s="23" customFormat="1" hidden="1" outlineLevel="2" x14ac:dyDescent="0.25">
      <c r="A94" s="27"/>
      <c r="B94" s="10" t="str">
        <f>CONCATENATE("          ", "6254", " - ", "ROYALTY &amp; COMMISSIONS")</f>
        <v xml:space="preserve">          6254 - ROYALTY &amp; COMMISSIONS</v>
      </c>
      <c r="C94" s="10"/>
      <c r="D94" s="6"/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0</v>
      </c>
      <c r="M94" s="2"/>
      <c r="N94" s="7">
        <f t="shared" si="72"/>
        <v>0</v>
      </c>
      <c r="O94" s="10"/>
      <c r="P94" s="6">
        <v>185.7</v>
      </c>
      <c r="Q94" s="2"/>
      <c r="R94" s="7">
        <f t="shared" si="73"/>
        <v>3.5625763953932603E-4</v>
      </c>
      <c r="S94" s="2"/>
      <c r="T94" s="6">
        <v>153649.65</v>
      </c>
      <c r="U94" s="2"/>
      <c r="V94" s="7">
        <f t="shared" si="74"/>
        <v>2.1999758710850435E-2</v>
      </c>
      <c r="W94" s="2"/>
      <c r="X94" s="6">
        <f t="shared" si="75"/>
        <v>-153463.94999999998</v>
      </c>
      <c r="Y94" s="2"/>
      <c r="Z94" s="7">
        <f t="shared" si="76"/>
        <v>-0.9987914062934734</v>
      </c>
    </row>
    <row r="95" spans="1:26" s="23" customFormat="1" hidden="1" outlineLevel="2" x14ac:dyDescent="0.25">
      <c r="A95" s="27"/>
      <c r="B95" s="10" t="str">
        <f>CONCATENATE("          ", "6259", " - ", "ROYALTY &amp; COMMISSIONS")</f>
        <v xml:space="preserve">          6259 - ROYALTY &amp; COMMISSIONS</v>
      </c>
      <c r="C95" s="10"/>
      <c r="D95" s="6"/>
      <c r="E95" s="2"/>
      <c r="F95" s="7">
        <f t="shared" si="69"/>
        <v>0</v>
      </c>
      <c r="G95" s="2"/>
      <c r="H95" s="6"/>
      <c r="I95" s="2"/>
      <c r="J95" s="7">
        <f t="shared" si="70"/>
        <v>0</v>
      </c>
      <c r="K95" s="2"/>
      <c r="L95" s="6">
        <f t="shared" si="71"/>
        <v>0</v>
      </c>
      <c r="M95" s="2"/>
      <c r="N95" s="7">
        <f t="shared" si="72"/>
        <v>0</v>
      </c>
      <c r="O95" s="10"/>
      <c r="P95" s="6"/>
      <c r="Q95" s="2"/>
      <c r="R95" s="7">
        <f t="shared" si="73"/>
        <v>0</v>
      </c>
      <c r="S95" s="2"/>
      <c r="T95" s="6">
        <v>104669.96</v>
      </c>
      <c r="U95" s="2"/>
      <c r="V95" s="7">
        <f t="shared" si="74"/>
        <v>1.4986782360222538E-2</v>
      </c>
      <c r="W95" s="2"/>
      <c r="X95" s="6">
        <f t="shared" si="75"/>
        <v>-104669.96</v>
      </c>
      <c r="Y95" s="2"/>
      <c r="Z95" s="7">
        <f t="shared" si="76"/>
        <v>-1</v>
      </c>
    </row>
    <row r="96" spans="1:26" s="26" customFormat="1" outlineLevel="1" collapsed="1" x14ac:dyDescent="0.25">
      <c r="A96" s="25"/>
      <c r="B96" s="12" t="str">
        <f>CONCATENATE("     ","Services                                          ")</f>
        <v xml:space="preserve">     Services                                          </v>
      </c>
      <c r="C96" s="12"/>
      <c r="D96" s="1">
        <f>SUM(OSRRefD22_18x_0)</f>
        <v>9774.8700000000008</v>
      </c>
      <c r="E96" s="1"/>
      <c r="F96" s="5">
        <f t="shared" ref="F96:F101" si="77">IF(D$12=0,0,D96/D$12)</f>
        <v>0.15827506223814439</v>
      </c>
      <c r="G96" s="1"/>
      <c r="H96" s="1">
        <f>SUM(OSRRefH22_18x_0)</f>
        <v>6054.63</v>
      </c>
      <c r="I96" s="1"/>
      <c r="J96" s="5">
        <f t="shared" ref="J96:J101" si="78">IF(H$12=0,0,H96/H$12)</f>
        <v>213.49188998589563</v>
      </c>
      <c r="K96" s="1"/>
      <c r="L96" s="1">
        <f t="shared" ref="L96:L101" si="79">+D96-H96</f>
        <v>3720.2400000000007</v>
      </c>
      <c r="M96" s="1"/>
      <c r="N96" s="5">
        <f t="shared" ref="N96:N101" si="80">IF(H96=0,0,L96/H96)</f>
        <v>0.61444547395959792</v>
      </c>
      <c r="O96" s="12"/>
      <c r="P96" s="1">
        <f>SUM(OSRRefP22_18x_0)</f>
        <v>67102.31</v>
      </c>
      <c r="Q96" s="1"/>
      <c r="R96" s="5">
        <f t="shared" ref="R96:R101" si="81">IF(P$12=0,0,P96/P$12)</f>
        <v>0.1287329594412284</v>
      </c>
      <c r="S96" s="1"/>
      <c r="T96" s="1">
        <f>SUM(OSRRefT22_18x_0)</f>
        <v>235021.18000000002</v>
      </c>
      <c r="U96" s="1"/>
      <c r="V96" s="5">
        <f t="shared" ref="V96:V101" si="82">IF(T$12=0,0,T96/T$12)</f>
        <v>3.3650641260421672E-2</v>
      </c>
      <c r="W96" s="1"/>
      <c r="X96" s="1">
        <f t="shared" ref="X96:X101" si="83">+P96-T96</f>
        <v>-167918.87000000002</v>
      </c>
      <c r="Y96" s="1"/>
      <c r="Z96" s="5">
        <f t="shared" ref="Z96:Z101" si="84">IF(T96=0,0,X96/T96)</f>
        <v>-0.71448398820906278</v>
      </c>
    </row>
    <row r="97" spans="1:26" s="23" customFormat="1" hidden="1" outlineLevel="2" x14ac:dyDescent="0.25">
      <c r="A97" s="27"/>
      <c r="B97" s="10" t="str">
        <f>CONCATENATE("          ", "6282", " - ", "JANITORIAL/EXTERMINATOR EXPENS")</f>
        <v xml:space="preserve">          6282 - JANITORIAL/EXTERMINATOR EXPENS</v>
      </c>
      <c r="C97" s="10"/>
      <c r="D97" s="6">
        <v>970.35</v>
      </c>
      <c r="E97" s="2"/>
      <c r="F97" s="7">
        <f t="shared" si="77"/>
        <v>1.5711943651709269E-2</v>
      </c>
      <c r="G97" s="2"/>
      <c r="H97" s="6">
        <v>372</v>
      </c>
      <c r="I97" s="2"/>
      <c r="J97" s="7">
        <f t="shared" si="78"/>
        <v>13.117066290550071</v>
      </c>
      <c r="K97" s="2"/>
      <c r="L97" s="6">
        <f t="shared" si="79"/>
        <v>598.35</v>
      </c>
      <c r="M97" s="2"/>
      <c r="N97" s="7">
        <f t="shared" si="80"/>
        <v>1.608467741935484</v>
      </c>
      <c r="O97" s="10"/>
      <c r="P97" s="6">
        <v>13172.59</v>
      </c>
      <c r="Q97" s="2"/>
      <c r="R97" s="7">
        <f t="shared" si="81"/>
        <v>2.5271059881633445E-2</v>
      </c>
      <c r="S97" s="2"/>
      <c r="T97" s="6">
        <v>19096.830000000002</v>
      </c>
      <c r="U97" s="2"/>
      <c r="V97" s="7">
        <f t="shared" si="82"/>
        <v>2.7343092037120159E-3</v>
      </c>
      <c r="W97" s="2"/>
      <c r="X97" s="6">
        <f t="shared" si="83"/>
        <v>-5924.2400000000016</v>
      </c>
      <c r="Y97" s="2"/>
      <c r="Z97" s="7">
        <f t="shared" si="84"/>
        <v>-0.31022112046868516</v>
      </c>
    </row>
    <row r="98" spans="1:26" s="23" customFormat="1" hidden="1" outlineLevel="2" x14ac:dyDescent="0.25">
      <c r="A98" s="27"/>
      <c r="B98" s="10" t="str">
        <f>CONCATENATE("          ", "6283", " - ", "PLANT SERVICE")</f>
        <v xml:space="preserve">          6283 - PLANT SERVICE</v>
      </c>
      <c r="C98" s="10"/>
      <c r="D98" s="6"/>
      <c r="E98" s="2"/>
      <c r="F98" s="7">
        <f t="shared" si="77"/>
        <v>0</v>
      </c>
      <c r="G98" s="2"/>
      <c r="H98" s="6"/>
      <c r="I98" s="2"/>
      <c r="J98" s="7">
        <f t="shared" si="78"/>
        <v>0</v>
      </c>
      <c r="K98" s="2"/>
      <c r="L98" s="6">
        <f t="shared" si="79"/>
        <v>0</v>
      </c>
      <c r="M98" s="2"/>
      <c r="N98" s="7">
        <f t="shared" si="80"/>
        <v>0</v>
      </c>
      <c r="O98" s="10"/>
      <c r="P98" s="6"/>
      <c r="Q98" s="2"/>
      <c r="R98" s="7">
        <f t="shared" si="81"/>
        <v>0</v>
      </c>
      <c r="S98" s="2"/>
      <c r="T98" s="6">
        <v>1798.02</v>
      </c>
      <c r="U98" s="2"/>
      <c r="V98" s="7">
        <f t="shared" si="82"/>
        <v>2.5744286535819182E-4</v>
      </c>
      <c r="W98" s="2"/>
      <c r="X98" s="6">
        <f t="shared" si="83"/>
        <v>-1798.02</v>
      </c>
      <c r="Y98" s="2"/>
      <c r="Z98" s="7">
        <f t="shared" si="84"/>
        <v>-1</v>
      </c>
    </row>
    <row r="99" spans="1:26" s="23" customFormat="1" hidden="1" outlineLevel="2" x14ac:dyDescent="0.25">
      <c r="A99" s="27"/>
      <c r="B99" s="10" t="str">
        <f>CONCATENATE("          ", "6284", " - ", "TRASH REMOVAL EXPENSE")</f>
        <v xml:space="preserve">          6284 - TRASH REMOVAL EXPENSE</v>
      </c>
      <c r="C99" s="10"/>
      <c r="D99" s="6">
        <v>5419</v>
      </c>
      <c r="E99" s="2"/>
      <c r="F99" s="7">
        <f t="shared" si="77"/>
        <v>8.7744651567591633E-2</v>
      </c>
      <c r="G99" s="2"/>
      <c r="H99" s="6">
        <v>5419</v>
      </c>
      <c r="I99" s="2"/>
      <c r="J99" s="7">
        <f t="shared" si="78"/>
        <v>191.0789844851904</v>
      </c>
      <c r="K99" s="2"/>
      <c r="L99" s="6">
        <f t="shared" si="79"/>
        <v>0</v>
      </c>
      <c r="M99" s="2"/>
      <c r="N99" s="7">
        <f t="shared" si="80"/>
        <v>0</v>
      </c>
      <c r="O99" s="10"/>
      <c r="P99" s="6">
        <v>32595</v>
      </c>
      <c r="Q99" s="2"/>
      <c r="R99" s="7">
        <f t="shared" si="81"/>
        <v>6.2532136568574759E-2</v>
      </c>
      <c r="S99" s="2"/>
      <c r="T99" s="6">
        <v>51719</v>
      </c>
      <c r="U99" s="2"/>
      <c r="V99" s="7">
        <f t="shared" si="82"/>
        <v>7.4051943546013521E-3</v>
      </c>
      <c r="W99" s="2"/>
      <c r="X99" s="6">
        <f t="shared" si="83"/>
        <v>-19124</v>
      </c>
      <c r="Y99" s="2"/>
      <c r="Z99" s="7">
        <f t="shared" si="84"/>
        <v>-0.36976739689475824</v>
      </c>
    </row>
    <row r="100" spans="1:26" s="23" customFormat="1" hidden="1" outlineLevel="2" x14ac:dyDescent="0.25">
      <c r="A100" s="27"/>
      <c r="B100" s="10" t="str">
        <f>CONCATENATE("          ", "6285", " - ", "JANITORIAL SERVICES")</f>
        <v xml:space="preserve">          6285 - JANITORIAL SERVICES</v>
      </c>
      <c r="C100" s="10"/>
      <c r="D100" s="6">
        <v>3385.52</v>
      </c>
      <c r="E100" s="2"/>
      <c r="F100" s="7">
        <f t="shared" si="77"/>
        <v>5.4818467018843478E-2</v>
      </c>
      <c r="G100" s="2"/>
      <c r="H100" s="6">
        <v>134.1</v>
      </c>
      <c r="I100" s="2"/>
      <c r="J100" s="7">
        <f t="shared" si="78"/>
        <v>4.7284908321579691</v>
      </c>
      <c r="K100" s="2"/>
      <c r="L100" s="6">
        <f t="shared" si="79"/>
        <v>3251.42</v>
      </c>
      <c r="M100" s="2"/>
      <c r="N100" s="7">
        <f t="shared" si="80"/>
        <v>24.246234153616705</v>
      </c>
      <c r="O100" s="10"/>
      <c r="P100" s="6">
        <v>20430.009999999998</v>
      </c>
      <c r="Q100" s="2"/>
      <c r="R100" s="7">
        <f t="shared" si="81"/>
        <v>3.9194114907726577E-2</v>
      </c>
      <c r="S100" s="2"/>
      <c r="T100" s="6">
        <v>129209.55</v>
      </c>
      <c r="U100" s="2"/>
      <c r="V100" s="7">
        <f t="shared" si="82"/>
        <v>1.8500393089978175E-2</v>
      </c>
      <c r="W100" s="2"/>
      <c r="X100" s="6">
        <f t="shared" si="83"/>
        <v>-108779.54000000001</v>
      </c>
      <c r="Y100" s="2"/>
      <c r="Z100" s="7">
        <f t="shared" si="84"/>
        <v>-0.8418846749330835</v>
      </c>
    </row>
    <row r="101" spans="1:26" s="23" customFormat="1" hidden="1" outlineLevel="2" x14ac:dyDescent="0.25">
      <c r="A101" s="27"/>
      <c r="B101" s="10" t="str">
        <f>CONCATENATE("          ", "6286", " - ", "LAUNDRY EXPENSE")</f>
        <v xml:space="preserve">          6286 - LAUNDRY EXPENSE</v>
      </c>
      <c r="C101" s="10"/>
      <c r="D101" s="6"/>
      <c r="E101" s="2"/>
      <c r="F101" s="7">
        <f t="shared" si="77"/>
        <v>0</v>
      </c>
      <c r="G101" s="2"/>
      <c r="H101" s="6">
        <v>129.53</v>
      </c>
      <c r="I101" s="2"/>
      <c r="J101" s="7">
        <f t="shared" si="78"/>
        <v>4.5673483779971793</v>
      </c>
      <c r="K101" s="2"/>
      <c r="L101" s="6">
        <f t="shared" si="79"/>
        <v>-129.53</v>
      </c>
      <c r="M101" s="2"/>
      <c r="N101" s="7">
        <f t="shared" si="80"/>
        <v>-1</v>
      </c>
      <c r="O101" s="10"/>
      <c r="P101" s="6">
        <v>904.71</v>
      </c>
      <c r="Q101" s="2"/>
      <c r="R101" s="7">
        <f t="shared" si="81"/>
        <v>1.7356480832936116E-3</v>
      </c>
      <c r="S101" s="2"/>
      <c r="T101" s="6">
        <v>33197.78</v>
      </c>
      <c r="U101" s="2"/>
      <c r="V101" s="7">
        <f t="shared" si="82"/>
        <v>4.7533017467719348E-3</v>
      </c>
      <c r="W101" s="2"/>
      <c r="X101" s="6">
        <f t="shared" si="83"/>
        <v>-32293.07</v>
      </c>
      <c r="Y101" s="2"/>
      <c r="Z101" s="7">
        <f t="shared" si="84"/>
        <v>-0.97274787651463446</v>
      </c>
    </row>
    <row r="102" spans="1:26" s="26" customFormat="1" outlineLevel="1" collapsed="1" x14ac:dyDescent="0.25">
      <c r="A102" s="25"/>
      <c r="B102" s="12" t="str">
        <f>CONCATENATE("     ","Subscriptions &amp; Dues                              ")</f>
        <v xml:space="preserve">     Subscriptions &amp; Dues                              </v>
      </c>
      <c r="C102" s="12"/>
      <c r="D102" s="1">
        <f>SUM(OSRRefD22_19x_0)</f>
        <v>132.16999999999999</v>
      </c>
      <c r="E102" s="1"/>
      <c r="F102" s="5">
        <f t="shared" ref="F102:F104" si="85">IF(D$12=0,0,D102/D$12)</f>
        <v>2.1401016050357231E-3</v>
      </c>
      <c r="G102" s="1"/>
      <c r="H102" s="1">
        <f>SUM(OSRRefH22_19x_0)</f>
        <v>0</v>
      </c>
      <c r="I102" s="1"/>
      <c r="J102" s="5">
        <f t="shared" ref="J102:J104" si="86">IF(H$12=0,0,H102/H$12)</f>
        <v>0</v>
      </c>
      <c r="K102" s="1"/>
      <c r="L102" s="1">
        <f t="shared" ref="L102:L104" si="87">+D102-H102</f>
        <v>132.16999999999999</v>
      </c>
      <c r="M102" s="1"/>
      <c r="N102" s="5">
        <f t="shared" ref="N102:N104" si="88">IF(H102=0,0,L102/H102)</f>
        <v>0</v>
      </c>
      <c r="O102" s="12"/>
      <c r="P102" s="1">
        <f>SUM(OSRRefP22_19x_0)</f>
        <v>1048.25</v>
      </c>
      <c r="Q102" s="1"/>
      <c r="R102" s="5">
        <f t="shared" ref="R102:R104" si="89">IF(P$12=0,0,P102/P$12)</f>
        <v>2.011023536064074E-3</v>
      </c>
      <c r="S102" s="1"/>
      <c r="T102" s="1">
        <f>SUM(OSRRefT22_19x_0)</f>
        <v>8711.75</v>
      </c>
      <c r="U102" s="1"/>
      <c r="V102" s="5">
        <f t="shared" ref="V102:V104" si="90">IF(T$12=0,0,T102/T$12)</f>
        <v>1.2473598081691125E-3</v>
      </c>
      <c r="W102" s="1"/>
      <c r="X102" s="1">
        <f t="shared" ref="X102:X104" si="91">+P102-T102</f>
        <v>-7663.5</v>
      </c>
      <c r="Y102" s="1"/>
      <c r="Z102" s="5">
        <f t="shared" ref="Z102:Z104" si="92">IF(T102=0,0,X102/T102)</f>
        <v>-0.87967400350101876</v>
      </c>
    </row>
    <row r="103" spans="1:26" s="23" customFormat="1" hidden="1" outlineLevel="2" x14ac:dyDescent="0.25">
      <c r="A103" s="27"/>
      <c r="B103" s="10" t="str">
        <f>CONCATENATE("          ", "6258", " - ", "MEMBERSHIP DUES")</f>
        <v xml:space="preserve">          6258 - MEMBERSHIP DUES</v>
      </c>
      <c r="C103" s="10"/>
      <c r="D103" s="6"/>
      <c r="E103" s="2"/>
      <c r="F103" s="7">
        <f t="shared" si="85"/>
        <v>0</v>
      </c>
      <c r="G103" s="2"/>
      <c r="H103" s="6"/>
      <c r="I103" s="2"/>
      <c r="J103" s="7">
        <f t="shared" si="86"/>
        <v>0</v>
      </c>
      <c r="K103" s="2"/>
      <c r="L103" s="6">
        <f t="shared" si="87"/>
        <v>0</v>
      </c>
      <c r="M103" s="2"/>
      <c r="N103" s="7">
        <f t="shared" si="88"/>
        <v>0</v>
      </c>
      <c r="O103" s="10"/>
      <c r="P103" s="6"/>
      <c r="Q103" s="2"/>
      <c r="R103" s="7">
        <f t="shared" si="89"/>
        <v>0</v>
      </c>
      <c r="S103" s="2"/>
      <c r="T103" s="6">
        <v>3730</v>
      </c>
      <c r="U103" s="2"/>
      <c r="V103" s="7">
        <f t="shared" si="90"/>
        <v>5.3406629947723363E-4</v>
      </c>
      <c r="W103" s="2"/>
      <c r="X103" s="6">
        <f t="shared" si="91"/>
        <v>-3730</v>
      </c>
      <c r="Y103" s="2"/>
      <c r="Z103" s="7">
        <f t="shared" si="92"/>
        <v>-1</v>
      </c>
    </row>
    <row r="104" spans="1:26" s="23" customFormat="1" hidden="1" outlineLevel="2" x14ac:dyDescent="0.25">
      <c r="A104" s="27"/>
      <c r="B104" s="10" t="str">
        <f>CONCATENATE("          ", "6275", " - ", "SUBSCRIPTIONS")</f>
        <v xml:space="preserve">          6275 - SUBSCRIPTIONS</v>
      </c>
      <c r="C104" s="10"/>
      <c r="D104" s="6">
        <v>132.16999999999999</v>
      </c>
      <c r="E104" s="2"/>
      <c r="F104" s="7">
        <f t="shared" si="85"/>
        <v>2.1401016050357231E-3</v>
      </c>
      <c r="G104" s="2"/>
      <c r="H104" s="6"/>
      <c r="I104" s="2"/>
      <c r="J104" s="7">
        <f t="shared" si="86"/>
        <v>0</v>
      </c>
      <c r="K104" s="2"/>
      <c r="L104" s="6">
        <f t="shared" si="87"/>
        <v>132.16999999999999</v>
      </c>
      <c r="M104" s="2"/>
      <c r="N104" s="7">
        <f t="shared" si="88"/>
        <v>0</v>
      </c>
      <c r="O104" s="10"/>
      <c r="P104" s="6">
        <v>1048.25</v>
      </c>
      <c r="Q104" s="2"/>
      <c r="R104" s="7">
        <f t="shared" si="89"/>
        <v>2.011023536064074E-3</v>
      </c>
      <c r="S104" s="2"/>
      <c r="T104" s="6">
        <v>4981.75</v>
      </c>
      <c r="U104" s="2"/>
      <c r="V104" s="7">
        <f t="shared" si="90"/>
        <v>7.1329350869187892E-4</v>
      </c>
      <c r="W104" s="2"/>
      <c r="X104" s="6">
        <f t="shared" si="91"/>
        <v>-3933.5</v>
      </c>
      <c r="Y104" s="2"/>
      <c r="Z104" s="7">
        <f t="shared" si="92"/>
        <v>-0.78958197420585141</v>
      </c>
    </row>
    <row r="105" spans="1:26" s="26" customFormat="1" outlineLevel="1" collapsed="1" x14ac:dyDescent="0.25">
      <c r="A105" s="25"/>
      <c r="B105" s="12" t="str">
        <f>CONCATENATE("     ","Supplies                                          ")</f>
        <v xml:space="preserve">     Supplies                                          </v>
      </c>
      <c r="C105" s="12"/>
      <c r="D105" s="1">
        <f>SUM(OSRRefD22_20x_0)</f>
        <v>-27.79</v>
      </c>
      <c r="E105" s="1"/>
      <c r="F105" s="5">
        <f t="shared" ref="F105:F115" si="93">IF(D$12=0,0,D105/D$12)</f>
        <v>-4.4997672394599949E-4</v>
      </c>
      <c r="G105" s="1"/>
      <c r="H105" s="1">
        <f>SUM(OSRRefH22_20x_0)</f>
        <v>1676.7399999999998</v>
      </c>
      <c r="I105" s="1"/>
      <c r="J105" s="5">
        <f t="shared" ref="J105:J115" si="94">IF(H$12=0,0,H105/H$12)</f>
        <v>59.123413258110006</v>
      </c>
      <c r="K105" s="1"/>
      <c r="L105" s="1">
        <f t="shared" ref="L105:L115" si="95">+D105-H105</f>
        <v>-1704.5299999999997</v>
      </c>
      <c r="M105" s="1"/>
      <c r="N105" s="5">
        <f t="shared" ref="N105:N115" si="96">IF(H105=0,0,L105/H105)</f>
        <v>-1.0165738277848682</v>
      </c>
      <c r="O105" s="12"/>
      <c r="P105" s="1">
        <f>SUM(OSRRefP22_20x_0)</f>
        <v>-19558.300000000003</v>
      </c>
      <c r="Q105" s="1"/>
      <c r="R105" s="5">
        <f t="shared" ref="R105:R115" si="97">IF(P$12=0,0,P105/P$12)</f>
        <v>-3.7521775936467432E-2</v>
      </c>
      <c r="S105" s="1"/>
      <c r="T105" s="1">
        <f>SUM(OSRRefT22_20x_0)</f>
        <v>219115.03999999998</v>
      </c>
      <c r="U105" s="1"/>
      <c r="V105" s="5">
        <f t="shared" ref="V105:V115" si="98">IF(T$12=0,0,T105/T$12)</f>
        <v>3.1373179241985523E-2</v>
      </c>
      <c r="W105" s="1"/>
      <c r="X105" s="1">
        <f t="shared" ref="X105:X115" si="99">+P105-T105</f>
        <v>-238673.33999999997</v>
      </c>
      <c r="Y105" s="1"/>
      <c r="Z105" s="5">
        <f t="shared" ref="Z105:Z115" si="100">IF(T105=0,0,X105/T105)</f>
        <v>-1.08926041772395</v>
      </c>
    </row>
    <row r="106" spans="1:26" s="23" customFormat="1" hidden="1" outlineLevel="2" x14ac:dyDescent="0.25">
      <c r="A106" s="27"/>
      <c r="B106" s="10" t="str">
        <f>CONCATENATE("          ", "6234", " - ", "EXPENDABLE SUPPLIES &amp; EQUIPMEN")</f>
        <v xml:space="preserve">          6234 - EXPENDABLE SUPPLIES &amp; EQUIPMEN</v>
      </c>
      <c r="C106" s="10"/>
      <c r="D106" s="6"/>
      <c r="E106" s="2"/>
      <c r="F106" s="7">
        <f t="shared" si="93"/>
        <v>0</v>
      </c>
      <c r="G106" s="2"/>
      <c r="H106" s="6"/>
      <c r="I106" s="2"/>
      <c r="J106" s="7">
        <f t="shared" si="94"/>
        <v>0</v>
      </c>
      <c r="K106" s="2"/>
      <c r="L106" s="6">
        <f t="shared" si="95"/>
        <v>0</v>
      </c>
      <c r="M106" s="2"/>
      <c r="N106" s="7">
        <f t="shared" si="96"/>
        <v>0</v>
      </c>
      <c r="O106" s="10"/>
      <c r="P106" s="6">
        <v>653.83000000000004</v>
      </c>
      <c r="Q106" s="2"/>
      <c r="R106" s="7">
        <f t="shared" si="97"/>
        <v>1.2543453551965404E-3</v>
      </c>
      <c r="S106" s="2"/>
      <c r="T106" s="6">
        <v>15778.95</v>
      </c>
      <c r="U106" s="2"/>
      <c r="V106" s="7">
        <f t="shared" si="98"/>
        <v>2.2592507871679077E-3</v>
      </c>
      <c r="W106" s="2"/>
      <c r="X106" s="6">
        <f t="shared" si="99"/>
        <v>-15125.12</v>
      </c>
      <c r="Y106" s="2"/>
      <c r="Z106" s="7">
        <f t="shared" si="100"/>
        <v>-0.95856314900547879</v>
      </c>
    </row>
    <row r="107" spans="1:26" s="23" customFormat="1" hidden="1" outlineLevel="2" x14ac:dyDescent="0.25">
      <c r="A107" s="27"/>
      <c r="B107" s="10" t="str">
        <f>CONCATENATE("          ", "6235", " - ", "COVID-19 EXPENSES")</f>
        <v xml:space="preserve">          6235 - COVID-19 EXPENSES</v>
      </c>
      <c r="C107" s="10"/>
      <c r="D107" s="6"/>
      <c r="E107" s="2"/>
      <c r="F107" s="7">
        <f t="shared" si="93"/>
        <v>0</v>
      </c>
      <c r="G107" s="2"/>
      <c r="H107" s="6">
        <v>1095.08</v>
      </c>
      <c r="I107" s="2"/>
      <c r="J107" s="7">
        <f t="shared" si="94"/>
        <v>38.613540197461212</v>
      </c>
      <c r="K107" s="2"/>
      <c r="L107" s="6">
        <f t="shared" si="95"/>
        <v>-1095.08</v>
      </c>
      <c r="M107" s="2"/>
      <c r="N107" s="7">
        <f t="shared" si="96"/>
        <v>-1</v>
      </c>
      <c r="O107" s="10"/>
      <c r="P107" s="6">
        <v>7154.58</v>
      </c>
      <c r="Q107" s="2"/>
      <c r="R107" s="7">
        <f t="shared" si="97"/>
        <v>1.3725760811498499E-2</v>
      </c>
      <c r="S107" s="2"/>
      <c r="T107" s="6">
        <v>1095.08</v>
      </c>
      <c r="U107" s="2"/>
      <c r="V107" s="7">
        <f t="shared" si="98"/>
        <v>1.5679499282346621E-4</v>
      </c>
      <c r="W107" s="2"/>
      <c r="X107" s="6">
        <f t="shared" si="99"/>
        <v>6059.5</v>
      </c>
      <c r="Y107" s="2"/>
      <c r="Z107" s="7">
        <f t="shared" si="100"/>
        <v>5.5333856887168062</v>
      </c>
    </row>
    <row r="108" spans="1:26" s="23" customFormat="1" hidden="1" outlineLevel="2" x14ac:dyDescent="0.25">
      <c r="A108" s="27"/>
      <c r="B108" s="10" t="str">
        <f>CONCATENATE("          ", "6237", " - ", "JANITORIAL SUPPLIES")</f>
        <v xml:space="preserve">          6237 - JANITORIAL SUPPLIES</v>
      </c>
      <c r="C108" s="10"/>
      <c r="D108" s="6">
        <v>-30</v>
      </c>
      <c r="E108" s="2"/>
      <c r="F108" s="7">
        <f t="shared" si="93"/>
        <v>-4.8576112696581452E-4</v>
      </c>
      <c r="G108" s="2"/>
      <c r="H108" s="6">
        <v>47.1</v>
      </c>
      <c r="I108" s="2"/>
      <c r="J108" s="7">
        <f t="shared" si="94"/>
        <v>1.6607898448519043</v>
      </c>
      <c r="K108" s="2"/>
      <c r="L108" s="6">
        <f t="shared" si="95"/>
        <v>-77.099999999999994</v>
      </c>
      <c r="M108" s="2"/>
      <c r="N108" s="7">
        <f t="shared" si="96"/>
        <v>-1.6369426751592355</v>
      </c>
      <c r="O108" s="10"/>
      <c r="P108" s="6">
        <v>646.48</v>
      </c>
      <c r="Q108" s="2"/>
      <c r="R108" s="7">
        <f t="shared" si="97"/>
        <v>1.2402446893343216E-3</v>
      </c>
      <c r="S108" s="2"/>
      <c r="T108" s="6">
        <v>52899.67</v>
      </c>
      <c r="U108" s="2"/>
      <c r="V108" s="7">
        <f t="shared" si="98"/>
        <v>7.5742442360500883E-3</v>
      </c>
      <c r="W108" s="2"/>
      <c r="X108" s="6">
        <f t="shared" si="99"/>
        <v>-52253.189999999995</v>
      </c>
      <c r="Y108" s="2"/>
      <c r="Z108" s="7">
        <f t="shared" si="100"/>
        <v>-0.98777912981309712</v>
      </c>
    </row>
    <row r="109" spans="1:26" s="23" customFormat="1" hidden="1" outlineLevel="2" x14ac:dyDescent="0.25">
      <c r="A109" s="27"/>
      <c r="B109" s="10" t="str">
        <f>CONCATENATE("          ", "6239", " - ", "KITCHEN SUPPLIES")</f>
        <v xml:space="preserve">          6239 - KITCHEN SUPPLIES</v>
      </c>
      <c r="C109" s="10"/>
      <c r="D109" s="6"/>
      <c r="E109" s="2"/>
      <c r="F109" s="7">
        <f t="shared" si="93"/>
        <v>0</v>
      </c>
      <c r="G109" s="2"/>
      <c r="H109" s="6"/>
      <c r="I109" s="2"/>
      <c r="J109" s="7">
        <f t="shared" si="94"/>
        <v>0</v>
      </c>
      <c r="K109" s="2"/>
      <c r="L109" s="6">
        <f t="shared" si="95"/>
        <v>0</v>
      </c>
      <c r="M109" s="2"/>
      <c r="N109" s="7">
        <f t="shared" si="96"/>
        <v>0</v>
      </c>
      <c r="O109" s="10"/>
      <c r="P109" s="6">
        <v>19.829999999999998</v>
      </c>
      <c r="Q109" s="2"/>
      <c r="R109" s="7">
        <f t="shared" si="97"/>
        <v>3.804302095888441E-5</v>
      </c>
      <c r="S109" s="2"/>
      <c r="T109" s="6">
        <v>45966.83</v>
      </c>
      <c r="U109" s="2"/>
      <c r="V109" s="7">
        <f t="shared" si="98"/>
        <v>6.5815910983375563E-3</v>
      </c>
      <c r="W109" s="2"/>
      <c r="X109" s="6">
        <f t="shared" si="99"/>
        <v>-45947</v>
      </c>
      <c r="Y109" s="2"/>
      <c r="Z109" s="7">
        <f t="shared" si="100"/>
        <v>-0.99956860196798425</v>
      </c>
    </row>
    <row r="110" spans="1:26" s="23" customFormat="1" hidden="1" outlineLevel="2" x14ac:dyDescent="0.25">
      <c r="A110" s="27"/>
      <c r="B110" s="10" t="str">
        <f>CONCATENATE("          ", "6241", " - ", "OFFICE EXPENSE")</f>
        <v xml:space="preserve">          6241 - OFFICE EXPENSE</v>
      </c>
      <c r="C110" s="10"/>
      <c r="D110" s="6">
        <v>2.21</v>
      </c>
      <c r="E110" s="2"/>
      <c r="F110" s="7">
        <f t="shared" si="93"/>
        <v>3.5784403019814998E-5</v>
      </c>
      <c r="G110" s="2"/>
      <c r="H110" s="6">
        <v>0</v>
      </c>
      <c r="I110" s="2"/>
      <c r="J110" s="7">
        <f t="shared" si="94"/>
        <v>0</v>
      </c>
      <c r="K110" s="2"/>
      <c r="L110" s="6">
        <f t="shared" si="95"/>
        <v>2.21</v>
      </c>
      <c r="M110" s="2"/>
      <c r="N110" s="7">
        <f t="shared" si="96"/>
        <v>0</v>
      </c>
      <c r="O110" s="10"/>
      <c r="P110" s="6">
        <v>-28409.63</v>
      </c>
      <c r="Q110" s="2"/>
      <c r="R110" s="7">
        <f t="shared" si="97"/>
        <v>-5.4502680258404004E-2</v>
      </c>
      <c r="S110" s="2"/>
      <c r="T110" s="6">
        <v>20136.28</v>
      </c>
      <c r="U110" s="2"/>
      <c r="V110" s="7">
        <f t="shared" si="98"/>
        <v>2.8831390200636537E-3</v>
      </c>
      <c r="W110" s="2"/>
      <c r="X110" s="6">
        <f t="shared" si="99"/>
        <v>-48545.91</v>
      </c>
      <c r="Y110" s="2"/>
      <c r="Z110" s="7">
        <f t="shared" si="100"/>
        <v>-2.4108678464939901</v>
      </c>
    </row>
    <row r="111" spans="1:26" s="23" customFormat="1" hidden="1" outlineLevel="2" x14ac:dyDescent="0.25">
      <c r="A111" s="27"/>
      <c r="B111" s="10" t="str">
        <f>CONCATENATE("          ", "6243", " - ", "PAPER SUPPLIES")</f>
        <v xml:space="preserve">          6243 - PAPER SUPPLIES</v>
      </c>
      <c r="C111" s="10"/>
      <c r="D111" s="6"/>
      <c r="E111" s="2"/>
      <c r="F111" s="7">
        <f t="shared" si="93"/>
        <v>0</v>
      </c>
      <c r="G111" s="2"/>
      <c r="H111" s="6"/>
      <c r="I111" s="2"/>
      <c r="J111" s="7">
        <f t="shared" si="94"/>
        <v>0</v>
      </c>
      <c r="K111" s="2"/>
      <c r="L111" s="6">
        <f t="shared" si="95"/>
        <v>0</v>
      </c>
      <c r="M111" s="2"/>
      <c r="N111" s="7">
        <f t="shared" si="96"/>
        <v>0</v>
      </c>
      <c r="O111" s="10"/>
      <c r="P111" s="6">
        <v>255.33</v>
      </c>
      <c r="Q111" s="2"/>
      <c r="R111" s="7">
        <f t="shared" si="97"/>
        <v>4.8983986593202004E-4</v>
      </c>
      <c r="S111" s="2"/>
      <c r="T111" s="6">
        <v>34117.769999999997</v>
      </c>
      <c r="U111" s="2"/>
      <c r="V111" s="7">
        <f t="shared" si="98"/>
        <v>4.8850271234089472E-3</v>
      </c>
      <c r="W111" s="2"/>
      <c r="X111" s="6">
        <f t="shared" si="99"/>
        <v>-33862.439999999995</v>
      </c>
      <c r="Y111" s="2"/>
      <c r="Z111" s="7">
        <f t="shared" si="100"/>
        <v>-0.9925162166225987</v>
      </c>
    </row>
    <row r="112" spans="1:26" s="23" customFormat="1" hidden="1" outlineLevel="2" x14ac:dyDescent="0.25">
      <c r="A112" s="27"/>
      <c r="B112" s="10" t="str">
        <f>CONCATENATE("          ", "6245", " - ", "PRINTING")</f>
        <v xml:space="preserve">          6245 - PRINTING</v>
      </c>
      <c r="C112" s="10"/>
      <c r="D112" s="6"/>
      <c r="E112" s="2"/>
      <c r="F112" s="7">
        <f t="shared" si="93"/>
        <v>0</v>
      </c>
      <c r="G112" s="2"/>
      <c r="H112" s="6"/>
      <c r="I112" s="2"/>
      <c r="J112" s="7">
        <f t="shared" si="94"/>
        <v>0</v>
      </c>
      <c r="K112" s="2"/>
      <c r="L112" s="6">
        <f t="shared" si="95"/>
        <v>0</v>
      </c>
      <c r="M112" s="2"/>
      <c r="N112" s="7">
        <f t="shared" si="96"/>
        <v>0</v>
      </c>
      <c r="O112" s="10"/>
      <c r="P112" s="6"/>
      <c r="Q112" s="2"/>
      <c r="R112" s="7">
        <f t="shared" si="97"/>
        <v>0</v>
      </c>
      <c r="S112" s="2"/>
      <c r="T112" s="6">
        <v>613.02</v>
      </c>
      <c r="U112" s="2"/>
      <c r="V112" s="7">
        <f t="shared" si="98"/>
        <v>8.7773008821858908E-5</v>
      </c>
      <c r="W112" s="2"/>
      <c r="X112" s="6">
        <f t="shared" si="99"/>
        <v>-613.02</v>
      </c>
      <c r="Y112" s="2"/>
      <c r="Z112" s="7">
        <f t="shared" si="100"/>
        <v>-1</v>
      </c>
    </row>
    <row r="113" spans="1:26" s="23" customFormat="1" hidden="1" outlineLevel="2" x14ac:dyDescent="0.25">
      <c r="A113" s="27"/>
      <c r="B113" s="10" t="str">
        <f>CONCATENATE("          ", "6246", " - ", "REPLACEMENTS")</f>
        <v xml:space="preserve">          6246 - REPLACEMENTS</v>
      </c>
      <c r="C113" s="10"/>
      <c r="D113" s="6"/>
      <c r="E113" s="2"/>
      <c r="F113" s="7">
        <f t="shared" si="93"/>
        <v>0</v>
      </c>
      <c r="G113" s="2"/>
      <c r="H113" s="6"/>
      <c r="I113" s="2"/>
      <c r="J113" s="7">
        <f t="shared" si="94"/>
        <v>0</v>
      </c>
      <c r="K113" s="2"/>
      <c r="L113" s="6">
        <f t="shared" si="95"/>
        <v>0</v>
      </c>
      <c r="M113" s="2"/>
      <c r="N113" s="7">
        <f t="shared" si="96"/>
        <v>0</v>
      </c>
      <c r="O113" s="10"/>
      <c r="P113" s="6"/>
      <c r="Q113" s="2"/>
      <c r="R113" s="7">
        <f t="shared" si="97"/>
        <v>0</v>
      </c>
      <c r="S113" s="2"/>
      <c r="T113" s="6">
        <v>25.87</v>
      </c>
      <c r="U113" s="2"/>
      <c r="V113" s="7">
        <f t="shared" si="98"/>
        <v>3.7041005810927706E-6</v>
      </c>
      <c r="W113" s="2"/>
      <c r="X113" s="6">
        <f t="shared" si="99"/>
        <v>-25.87</v>
      </c>
      <c r="Y113" s="2"/>
      <c r="Z113" s="7">
        <f t="shared" si="100"/>
        <v>-1</v>
      </c>
    </row>
    <row r="114" spans="1:26" s="23" customFormat="1" hidden="1" outlineLevel="2" x14ac:dyDescent="0.25">
      <c r="A114" s="27"/>
      <c r="B114" s="10" t="str">
        <f>CONCATENATE("          ", "6247", " - ", "STORE SUPPLIES")</f>
        <v xml:space="preserve">          6247 - STORE SUPPLIES</v>
      </c>
      <c r="C114" s="10"/>
      <c r="D114" s="6"/>
      <c r="E114" s="2"/>
      <c r="F114" s="7">
        <f t="shared" si="93"/>
        <v>0</v>
      </c>
      <c r="G114" s="2"/>
      <c r="H114" s="6">
        <v>493.49</v>
      </c>
      <c r="I114" s="2"/>
      <c r="J114" s="7">
        <f t="shared" si="94"/>
        <v>17.400916784203105</v>
      </c>
      <c r="K114" s="2"/>
      <c r="L114" s="6">
        <f t="shared" si="95"/>
        <v>-493.49</v>
      </c>
      <c r="M114" s="2"/>
      <c r="N114" s="7">
        <f t="shared" si="96"/>
        <v>-1</v>
      </c>
      <c r="O114" s="10"/>
      <c r="P114" s="6">
        <v>121.28</v>
      </c>
      <c r="Q114" s="2"/>
      <c r="R114" s="7">
        <f t="shared" si="97"/>
        <v>2.3267057901631374E-4</v>
      </c>
      <c r="S114" s="2"/>
      <c r="T114" s="6">
        <v>43563.5</v>
      </c>
      <c r="U114" s="2"/>
      <c r="V114" s="7">
        <f t="shared" si="98"/>
        <v>6.2374791520848436E-3</v>
      </c>
      <c r="W114" s="2"/>
      <c r="X114" s="6">
        <f t="shared" si="99"/>
        <v>-43442.22</v>
      </c>
      <c r="Y114" s="2"/>
      <c r="Z114" s="7">
        <f t="shared" si="100"/>
        <v>-0.99721601799671744</v>
      </c>
    </row>
    <row r="115" spans="1:26" s="23" customFormat="1" hidden="1" outlineLevel="2" x14ac:dyDescent="0.25">
      <c r="A115" s="27"/>
      <c r="B115" s="10" t="str">
        <f>CONCATENATE("          ", "6248", " - ", "UNIFORMS")</f>
        <v xml:space="preserve">          6248 - UNIFORMS</v>
      </c>
      <c r="C115" s="10"/>
      <c r="D115" s="6"/>
      <c r="E115" s="2"/>
      <c r="F115" s="7">
        <f t="shared" si="93"/>
        <v>0</v>
      </c>
      <c r="G115" s="2"/>
      <c r="H115" s="6">
        <v>41.07</v>
      </c>
      <c r="I115" s="2"/>
      <c r="J115" s="7">
        <f t="shared" si="94"/>
        <v>1.4481664315937941</v>
      </c>
      <c r="K115" s="2"/>
      <c r="L115" s="6">
        <f t="shared" si="95"/>
        <v>-41.07</v>
      </c>
      <c r="M115" s="2"/>
      <c r="N115" s="7">
        <f t="shared" si="96"/>
        <v>-1</v>
      </c>
      <c r="O115" s="10"/>
      <c r="P115" s="6"/>
      <c r="Q115" s="2"/>
      <c r="R115" s="7">
        <f t="shared" si="97"/>
        <v>0</v>
      </c>
      <c r="S115" s="2"/>
      <c r="T115" s="6">
        <v>4918.07</v>
      </c>
      <c r="U115" s="2"/>
      <c r="V115" s="7">
        <f t="shared" si="98"/>
        <v>7.0417572264611214E-4</v>
      </c>
      <c r="W115" s="2"/>
      <c r="X115" s="6">
        <f t="shared" si="99"/>
        <v>-4918.07</v>
      </c>
      <c r="Y115" s="2"/>
      <c r="Z115" s="7">
        <f t="shared" si="100"/>
        <v>-1</v>
      </c>
    </row>
    <row r="116" spans="1:26" s="26" customFormat="1" outlineLevel="1" collapsed="1" x14ac:dyDescent="0.25">
      <c r="A116" s="25"/>
      <c r="B116" s="12" t="str">
        <f>CONCATENATE("     ","Telephone/Data Lines                              ")</f>
        <v xml:space="preserve">     Telephone/Data Lines                              </v>
      </c>
      <c r="C116" s="12"/>
      <c r="D116" s="1">
        <f>SUM(OSRRefD22_21x_0)</f>
        <v>435.8</v>
      </c>
      <c r="E116" s="1"/>
      <c r="F116" s="5">
        <f t="shared" ref="F116:F123" si="101">IF(D$12=0,0,D116/D$12)</f>
        <v>7.0564899710567324E-3</v>
      </c>
      <c r="G116" s="1"/>
      <c r="H116" s="1">
        <f>SUM(OSRRefH22_21x_0)</f>
        <v>1994.65</v>
      </c>
      <c r="I116" s="1"/>
      <c r="J116" s="5">
        <f t="shared" ref="J116:J123" si="102">IF(H$12=0,0,H116/H$12)</f>
        <v>70.333215796897036</v>
      </c>
      <c r="K116" s="1"/>
      <c r="L116" s="1">
        <f t="shared" ref="L116:L123" si="103">+D116-H116</f>
        <v>-1558.8500000000001</v>
      </c>
      <c r="M116" s="1"/>
      <c r="N116" s="5">
        <f t="shared" ref="N116:N123" si="104">IF(H116=0,0,L116/H116)</f>
        <v>-0.78151555410723694</v>
      </c>
      <c r="O116" s="12"/>
      <c r="P116" s="1">
        <f>SUM(OSRRefP22_21x_0)</f>
        <v>9800.2000000000007</v>
      </c>
      <c r="Q116" s="1"/>
      <c r="R116" s="5">
        <f t="shared" ref="R116:R123" si="105">IF(P$12=0,0,P116/P$12)</f>
        <v>1.880127150787993E-2</v>
      </c>
      <c r="S116" s="1"/>
      <c r="T116" s="1">
        <f>SUM(OSRRefT22_21x_0)</f>
        <v>24985.84</v>
      </c>
      <c r="U116" s="1"/>
      <c r="V116" s="5">
        <f t="shared" ref="V116:V123" si="106">IF(T$12=0,0,T116/T$12)</f>
        <v>3.577505390919636E-3</v>
      </c>
      <c r="W116" s="1"/>
      <c r="X116" s="1">
        <f t="shared" ref="X116:X123" si="107">+P116-T116</f>
        <v>-15185.64</v>
      </c>
      <c r="Y116" s="1"/>
      <c r="Z116" s="5">
        <f t="shared" ref="Z116:Z123" si="108">IF(T116=0,0,X116/T116)</f>
        <v>-0.60776984083785057</v>
      </c>
    </row>
    <row r="117" spans="1:26" s="23" customFormat="1" hidden="1" outlineLevel="2" x14ac:dyDescent="0.25">
      <c r="A117" s="27"/>
      <c r="B117" s="10" t="str">
        <f>CONCATENATE("          ", "6309", " - ", "TELEPHONE")</f>
        <v xml:space="preserve">          6309 - TELEPHONE</v>
      </c>
      <c r="C117" s="10"/>
      <c r="D117" s="6">
        <v>435.8</v>
      </c>
      <c r="E117" s="2"/>
      <c r="F117" s="7">
        <f t="shared" si="101"/>
        <v>7.0564899710567324E-3</v>
      </c>
      <c r="G117" s="2"/>
      <c r="H117" s="6">
        <v>1994.65</v>
      </c>
      <c r="I117" s="2"/>
      <c r="J117" s="7">
        <f t="shared" si="102"/>
        <v>70.333215796897036</v>
      </c>
      <c r="K117" s="2"/>
      <c r="L117" s="6">
        <f t="shared" si="103"/>
        <v>-1558.8500000000001</v>
      </c>
      <c r="M117" s="2"/>
      <c r="N117" s="7">
        <f t="shared" si="104"/>
        <v>-0.78151555410723694</v>
      </c>
      <c r="O117" s="10"/>
      <c r="P117" s="6">
        <v>9800.2000000000007</v>
      </c>
      <c r="Q117" s="2"/>
      <c r="R117" s="7">
        <f t="shared" si="105"/>
        <v>1.880127150787993E-2</v>
      </c>
      <c r="S117" s="2"/>
      <c r="T117" s="6">
        <v>24985.84</v>
      </c>
      <c r="U117" s="2"/>
      <c r="V117" s="7">
        <f t="shared" si="106"/>
        <v>3.577505390919636E-3</v>
      </c>
      <c r="W117" s="2"/>
      <c r="X117" s="6">
        <f t="shared" si="107"/>
        <v>-15185.64</v>
      </c>
      <c r="Y117" s="2"/>
      <c r="Z117" s="7">
        <f t="shared" si="108"/>
        <v>-0.60776984083785057</v>
      </c>
    </row>
    <row r="118" spans="1:26" s="26" customFormat="1" outlineLevel="1" collapsed="1" x14ac:dyDescent="0.25">
      <c r="A118" s="25"/>
      <c r="B118" s="12" t="str">
        <f>CONCATENATE("     ","Training                                          ")</f>
        <v xml:space="preserve">     Training                                          </v>
      </c>
      <c r="C118" s="12"/>
      <c r="D118" s="1">
        <f>SUM(OSRRefD22_22x_0)</f>
        <v>0</v>
      </c>
      <c r="E118" s="1"/>
      <c r="F118" s="5">
        <f t="shared" si="101"/>
        <v>0</v>
      </c>
      <c r="G118" s="1"/>
      <c r="H118" s="1">
        <f>SUM(OSRRefH22_22x_0)</f>
        <v>0</v>
      </c>
      <c r="I118" s="1"/>
      <c r="J118" s="5">
        <f t="shared" si="102"/>
        <v>0</v>
      </c>
      <c r="K118" s="1"/>
      <c r="L118" s="1">
        <f t="shared" si="103"/>
        <v>0</v>
      </c>
      <c r="M118" s="1"/>
      <c r="N118" s="5">
        <f t="shared" si="104"/>
        <v>0</v>
      </c>
      <c r="O118" s="12"/>
      <c r="P118" s="1">
        <f>SUM(OSRRefP22_22x_0)</f>
        <v>400</v>
      </c>
      <c r="Q118" s="1"/>
      <c r="R118" s="5">
        <f t="shared" si="105"/>
        <v>7.6738317617517727E-4</v>
      </c>
      <c r="S118" s="1"/>
      <c r="T118" s="1">
        <f>SUM(OSRRefT22_22x_0)</f>
        <v>2233.0100000000002</v>
      </c>
      <c r="U118" s="1"/>
      <c r="V118" s="5">
        <f t="shared" si="106"/>
        <v>3.1972530493181166E-4</v>
      </c>
      <c r="W118" s="1"/>
      <c r="X118" s="1">
        <f t="shared" si="107"/>
        <v>-1833.0100000000002</v>
      </c>
      <c r="Y118" s="1"/>
      <c r="Z118" s="5">
        <f t="shared" si="108"/>
        <v>-0.82086958858222758</v>
      </c>
    </row>
    <row r="119" spans="1:26" s="23" customFormat="1" hidden="1" outlineLevel="2" x14ac:dyDescent="0.25">
      <c r="A119" s="27"/>
      <c r="B119" s="10" t="str">
        <f>CONCATENATE("          ", "6376", " - ", "TRAINING")</f>
        <v xml:space="preserve">          6376 - TRAINING</v>
      </c>
      <c r="C119" s="10"/>
      <c r="D119" s="6"/>
      <c r="E119" s="2"/>
      <c r="F119" s="7">
        <f t="shared" si="101"/>
        <v>0</v>
      </c>
      <c r="G119" s="2"/>
      <c r="H119" s="6"/>
      <c r="I119" s="2"/>
      <c r="J119" s="7">
        <f t="shared" si="102"/>
        <v>0</v>
      </c>
      <c r="K119" s="2"/>
      <c r="L119" s="6">
        <f t="shared" si="103"/>
        <v>0</v>
      </c>
      <c r="M119" s="2"/>
      <c r="N119" s="7">
        <f t="shared" si="104"/>
        <v>0</v>
      </c>
      <c r="O119" s="10"/>
      <c r="P119" s="6">
        <v>400</v>
      </c>
      <c r="Q119" s="2"/>
      <c r="R119" s="7">
        <f t="shared" si="105"/>
        <v>7.6738317617517727E-4</v>
      </c>
      <c r="S119" s="2"/>
      <c r="T119" s="6">
        <v>2233.0100000000002</v>
      </c>
      <c r="U119" s="2"/>
      <c r="V119" s="7">
        <f t="shared" si="106"/>
        <v>3.1972530493181166E-4</v>
      </c>
      <c r="W119" s="2"/>
      <c r="X119" s="6">
        <f t="shared" si="107"/>
        <v>-1833.0100000000002</v>
      </c>
      <c r="Y119" s="2"/>
      <c r="Z119" s="7">
        <f t="shared" si="108"/>
        <v>-0.82086958858222758</v>
      </c>
    </row>
    <row r="120" spans="1:26" s="26" customFormat="1" outlineLevel="1" collapsed="1" x14ac:dyDescent="0.25">
      <c r="A120" s="25"/>
      <c r="B120" s="12" t="str">
        <f>CONCATENATE("     ","Travel                                            ")</f>
        <v xml:space="preserve">     Travel                                            </v>
      </c>
      <c r="C120" s="12"/>
      <c r="D120" s="1">
        <f>SUM(OSRRefD22_23x_0)</f>
        <v>0</v>
      </c>
      <c r="E120" s="1"/>
      <c r="F120" s="5">
        <f t="shared" si="101"/>
        <v>0</v>
      </c>
      <c r="G120" s="1"/>
      <c r="H120" s="1">
        <f>SUM(OSRRefH22_23x_0)</f>
        <v>0</v>
      </c>
      <c r="I120" s="1"/>
      <c r="J120" s="5">
        <f t="shared" si="102"/>
        <v>0</v>
      </c>
      <c r="K120" s="1"/>
      <c r="L120" s="1">
        <f t="shared" si="103"/>
        <v>0</v>
      </c>
      <c r="M120" s="1"/>
      <c r="N120" s="5">
        <f t="shared" si="104"/>
        <v>0</v>
      </c>
      <c r="O120" s="12"/>
      <c r="P120" s="1">
        <f>SUM(OSRRefP22_23x_0)</f>
        <v>332.21</v>
      </c>
      <c r="Q120" s="1"/>
      <c r="R120" s="5">
        <f t="shared" si="105"/>
        <v>6.3733091239288908E-4</v>
      </c>
      <c r="S120" s="1"/>
      <c r="T120" s="1">
        <f>SUM(OSRRefT22_23x_0)</f>
        <v>6407.32</v>
      </c>
      <c r="U120" s="1"/>
      <c r="V120" s="5">
        <f t="shared" si="106"/>
        <v>9.174084938247904E-4</v>
      </c>
      <c r="W120" s="1"/>
      <c r="X120" s="1">
        <f t="shared" si="107"/>
        <v>-6075.11</v>
      </c>
      <c r="Y120" s="1"/>
      <c r="Z120" s="5">
        <f t="shared" si="108"/>
        <v>-0.94815148923418835</v>
      </c>
    </row>
    <row r="121" spans="1:26" s="23" customFormat="1" hidden="1" outlineLevel="2" x14ac:dyDescent="0.25">
      <c r="A121" s="27"/>
      <c r="B121" s="10" t="str">
        <f>CONCATENATE("          ", "6292", " - ", "TRAVEL/CONFERENCE")</f>
        <v xml:space="preserve">          6292 - TRAVEL/CONFERENCE</v>
      </c>
      <c r="C121" s="10"/>
      <c r="D121" s="6"/>
      <c r="E121" s="2"/>
      <c r="F121" s="7">
        <f t="shared" si="101"/>
        <v>0</v>
      </c>
      <c r="G121" s="2"/>
      <c r="H121" s="6"/>
      <c r="I121" s="2"/>
      <c r="J121" s="7">
        <f t="shared" si="102"/>
        <v>0</v>
      </c>
      <c r="K121" s="2"/>
      <c r="L121" s="6">
        <f t="shared" si="103"/>
        <v>0</v>
      </c>
      <c r="M121" s="2"/>
      <c r="N121" s="7">
        <f t="shared" si="104"/>
        <v>0</v>
      </c>
      <c r="O121" s="10"/>
      <c r="P121" s="6"/>
      <c r="Q121" s="2"/>
      <c r="R121" s="7">
        <f t="shared" si="105"/>
        <v>0</v>
      </c>
      <c r="S121" s="2"/>
      <c r="T121" s="6">
        <v>4995.68</v>
      </c>
      <c r="U121" s="2"/>
      <c r="V121" s="7">
        <f t="shared" si="106"/>
        <v>7.1528802438939048E-4</v>
      </c>
      <c r="W121" s="2"/>
      <c r="X121" s="6">
        <f t="shared" si="107"/>
        <v>-4995.68</v>
      </c>
      <c r="Y121" s="2"/>
      <c r="Z121" s="7">
        <f t="shared" si="108"/>
        <v>-1</v>
      </c>
    </row>
    <row r="122" spans="1:26" s="23" customFormat="1" hidden="1" outlineLevel="2" x14ac:dyDescent="0.25">
      <c r="A122" s="27"/>
      <c r="B122" s="10" t="str">
        <f>CONCATENATE("          ", "6294", " - ", "TRAVEL OPERATIONAL")</f>
        <v xml:space="preserve">          6294 - TRAVEL OPERATIONAL</v>
      </c>
      <c r="C122" s="10"/>
      <c r="D122" s="6"/>
      <c r="E122" s="2"/>
      <c r="F122" s="7">
        <f t="shared" si="101"/>
        <v>0</v>
      </c>
      <c r="G122" s="2"/>
      <c r="H122" s="6"/>
      <c r="I122" s="2"/>
      <c r="J122" s="7">
        <f t="shared" si="102"/>
        <v>0</v>
      </c>
      <c r="K122" s="2"/>
      <c r="L122" s="6">
        <f t="shared" si="103"/>
        <v>0</v>
      </c>
      <c r="M122" s="2"/>
      <c r="N122" s="7">
        <f t="shared" si="104"/>
        <v>0</v>
      </c>
      <c r="O122" s="10"/>
      <c r="P122" s="6"/>
      <c r="Q122" s="2"/>
      <c r="R122" s="7">
        <f t="shared" si="105"/>
        <v>0</v>
      </c>
      <c r="S122" s="2"/>
      <c r="T122" s="6">
        <v>56.99</v>
      </c>
      <c r="U122" s="2"/>
      <c r="V122" s="7">
        <f t="shared" si="106"/>
        <v>8.1599030582325862E-6</v>
      </c>
      <c r="W122" s="2"/>
      <c r="X122" s="6">
        <f t="shared" si="107"/>
        <v>-56.99</v>
      </c>
      <c r="Y122" s="2"/>
      <c r="Z122" s="7">
        <f t="shared" si="108"/>
        <v>-1</v>
      </c>
    </row>
    <row r="123" spans="1:26" s="23" customFormat="1" hidden="1" outlineLevel="2" x14ac:dyDescent="0.25">
      <c r="A123" s="27"/>
      <c r="B123" s="10" t="str">
        <f>CONCATENATE("          ", "6298", " - ", "VEHICLE MILEAGE")</f>
        <v xml:space="preserve">          6298 - VEHICLE MILEAGE</v>
      </c>
      <c r="C123" s="10"/>
      <c r="D123" s="6"/>
      <c r="E123" s="2"/>
      <c r="F123" s="7">
        <f t="shared" si="101"/>
        <v>0</v>
      </c>
      <c r="G123" s="2"/>
      <c r="H123" s="6"/>
      <c r="I123" s="2"/>
      <c r="J123" s="7">
        <f t="shared" si="102"/>
        <v>0</v>
      </c>
      <c r="K123" s="2"/>
      <c r="L123" s="6">
        <f t="shared" si="103"/>
        <v>0</v>
      </c>
      <c r="M123" s="2"/>
      <c r="N123" s="7">
        <f t="shared" si="104"/>
        <v>0</v>
      </c>
      <c r="O123" s="10"/>
      <c r="P123" s="6">
        <v>332.21</v>
      </c>
      <c r="Q123" s="2"/>
      <c r="R123" s="7">
        <f t="shared" si="105"/>
        <v>6.3733091239288908E-4</v>
      </c>
      <c r="S123" s="2"/>
      <c r="T123" s="6">
        <v>1354.65</v>
      </c>
      <c r="U123" s="2"/>
      <c r="V123" s="7">
        <f t="shared" si="106"/>
        <v>1.9396056637716744E-4</v>
      </c>
      <c r="W123" s="2"/>
      <c r="X123" s="6">
        <f t="shared" si="107"/>
        <v>-1022.44</v>
      </c>
      <c r="Y123" s="2"/>
      <c r="Z123" s="7">
        <f t="shared" si="108"/>
        <v>-0.75476322297272358</v>
      </c>
    </row>
    <row r="124" spans="1:26" s="26" customFormat="1" outlineLevel="1" collapsed="1" x14ac:dyDescent="0.25">
      <c r="A124" s="25"/>
      <c r="B124" s="12" t="str">
        <f>CONCATENATE("     ","Utilities                                         ")</f>
        <v xml:space="preserve">     Utilities                                         </v>
      </c>
      <c r="C124" s="12"/>
      <c r="D124" s="1">
        <f>SUM(OSRRefD22_24x_0)</f>
        <v>4784</v>
      </c>
      <c r="E124" s="1"/>
      <c r="F124" s="5">
        <f t="shared" ref="F124:F125" si="109">IF(D$12=0,0,D124/D$12)</f>
        <v>7.746270771348189E-2</v>
      </c>
      <c r="G124" s="1"/>
      <c r="H124" s="1">
        <f>SUM(OSRRefH22_24x_0)</f>
        <v>16692</v>
      </c>
      <c r="I124" s="1"/>
      <c r="J124" s="5">
        <f t="shared" ref="J124:J125" si="110">IF(H$12=0,0,H124/H$12)</f>
        <v>588.57545839210161</v>
      </c>
      <c r="K124" s="1"/>
      <c r="L124" s="1">
        <f t="shared" ref="L124:L125" si="111">+D124-H124</f>
        <v>-11908</v>
      </c>
      <c r="M124" s="1"/>
      <c r="N124" s="5">
        <f t="shared" ref="N124:N125" si="112">IF(H124=0,0,L124/H124)</f>
        <v>-0.71339563862928346</v>
      </c>
      <c r="O124" s="12"/>
      <c r="P124" s="1">
        <f>SUM(OSRRefP22_24x_0)</f>
        <v>12756</v>
      </c>
      <c r="Q124" s="1"/>
      <c r="R124" s="5">
        <f t="shared" ref="R124:R125" si="113">IF(P$12=0,0,P124/P$12)</f>
        <v>2.4471849488226404E-2</v>
      </c>
      <c r="S124" s="1"/>
      <c r="T124" s="1">
        <f>SUM(OSRRefT22_24x_0)</f>
        <v>186405.74</v>
      </c>
      <c r="U124" s="1"/>
      <c r="V124" s="5">
        <f t="shared" ref="V124:V125" si="114">IF(T$12=0,0,T124/T$12)</f>
        <v>2.6689818703248078E-2</v>
      </c>
      <c r="W124" s="1"/>
      <c r="X124" s="1">
        <f t="shared" ref="X124:X125" si="115">+P124-T124</f>
        <v>-173649.74</v>
      </c>
      <c r="Y124" s="1"/>
      <c r="Z124" s="5">
        <f t="shared" ref="Z124:Z125" si="116">IF(T124=0,0,X124/T124)</f>
        <v>-0.93156863088014352</v>
      </c>
    </row>
    <row r="125" spans="1:26" s="23" customFormat="1" hidden="1" outlineLevel="2" x14ac:dyDescent="0.25">
      <c r="A125" s="27"/>
      <c r="B125" s="10" t="str">
        <f>CONCATENATE("          ", "6274", " - ", "UTILITIES")</f>
        <v xml:space="preserve">          6274 - UTILITIES</v>
      </c>
      <c r="C125" s="10"/>
      <c r="D125" s="6">
        <v>4784</v>
      </c>
      <c r="E125" s="2"/>
      <c r="F125" s="7">
        <f t="shared" si="109"/>
        <v>7.746270771348189E-2</v>
      </c>
      <c r="G125" s="2"/>
      <c r="H125" s="6">
        <v>16692</v>
      </c>
      <c r="I125" s="2"/>
      <c r="J125" s="7">
        <f t="shared" si="110"/>
        <v>588.57545839210161</v>
      </c>
      <c r="K125" s="2"/>
      <c r="L125" s="6">
        <f t="shared" si="111"/>
        <v>-11908</v>
      </c>
      <c r="M125" s="2"/>
      <c r="N125" s="7">
        <f t="shared" si="112"/>
        <v>-0.71339563862928346</v>
      </c>
      <c r="O125" s="10"/>
      <c r="P125" s="6">
        <v>12756</v>
      </c>
      <c r="Q125" s="2"/>
      <c r="R125" s="7">
        <f t="shared" si="113"/>
        <v>2.4471849488226404E-2</v>
      </c>
      <c r="S125" s="2"/>
      <c r="T125" s="6">
        <v>186405.74</v>
      </c>
      <c r="U125" s="2"/>
      <c r="V125" s="7">
        <f t="shared" si="114"/>
        <v>2.6689818703248078E-2</v>
      </c>
      <c r="W125" s="2"/>
      <c r="X125" s="6">
        <f t="shared" si="115"/>
        <v>-173649.74</v>
      </c>
      <c r="Y125" s="2"/>
      <c r="Z125" s="7">
        <f t="shared" si="116"/>
        <v>-0.93156863088014352</v>
      </c>
    </row>
    <row r="126" spans="1:26" s="57" customFormat="1" x14ac:dyDescent="0.25">
      <c r="A126" s="37"/>
      <c r="B126" s="37"/>
      <c r="C126" s="37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4" customFormat="1" collapsed="1" x14ac:dyDescent="0.25">
      <c r="A127" s="11"/>
      <c r="B127" s="29" t="s">
        <v>292</v>
      </c>
      <c r="C127" s="11"/>
      <c r="D127" s="4">
        <f>SUM(OSRRefD25x_0)</f>
        <v>41.26</v>
      </c>
      <c r="E127" s="4"/>
      <c r="F127" s="13">
        <f t="shared" ref="F127:F130" si="117">IF(D$12=0,0,D127/D$12)</f>
        <v>6.6808346995365019E-4</v>
      </c>
      <c r="G127" s="4"/>
      <c r="H127" s="4">
        <f>SUM(OSRRefH25x_0)</f>
        <v>6624.89</v>
      </c>
      <c r="I127" s="4"/>
      <c r="J127" s="13">
        <f t="shared" ref="J127:J130" si="118">IF(H$12=0,0,H127/H$12)</f>
        <v>233.59978843441468</v>
      </c>
      <c r="K127" s="4"/>
      <c r="L127" s="4">
        <f t="shared" ref="L127:L130" si="119">+D127-H127</f>
        <v>-6583.63</v>
      </c>
      <c r="M127" s="4"/>
      <c r="N127" s="13">
        <f t="shared" ref="N127:N130" si="120">IF(H127=0,0,L127/H127)</f>
        <v>-0.99377197206293233</v>
      </c>
      <c r="O127" s="11"/>
      <c r="P127" s="4">
        <f>SUM(OSRRefP25x_0)</f>
        <v>22486.66</v>
      </c>
      <c r="Q127" s="4"/>
      <c r="R127" s="13">
        <f t="shared" ref="R127:R130" si="121">IF(P$12=0,0,P127/P$12)</f>
        <v>4.3139711430928276E-2</v>
      </c>
      <c r="S127" s="4"/>
      <c r="T127" s="4">
        <f>SUM(OSRRefT25x_0)</f>
        <v>687198.88</v>
      </c>
      <c r="U127" s="4"/>
      <c r="V127" s="13">
        <f t="shared" ref="V127:V130" si="122">IF(T$12=0,0,T127/T$12)</f>
        <v>9.8394038296648667E-2</v>
      </c>
      <c r="W127" s="4"/>
      <c r="X127" s="4">
        <f t="shared" ref="X127:X130" si="123">+P127-T127</f>
        <v>-664712.22</v>
      </c>
      <c r="Y127" s="4"/>
      <c r="Z127" s="13">
        <f t="shared" ref="Z127:Z130" si="124">IF(T127=0,0,X127/T127)</f>
        <v>-0.96727779882295495</v>
      </c>
    </row>
    <row r="128" spans="1:26" s="23" customFormat="1" hidden="1" outlineLevel="1" x14ac:dyDescent="0.25">
      <c r="A128" s="44"/>
      <c r="B128" s="10" t="str">
        <f>CONCATENATE("          ", "9150", " - ", "MISC. INCOME")</f>
        <v xml:space="preserve">          9150 - MISC. INCOME</v>
      </c>
      <c r="C128" s="10"/>
      <c r="D128" s="2">
        <f>--8.44</f>
        <v>8.44</v>
      </c>
      <c r="E128" s="2"/>
      <c r="F128" s="19">
        <f t="shared" si="117"/>
        <v>1.3666079705304914E-4</v>
      </c>
      <c r="G128" s="2"/>
      <c r="H128" s="2">
        <f t="shared" ref="H128:H129" si="125">0</f>
        <v>0</v>
      </c>
      <c r="I128" s="2"/>
      <c r="J128" s="19">
        <f t="shared" si="118"/>
        <v>0</v>
      </c>
      <c r="K128" s="2"/>
      <c r="L128" s="2">
        <f t="shared" si="119"/>
        <v>8.44</v>
      </c>
      <c r="M128" s="2"/>
      <c r="N128" s="19">
        <f t="shared" si="120"/>
        <v>0</v>
      </c>
      <c r="O128" s="10"/>
      <c r="P128" s="2">
        <f>--5349.92</f>
        <v>5349.92</v>
      </c>
      <c r="Q128" s="2"/>
      <c r="R128" s="19">
        <f t="shared" si="121"/>
        <v>1.0263596504707762E-2</v>
      </c>
      <c r="S128" s="2"/>
      <c r="T128" s="2">
        <f>--313984.54</f>
        <v>313984.53999999998</v>
      </c>
      <c r="U128" s="2"/>
      <c r="V128" s="19">
        <f t="shared" si="122"/>
        <v>4.4956718866182688E-2</v>
      </c>
      <c r="W128" s="2"/>
      <c r="X128" s="2">
        <f t="shared" si="123"/>
        <v>-308634.62</v>
      </c>
      <c r="Y128" s="2"/>
      <c r="Z128" s="19">
        <f t="shared" si="124"/>
        <v>-0.98296119929981274</v>
      </c>
    </row>
    <row r="129" spans="1:26" s="23" customFormat="1" hidden="1" outlineLevel="1" x14ac:dyDescent="0.25">
      <c r="A129" s="44"/>
      <c r="B129" s="10" t="str">
        <f>CONCATENATE("          ", "9160", " - ", "MISC. INCOME")</f>
        <v xml:space="preserve">          9160 - MISC. INCOME</v>
      </c>
      <c r="C129" s="10"/>
      <c r="D129" s="2">
        <f>0</f>
        <v>0</v>
      </c>
      <c r="E129" s="2"/>
      <c r="F129" s="19">
        <f t="shared" si="117"/>
        <v>0</v>
      </c>
      <c r="G129" s="2"/>
      <c r="H129" s="2">
        <f t="shared" si="125"/>
        <v>0</v>
      </c>
      <c r="I129" s="2"/>
      <c r="J129" s="19">
        <f t="shared" si="118"/>
        <v>0</v>
      </c>
      <c r="K129" s="2"/>
      <c r="L129" s="2">
        <f t="shared" si="119"/>
        <v>0</v>
      </c>
      <c r="M129" s="2"/>
      <c r="N129" s="19">
        <f t="shared" si="120"/>
        <v>0</v>
      </c>
      <c r="O129" s="10"/>
      <c r="P129" s="2">
        <f>--13615.06</f>
        <v>13615.06</v>
      </c>
      <c r="Q129" s="2"/>
      <c r="R129" s="19">
        <f t="shared" si="121"/>
        <v>2.6119919966539021E-2</v>
      </c>
      <c r="S129" s="2"/>
      <c r="T129" s="2">
        <f>--130089.32</f>
        <v>130089.32</v>
      </c>
      <c r="U129" s="2"/>
      <c r="V129" s="19">
        <f t="shared" si="122"/>
        <v>1.8626359714184901E-2</v>
      </c>
      <c r="W129" s="2"/>
      <c r="X129" s="2">
        <f t="shared" si="123"/>
        <v>-116474.26000000001</v>
      </c>
      <c r="Y129" s="2"/>
      <c r="Z129" s="19">
        <f t="shared" si="124"/>
        <v>-0.89534067823553853</v>
      </c>
    </row>
    <row r="130" spans="1:26" s="23" customFormat="1" hidden="1" outlineLevel="1" x14ac:dyDescent="0.25">
      <c r="A130" s="44"/>
      <c r="B130" s="10" t="str">
        <f>CONCATENATE("          ", "9165", " - ", "OTHER INCOME")</f>
        <v xml:space="preserve">          9165 - OTHER INCOME</v>
      </c>
      <c r="C130" s="10"/>
      <c r="D130" s="2">
        <f>--32.82</f>
        <v>32.82</v>
      </c>
      <c r="E130" s="2"/>
      <c r="F130" s="19">
        <f t="shared" si="117"/>
        <v>5.3142267290060105E-4</v>
      </c>
      <c r="G130" s="2"/>
      <c r="H130" s="2">
        <f>--6624.89</f>
        <v>6624.89</v>
      </c>
      <c r="I130" s="2"/>
      <c r="J130" s="19">
        <f t="shared" si="118"/>
        <v>233.59978843441468</v>
      </c>
      <c r="K130" s="2"/>
      <c r="L130" s="2">
        <f t="shared" si="119"/>
        <v>-6592.0700000000006</v>
      </c>
      <c r="M130" s="2"/>
      <c r="N130" s="19">
        <f t="shared" si="120"/>
        <v>-0.99504595548001551</v>
      </c>
      <c r="O130" s="10"/>
      <c r="P130" s="2">
        <f>--3521.68</f>
        <v>3521.68</v>
      </c>
      <c r="Q130" s="2"/>
      <c r="R130" s="19">
        <f t="shared" si="121"/>
        <v>6.756194959681495E-3</v>
      </c>
      <c r="S130" s="2"/>
      <c r="T130" s="2">
        <f>--243125.02</f>
        <v>243125.02</v>
      </c>
      <c r="U130" s="2"/>
      <c r="V130" s="19">
        <f t="shared" si="122"/>
        <v>3.4810959716281072E-2</v>
      </c>
      <c r="W130" s="2"/>
      <c r="X130" s="2">
        <f t="shared" si="123"/>
        <v>-239603.34</v>
      </c>
      <c r="Y130" s="2"/>
      <c r="Z130" s="19">
        <f t="shared" si="124"/>
        <v>-0.98551494206560886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x14ac:dyDescent="0.25">
      <c r="A132" s="11"/>
      <c r="B132" s="28" t="s">
        <v>276</v>
      </c>
      <c r="C132" s="28"/>
      <c r="D132" s="20">
        <f>+D35-D37+D127</f>
        <v>-77026.910000000018</v>
      </c>
      <c r="E132" s="14"/>
      <c r="F132" s="21">
        <f>IF(D$12=0,0,D132/D$12)</f>
        <v>-1.2472226202764791</v>
      </c>
      <c r="G132" s="14"/>
      <c r="H132" s="20">
        <f>+H35-H37+H127</f>
        <v>-182639.73999999996</v>
      </c>
      <c r="I132" s="14"/>
      <c r="J132" s="21">
        <f>IF(H$12=0,0,H132/H$12)</f>
        <v>-6440.0472496473894</v>
      </c>
      <c r="K132" s="15"/>
      <c r="L132" s="20">
        <f>+D132-H132</f>
        <v>105612.82999999994</v>
      </c>
      <c r="M132" s="15"/>
      <c r="N132" s="21">
        <f>IF(H132=0,0,L132/H132)</f>
        <v>-0.57825766725248273</v>
      </c>
      <c r="O132" s="29"/>
      <c r="P132" s="20">
        <f>+P35-P37+P127</f>
        <v>-984175.21000000043</v>
      </c>
      <c r="Q132" s="14"/>
      <c r="R132" s="21">
        <f>IF(P$12=0,0,P132/P$12)</f>
        <v>-1.888098746406681</v>
      </c>
      <c r="S132" s="14"/>
      <c r="T132" s="20">
        <f>+T35-T37+T127</f>
        <v>-932553.34000000113</v>
      </c>
      <c r="U132" s="14"/>
      <c r="V132" s="21">
        <f>IF(T$12=0,0,T132/T$12)</f>
        <v>-0.13352421216057239</v>
      </c>
      <c r="W132" s="15"/>
      <c r="X132" s="20">
        <f>+P132-T132</f>
        <v>-51621.869999999297</v>
      </c>
      <c r="Y132" s="15"/>
      <c r="Z132" s="21">
        <f>IF(T132=0,0,X132/T132)</f>
        <v>5.5355407337878637E-2</v>
      </c>
    </row>
    <row r="133" spans="1:26" x14ac:dyDescent="0.25">
      <c r="A133" s="9"/>
      <c r="B133" s="11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4" customFormat="1" x14ac:dyDescent="0.25">
      <c r="A134" s="51"/>
      <c r="B134" s="11" t="s">
        <v>127</v>
      </c>
      <c r="C134" s="11"/>
      <c r="D134" s="4">
        <v>15258.75</v>
      </c>
      <c r="E134" s="4"/>
      <c r="F134" s="13">
        <f>IF(D$12=0,0,D134/D$12)</f>
        <v>0.24707025320298739</v>
      </c>
      <c r="G134" s="4"/>
      <c r="H134" s="4">
        <v>34070.04</v>
      </c>
      <c r="I134" s="4"/>
      <c r="J134" s="13">
        <f>IF(H$12=0,0,H134/H$12)</f>
        <v>1201.3413258110015</v>
      </c>
      <c r="K134" s="4"/>
      <c r="L134" s="4">
        <f>+D134-H134</f>
        <v>-18811.29</v>
      </c>
      <c r="M134" s="4"/>
      <c r="N134" s="13">
        <f>IF(H134=0,0,L134/H134)</f>
        <v>-0.55213583547304323</v>
      </c>
      <c r="O134" s="11"/>
      <c r="P134" s="4">
        <v>111386.6</v>
      </c>
      <c r="Q134" s="4"/>
      <c r="R134" s="13">
        <f>IF(P$12=0,0,P134/P$12)</f>
        <v>0.21369050722838501</v>
      </c>
      <c r="S134" s="4"/>
      <c r="T134" s="4">
        <v>827067.24</v>
      </c>
      <c r="U134" s="4"/>
      <c r="V134" s="13">
        <f>IF(T$12=0,0,T134/T$12)</f>
        <v>0.11842057380312307</v>
      </c>
      <c r="W134" s="4"/>
      <c r="X134" s="4">
        <f>+P134-T134</f>
        <v>-715680.64</v>
      </c>
      <c r="Y134" s="4"/>
      <c r="Z134" s="13">
        <f>IF(T134=0,0,X134/T134)</f>
        <v>-0.86532340466054491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ht="15.75" thickBot="1" x14ac:dyDescent="0.3">
      <c r="A136" s="11"/>
      <c r="B136" s="28" t="s">
        <v>125</v>
      </c>
      <c r="C136" s="28"/>
      <c r="D136" s="35">
        <f>+D132-D134</f>
        <v>-92285.660000000018</v>
      </c>
      <c r="E136" s="14"/>
      <c r="F136" s="36">
        <f>IF(D$12=0,0,D136/D$12)</f>
        <v>-1.4942928734794665</v>
      </c>
      <c r="G136" s="14"/>
      <c r="H136" s="35">
        <f>+H132-H134</f>
        <v>-216709.77999999997</v>
      </c>
      <c r="I136" s="14"/>
      <c r="J136" s="36">
        <f>IF(H$12=0,0,H136/H$12)</f>
        <v>-7641.3885754583907</v>
      </c>
      <c r="K136" s="15"/>
      <c r="L136" s="35">
        <f>D136-H136</f>
        <v>124424.11999999995</v>
      </c>
      <c r="M136" s="15"/>
      <c r="N136" s="36">
        <f>IF(H136=0,0,L136/H136)</f>
        <v>-0.5741509220303761</v>
      </c>
      <c r="O136" s="29"/>
      <c r="P136" s="35">
        <f>+P132-P134</f>
        <v>-1095561.8100000005</v>
      </c>
      <c r="Q136" s="14"/>
      <c r="R136" s="36">
        <f>IF(P$12=0,0,P136/P$12)</f>
        <v>-2.101789253635066</v>
      </c>
      <c r="S136" s="14"/>
      <c r="T136" s="35">
        <f>+T132-T134</f>
        <v>-1759620.580000001</v>
      </c>
      <c r="U136" s="14"/>
      <c r="V136" s="36">
        <f>IF(T$12=0,0,T136/T$12)</f>
        <v>-0.25194478596369546</v>
      </c>
      <c r="W136" s="15"/>
      <c r="X136" s="35">
        <f>P136-T136</f>
        <v>664058.77000000048</v>
      </c>
      <c r="Y136" s="15"/>
      <c r="Z136" s="36">
        <f>IF(T136=0,0,X136/T136)</f>
        <v>-0.37738747633879122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4" customFormat="1" ht="15.75" thickBot="1" x14ac:dyDescent="0.3">
      <c r="A139" s="11"/>
      <c r="B139" s="28" t="s">
        <v>293</v>
      </c>
      <c r="C139" s="28"/>
      <c r="D139" s="30">
        <f>SUM(D136:D138)</f>
        <v>-92285.660000000018</v>
      </c>
      <c r="E139" s="14"/>
      <c r="F139" s="31">
        <f>IF(D$12=0,0,D139/D$12)</f>
        <v>-1.4942928734794665</v>
      </c>
      <c r="G139" s="14"/>
      <c r="H139" s="30">
        <f>SUM(H136:H138)</f>
        <v>-216709.77999999997</v>
      </c>
      <c r="I139" s="14"/>
      <c r="J139" s="31">
        <f>IF(H$12=0,0,H139/H$12)</f>
        <v>-7641.3885754583907</v>
      </c>
      <c r="K139" s="15"/>
      <c r="L139" s="30">
        <f>+D139-H139</f>
        <v>124424.11999999995</v>
      </c>
      <c r="M139" s="15"/>
      <c r="N139" s="31">
        <f>IF(H139=0,0,L139/H139)</f>
        <v>-0.5741509220303761</v>
      </c>
      <c r="O139" s="29"/>
      <c r="P139" s="30">
        <f>SUM(P136:P138)</f>
        <v>-1095561.8100000005</v>
      </c>
      <c r="Q139" s="14"/>
      <c r="R139" s="31">
        <f>IF(P$12=0,0,P139/P$12)</f>
        <v>-2.101789253635066</v>
      </c>
      <c r="S139" s="14"/>
      <c r="T139" s="30">
        <f>SUM(T136:T138)</f>
        <v>-1759620.580000001</v>
      </c>
      <c r="U139" s="14"/>
      <c r="V139" s="31">
        <f>IF(T$12=0,0,T139/T$12)</f>
        <v>-0.25194478596369546</v>
      </c>
      <c r="W139" s="15"/>
      <c r="X139" s="30">
        <f>+P139-T139</f>
        <v>664058.77000000048</v>
      </c>
      <c r="Y139" s="15"/>
      <c r="Z139" s="31">
        <f>IF(T139=0,0,X139/T139)</f>
        <v>-0.37738747633879122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9">
        <v>44356.893284293983</v>
      </c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A142" s="9"/>
      <c r="B142" s="52" t="s">
        <v>56</v>
      </c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A143" s="9"/>
      <c r="B143" s="54"/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2"/>
      <c r="K144" s="18"/>
      <c r="L144" s="18"/>
      <c r="M144" s="18"/>
      <c r="P144" s="18"/>
      <c r="Q144" s="18"/>
      <c r="R144" s="42"/>
      <c r="S144" s="18"/>
      <c r="T144" s="18"/>
      <c r="U144" s="18"/>
      <c r="V144" s="42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105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61754.750000000007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22" si="0">+D12-H12</f>
        <v>61754.750000000007</v>
      </c>
      <c r="M12" s="4"/>
      <c r="N12" s="13">
        <f t="shared" ref="N12:N22" si="1">IF(H12=0,0,L12/H12)</f>
        <v>0</v>
      </c>
      <c r="O12" s="11"/>
      <c r="P12" s="4">
        <f>SUM(OSRRefP13x_0)</f>
        <v>518375.06</v>
      </c>
      <c r="Q12" s="4"/>
      <c r="R12" s="13"/>
      <c r="S12" s="4"/>
      <c r="T12" s="4">
        <f>SUM(OSRRefT13x_0)</f>
        <v>4619542.3499999996</v>
      </c>
      <c r="U12" s="4"/>
      <c r="V12" s="13"/>
      <c r="W12" s="4"/>
      <c r="X12" s="4">
        <f t="shared" ref="X12:X22" si="2">+P12-T12</f>
        <v>-4101167.2899999996</v>
      </c>
      <c r="Y12" s="4"/>
      <c r="Z12" s="13">
        <f t="shared" ref="Z12:Z22" si="3">IF(T12=0,0,X12/T12)</f>
        <v>-0.88778649036521984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--7161.66</f>
        <v>7161.66</v>
      </c>
      <c r="E13" s="2"/>
      <c r="F13" s="19"/>
      <c r="G13" s="2"/>
      <c r="H13" s="2">
        <f t="shared" ref="H13:H22" si="4">0</f>
        <v>0</v>
      </c>
      <c r="I13" s="2"/>
      <c r="J13" s="19"/>
      <c r="K13" s="2"/>
      <c r="L13" s="2">
        <f t="shared" si="0"/>
        <v>7161.66</v>
      </c>
      <c r="M13" s="2"/>
      <c r="N13" s="19">
        <f t="shared" si="1"/>
        <v>0</v>
      </c>
      <c r="O13" s="10"/>
      <c r="P13" s="2">
        <f>--39282.92</f>
        <v>39282.92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-415455.76</v>
      </c>
      <c r="Y13" s="2"/>
      <c r="Z13" s="19">
        <f t="shared" si="3"/>
        <v>-0.91361429821628548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--47978.22</f>
        <v>47978.22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47978.22</v>
      </c>
      <c r="M14" s="2"/>
      <c r="N14" s="19">
        <f t="shared" si="1"/>
        <v>0</v>
      </c>
      <c r="O14" s="10"/>
      <c r="P14" s="2">
        <f>--428653.01</f>
        <v>428653.01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-407834.28</v>
      </c>
      <c r="Y14" s="2"/>
      <c r="Z14" s="19">
        <f t="shared" si="3"/>
        <v>-0.48755585993422568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ref="D15:D17" si="5"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ref="P15:P16" si="6">0</f>
        <v>0</v>
      </c>
      <c r="Q15" s="2"/>
      <c r="R15" s="19"/>
      <c r="S15" s="2"/>
      <c r="T15" s="2">
        <f>--253270.4</f>
        <v>253270.39999999999</v>
      </c>
      <c r="U15" s="2"/>
      <c r="V15" s="19"/>
      <c r="W15" s="2"/>
      <c r="X15" s="2">
        <f t="shared" si="2"/>
        <v>-253270.39999999999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--381406.04</f>
        <v>381406.04</v>
      </c>
      <c r="U16" s="2"/>
      <c r="V16" s="19"/>
      <c r="W16" s="2"/>
      <c r="X16" s="2">
        <f t="shared" si="2"/>
        <v>-381406.04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--6614.87</f>
        <v>6614.87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6614.87</v>
      </c>
      <c r="M18" s="2"/>
      <c r="N18" s="19">
        <f t="shared" si="1"/>
        <v>0</v>
      </c>
      <c r="O18" s="10"/>
      <c r="P18" s="2">
        <f>--37883.27</f>
        <v>37883.269999999997</v>
      </c>
      <c r="Q18" s="2"/>
      <c r="R18" s="19"/>
      <c r="S18" s="2"/>
      <c r="T18" s="2">
        <f>--1363402.11</f>
        <v>1363402.11</v>
      </c>
      <c r="U18" s="2"/>
      <c r="V18" s="19"/>
      <c r="W18" s="2"/>
      <c r="X18" s="2">
        <f t="shared" si="2"/>
        <v>-1325518.8400000001</v>
      </c>
      <c r="Y18" s="2"/>
      <c r="Z18" s="19">
        <f t="shared" si="3"/>
        <v>-0.97221416211538647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 t="shared" ref="D19:D22" si="7">0</f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--11580.95</f>
        <v>11580.95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-39834.319999999992</v>
      </c>
      <c r="Y19" s="2"/>
      <c r="Z19" s="19">
        <f t="shared" si="3"/>
        <v>-0.77475660440954597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 t="shared" si="7"/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ref="P20:P22" si="8">0</f>
        <v>0</v>
      </c>
      <c r="Q20" s="2"/>
      <c r="R20" s="19"/>
      <c r="S20" s="2"/>
      <c r="T20" s="2">
        <f>-498.41</f>
        <v>-498.41</v>
      </c>
      <c r="U20" s="2"/>
      <c r="V20" s="19"/>
      <c r="W20" s="2"/>
      <c r="X20" s="2">
        <f t="shared" si="2"/>
        <v>498.41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si="7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8"/>
        <v>0</v>
      </c>
      <c r="Q21" s="2"/>
      <c r="R21" s="19"/>
      <c r="S21" s="2"/>
      <c r="T21" s="2">
        <f>--687389.73</f>
        <v>687389.73</v>
      </c>
      <c r="U21" s="2"/>
      <c r="V21" s="19"/>
      <c r="W21" s="2"/>
      <c r="X21" s="2">
        <f t="shared" si="2"/>
        <v>-687389.73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7"/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8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9" t="s">
        <v>256</v>
      </c>
      <c r="C24" s="11"/>
      <c r="D24" s="4">
        <f>SUM(OSRRefD16x_0)</f>
        <v>4243.1399999999994</v>
      </c>
      <c r="E24" s="4"/>
      <c r="F24" s="13">
        <f t="shared" ref="F24:F26" si="9">IF(D$12=0,0,D24/D$12)</f>
        <v>6.8709532465114007E-2</v>
      </c>
      <c r="G24" s="4"/>
      <c r="H24" s="4">
        <f>SUM(OSRRefH16x_0)</f>
        <v>17386.59</v>
      </c>
      <c r="I24" s="4"/>
      <c r="J24" s="13">
        <f t="shared" ref="J24:J26" si="10">IF(H$12=0,0,H24/H$12)</f>
        <v>0</v>
      </c>
      <c r="K24" s="4"/>
      <c r="L24" s="4">
        <f t="shared" ref="L24:L26" si="11">+D24-H24</f>
        <v>-13143.45</v>
      </c>
      <c r="M24" s="4"/>
      <c r="N24" s="13">
        <f t="shared" ref="N24:N26" si="12">IF(H24=0,0,L24/H24)</f>
        <v>-0.75595329503945285</v>
      </c>
      <c r="O24" s="11"/>
      <c r="P24" s="4">
        <f>SUM(OSRRefP16x_0)</f>
        <v>17763.440000000002</v>
      </c>
      <c r="Q24" s="4"/>
      <c r="R24" s="13">
        <f t="shared" ref="R24:R26" si="13">IF(P$12=0,0,P24/P$12)</f>
        <v>3.4267543658446843E-2</v>
      </c>
      <c r="S24" s="4"/>
      <c r="T24" s="4">
        <f>SUM(OSRRefT16x_0)</f>
        <v>1644832.26</v>
      </c>
      <c r="U24" s="4"/>
      <c r="V24" s="13">
        <f t="shared" ref="V24:V26" si="14">IF(T$12=0,0,T24/T$12)</f>
        <v>0.35605956940734618</v>
      </c>
      <c r="W24" s="4"/>
      <c r="X24" s="4">
        <f t="shared" ref="X24:X26" si="15">+P24-T24</f>
        <v>-1627068.82</v>
      </c>
      <c r="Y24" s="4"/>
      <c r="Z24" s="13">
        <f t="shared" ref="Z24:Z26" si="16">IF(T24=0,0,X24/T24)</f>
        <v>-0.98920045500566733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3991.14</v>
      </c>
      <c r="E25" s="2"/>
      <c r="F25" s="19">
        <f t="shared" si="9"/>
        <v>6.462887470194599E-2</v>
      </c>
      <c r="G25" s="2"/>
      <c r="H25" s="2">
        <v>4713.59</v>
      </c>
      <c r="I25" s="2"/>
      <c r="J25" s="19">
        <f t="shared" si="10"/>
        <v>0</v>
      </c>
      <c r="K25" s="2"/>
      <c r="L25" s="2">
        <f t="shared" si="11"/>
        <v>-722.45000000000027</v>
      </c>
      <c r="M25" s="2"/>
      <c r="N25" s="19">
        <f t="shared" si="12"/>
        <v>-0.15326958857261669</v>
      </c>
      <c r="O25" s="10"/>
      <c r="P25" s="2">
        <v>12127.43</v>
      </c>
      <c r="Q25" s="2"/>
      <c r="R25" s="19">
        <f t="shared" si="13"/>
        <v>2.3395087718919193E-2</v>
      </c>
      <c r="S25" s="2"/>
      <c r="T25" s="2">
        <v>1601459.27</v>
      </c>
      <c r="U25" s="2"/>
      <c r="V25" s="19">
        <f t="shared" si="14"/>
        <v>0.34667054627175353</v>
      </c>
      <c r="W25" s="2"/>
      <c r="X25" s="2">
        <f t="shared" si="15"/>
        <v>-1589331.84</v>
      </c>
      <c r="Y25" s="2"/>
      <c r="Z25" s="19">
        <f t="shared" si="16"/>
        <v>-0.99242726291752648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252</v>
      </c>
      <c r="E26" s="2"/>
      <c r="F26" s="19">
        <f t="shared" si="9"/>
        <v>4.0806577631680146E-3</v>
      </c>
      <c r="G26" s="2"/>
      <c r="H26" s="2">
        <v>12673</v>
      </c>
      <c r="I26" s="2"/>
      <c r="J26" s="19">
        <f t="shared" si="10"/>
        <v>0</v>
      </c>
      <c r="K26" s="2"/>
      <c r="L26" s="2">
        <f t="shared" si="11"/>
        <v>-12421</v>
      </c>
      <c r="M26" s="2"/>
      <c r="N26" s="19">
        <f t="shared" si="12"/>
        <v>-0.98011520555511722</v>
      </c>
      <c r="O26" s="10"/>
      <c r="P26" s="2">
        <v>5636.01</v>
      </c>
      <c r="Q26" s="2"/>
      <c r="R26" s="19">
        <f t="shared" si="13"/>
        <v>1.0872455939527646E-2</v>
      </c>
      <c r="S26" s="2"/>
      <c r="T26" s="2">
        <v>43372.99</v>
      </c>
      <c r="U26" s="2"/>
      <c r="V26" s="19">
        <f t="shared" si="14"/>
        <v>9.3890231355926411E-3</v>
      </c>
      <c r="W26" s="2"/>
      <c r="X26" s="2">
        <f t="shared" si="15"/>
        <v>-37736.979999999996</v>
      </c>
      <c r="Y26" s="2"/>
      <c r="Z26" s="19">
        <f t="shared" si="16"/>
        <v>-0.87005714846958893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8" t="s">
        <v>107</v>
      </c>
      <c r="C28" s="28"/>
      <c r="D28" s="20">
        <f>D12-D24</f>
        <v>57511.610000000008</v>
      </c>
      <c r="E28" s="14"/>
      <c r="F28" s="21">
        <f>IF(D$12=0,0,D28/D$12)</f>
        <v>0.93129046753488598</v>
      </c>
      <c r="G28" s="14"/>
      <c r="H28" s="20">
        <f>H12-H24</f>
        <v>-17386.59</v>
      </c>
      <c r="I28" s="14"/>
      <c r="J28" s="21">
        <f>IF(H$12=0,0,H28/H$12)</f>
        <v>0</v>
      </c>
      <c r="K28" s="15"/>
      <c r="L28" s="20">
        <f>+D28-H28</f>
        <v>74898.200000000012</v>
      </c>
      <c r="M28" s="15"/>
      <c r="N28" s="21">
        <f>IF(H28=0,0,L28/H28)</f>
        <v>-4.3078142407453104</v>
      </c>
      <c r="O28" s="29"/>
      <c r="P28" s="20">
        <f>P12-P24</f>
        <v>500611.62</v>
      </c>
      <c r="Q28" s="14"/>
      <c r="R28" s="21">
        <f>IF(P$12=0,0,P28/P$12)</f>
        <v>0.96573245634155314</v>
      </c>
      <c r="S28" s="14"/>
      <c r="T28" s="20">
        <f>T12-T24</f>
        <v>2974710.09</v>
      </c>
      <c r="U28" s="14"/>
      <c r="V28" s="21">
        <f>IF(T$12=0,0,T28/T$12)</f>
        <v>0.64394043059265382</v>
      </c>
      <c r="W28" s="15"/>
      <c r="X28" s="20">
        <f>+P28-T28</f>
        <v>-2474098.4699999997</v>
      </c>
      <c r="Y28" s="15"/>
      <c r="Z28" s="21">
        <f>IF(T28=0,0,X28/T28)</f>
        <v>-0.83171078698294254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9" t="s">
        <v>294</v>
      </c>
      <c r="C30" s="11"/>
      <c r="D30" s="22">
        <f>SUM(OSRRefD22x_0)</f>
        <v>119689.45000000004</v>
      </c>
      <c r="E30" s="22"/>
      <c r="F30" s="32">
        <f t="shared" ref="F30:F40" si="17">IF(D$12=0,0,D30/D$12)</f>
        <v>1.9381416004436911</v>
      </c>
      <c r="G30" s="22"/>
      <c r="H30" s="22">
        <f>SUM(OSRRefH22x_0)</f>
        <v>138193.29000000004</v>
      </c>
      <c r="I30" s="22"/>
      <c r="J30" s="32">
        <f t="shared" ref="J30:J40" si="18">IF(H$12=0,0,H30/H$12)</f>
        <v>0</v>
      </c>
      <c r="K30" s="4"/>
      <c r="L30" s="22">
        <f t="shared" ref="L30:L40" si="19">+D30-H30</f>
        <v>-18503.839999999997</v>
      </c>
      <c r="M30" s="4"/>
      <c r="N30" s="32">
        <f t="shared" ref="N30:N40" si="20">IF(H30=0,0,L30/H30)</f>
        <v>-0.13389825222338936</v>
      </c>
      <c r="O30" s="11"/>
      <c r="P30" s="22">
        <f>SUM(OSRRefP22x_0)</f>
        <v>1233731.1400000001</v>
      </c>
      <c r="Q30" s="22"/>
      <c r="R30" s="32">
        <f t="shared" ref="R30:R40" si="21">IF(P$12=0,0,P30/P$12)</f>
        <v>2.3799971009407748</v>
      </c>
      <c r="S30" s="22"/>
      <c r="T30" s="22">
        <f>SUM(OSRRefT22x_0)</f>
        <v>4695062.4100000011</v>
      </c>
      <c r="U30" s="22"/>
      <c r="V30" s="32">
        <f t="shared" ref="V30:V40" si="22">IF(T$12=0,0,T30/T$12)</f>
        <v>1.0163479527360544</v>
      </c>
      <c r="W30" s="4"/>
      <c r="X30" s="22">
        <f t="shared" ref="X30:X40" si="23">+P30-T30</f>
        <v>-3461331.2700000009</v>
      </c>
      <c r="Y30" s="4"/>
      <c r="Z30" s="32">
        <f t="shared" ref="Z30:Z40" si="24">IF(T30=0,0,X30/T30)</f>
        <v>-0.7372279573169721</v>
      </c>
    </row>
    <row r="31" spans="1:26" s="26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19280.190000000002</v>
      </c>
      <c r="E31" s="1"/>
      <c r="F31" s="5">
        <f t="shared" si="17"/>
        <v>0.3122057817414855</v>
      </c>
      <c r="G31" s="1"/>
      <c r="H31" s="1">
        <f>SUM(OSRRefH22_0x_0)</f>
        <v>25570.010000000002</v>
      </c>
      <c r="I31" s="1"/>
      <c r="J31" s="5">
        <f t="shared" si="18"/>
        <v>0</v>
      </c>
      <c r="K31" s="1"/>
      <c r="L31" s="1">
        <f t="shared" si="19"/>
        <v>-6289.82</v>
      </c>
      <c r="M31" s="1"/>
      <c r="N31" s="5">
        <f t="shared" si="20"/>
        <v>-0.24598426046763372</v>
      </c>
      <c r="O31" s="12"/>
      <c r="P31" s="1">
        <f>SUM(OSRRefP22_0x_0)</f>
        <v>228121.13000000003</v>
      </c>
      <c r="Q31" s="1"/>
      <c r="R31" s="5">
        <f t="shared" si="21"/>
        <v>0.44006964764084144</v>
      </c>
      <c r="S31" s="1"/>
      <c r="T31" s="1">
        <f>SUM(OSRRefT22_0x_0)</f>
        <v>618079.1399999999</v>
      </c>
      <c r="U31" s="1"/>
      <c r="V31" s="5">
        <f t="shared" si="22"/>
        <v>0.1337966173207612</v>
      </c>
      <c r="W31" s="1"/>
      <c r="X31" s="1">
        <f t="shared" si="23"/>
        <v>-389958.00999999989</v>
      </c>
      <c r="Y31" s="1"/>
      <c r="Z31" s="5">
        <f t="shared" si="24"/>
        <v>-0.63091922176826731</v>
      </c>
    </row>
    <row r="32" spans="1:26" s="23" customFormat="1" hidden="1" outlineLevel="2" x14ac:dyDescent="0.25">
      <c r="A32" s="27"/>
      <c r="B32" s="10" t="str">
        <f>CONCATENATE("          ", "6111", " - ", "F.I.C.A.")</f>
        <v xml:space="preserve">          6111 - F.I.C.A.</v>
      </c>
      <c r="C32" s="10"/>
      <c r="D32" s="6">
        <v>2396.2199999999998</v>
      </c>
      <c r="E32" s="2"/>
      <c r="F32" s="7">
        <f t="shared" si="17"/>
        <v>3.8802197401819283E-2</v>
      </c>
      <c r="G32" s="2"/>
      <c r="H32" s="6">
        <v>2765.22</v>
      </c>
      <c r="I32" s="2"/>
      <c r="J32" s="7">
        <f t="shared" si="18"/>
        <v>0</v>
      </c>
      <c r="K32" s="2"/>
      <c r="L32" s="6">
        <f t="shared" si="19"/>
        <v>-369</v>
      </c>
      <c r="M32" s="2"/>
      <c r="N32" s="7">
        <f t="shared" si="20"/>
        <v>-0.13344327033653744</v>
      </c>
      <c r="O32" s="10"/>
      <c r="P32" s="6">
        <v>27981.51</v>
      </c>
      <c r="Q32" s="2"/>
      <c r="R32" s="7">
        <f t="shared" si="21"/>
        <v>5.3979275160344321E-2</v>
      </c>
      <c r="S32" s="2"/>
      <c r="T32" s="6">
        <v>134319.51999999999</v>
      </c>
      <c r="U32" s="2"/>
      <c r="V32" s="7">
        <f t="shared" si="22"/>
        <v>2.9076369437331818E-2</v>
      </c>
      <c r="W32" s="2"/>
      <c r="X32" s="6">
        <f t="shared" si="23"/>
        <v>-106338.01</v>
      </c>
      <c r="Y32" s="2"/>
      <c r="Z32" s="7">
        <f t="shared" si="24"/>
        <v>-0.79167949677008975</v>
      </c>
    </row>
    <row r="33" spans="1:26" s="23" customFormat="1" hidden="1" outlineLevel="2" x14ac:dyDescent="0.25">
      <c r="A33" s="27"/>
      <c r="B33" s="10" t="str">
        <f>CONCATENATE("          ", "6112", " - ", "COMPENSATION INSURANCE")</f>
        <v xml:space="preserve">          6112 - COMPENSATION INSURANCE</v>
      </c>
      <c r="C33" s="10"/>
      <c r="D33" s="6">
        <v>920.55</v>
      </c>
      <c r="E33" s="2"/>
      <c r="F33" s="7">
        <f t="shared" si="17"/>
        <v>1.4906545650334587E-2</v>
      </c>
      <c r="G33" s="2"/>
      <c r="H33" s="6">
        <v>1175.01</v>
      </c>
      <c r="I33" s="2"/>
      <c r="J33" s="7">
        <f t="shared" si="18"/>
        <v>0</v>
      </c>
      <c r="K33" s="2"/>
      <c r="L33" s="6">
        <f t="shared" si="19"/>
        <v>-254.46000000000004</v>
      </c>
      <c r="M33" s="2"/>
      <c r="N33" s="7">
        <f t="shared" si="20"/>
        <v>-0.21655985906502925</v>
      </c>
      <c r="O33" s="10"/>
      <c r="P33" s="6">
        <v>7935.09</v>
      </c>
      <c r="Q33" s="2"/>
      <c r="R33" s="7">
        <f t="shared" si="21"/>
        <v>1.5307623017203027E-2</v>
      </c>
      <c r="S33" s="2"/>
      <c r="T33" s="6">
        <v>71111.59</v>
      </c>
      <c r="U33" s="2"/>
      <c r="V33" s="7">
        <f t="shared" si="22"/>
        <v>1.539364391799547E-2</v>
      </c>
      <c r="W33" s="2"/>
      <c r="X33" s="6">
        <f t="shared" si="23"/>
        <v>-63176.5</v>
      </c>
      <c r="Y33" s="2"/>
      <c r="Z33" s="7">
        <f t="shared" si="24"/>
        <v>-0.88841354834001041</v>
      </c>
    </row>
    <row r="34" spans="1:26" s="23" customFormat="1" hidden="1" outlineLevel="2" x14ac:dyDescent="0.25">
      <c r="A34" s="27"/>
      <c r="B34" s="10" t="str">
        <f>CONCATENATE("          ", "6113", " - ", "GROUP INSURANCE")</f>
        <v xml:space="preserve">          6113 - GROUP INSURANCE</v>
      </c>
      <c r="C34" s="10"/>
      <c r="D34" s="6">
        <v>8554.93</v>
      </c>
      <c r="E34" s="2"/>
      <c r="F34" s="7">
        <f t="shared" si="17"/>
        <v>0.13853072030896407</v>
      </c>
      <c r="G34" s="2"/>
      <c r="H34" s="6">
        <v>13618.48</v>
      </c>
      <c r="I34" s="2"/>
      <c r="J34" s="7">
        <f t="shared" si="18"/>
        <v>0</v>
      </c>
      <c r="K34" s="2"/>
      <c r="L34" s="6">
        <f t="shared" si="19"/>
        <v>-5063.5499999999993</v>
      </c>
      <c r="M34" s="2"/>
      <c r="N34" s="7">
        <f t="shared" si="20"/>
        <v>-0.37181462248356639</v>
      </c>
      <c r="O34" s="10"/>
      <c r="P34" s="6">
        <v>103706.5</v>
      </c>
      <c r="Q34" s="2"/>
      <c r="R34" s="7">
        <f t="shared" si="21"/>
        <v>0.20006074366309212</v>
      </c>
      <c r="S34" s="2"/>
      <c r="T34" s="6">
        <v>235713.3</v>
      </c>
      <c r="U34" s="2"/>
      <c r="V34" s="7">
        <f t="shared" si="22"/>
        <v>5.1025249286869294E-2</v>
      </c>
      <c r="W34" s="2"/>
      <c r="X34" s="6">
        <f t="shared" si="23"/>
        <v>-132006.79999999999</v>
      </c>
      <c r="Y34" s="2"/>
      <c r="Z34" s="7">
        <f t="shared" si="24"/>
        <v>-0.56003119043346306</v>
      </c>
    </row>
    <row r="35" spans="1:26" s="23" customFormat="1" hidden="1" outlineLevel="2" x14ac:dyDescent="0.25">
      <c r="A35" s="27"/>
      <c r="B35" s="10" t="str">
        <f>CONCATENATE("          ", "6114", " - ", "STATE UNEMPLOYMENT INSURANCE")</f>
        <v xml:space="preserve">          6114 - STATE UNEMPLOYMENT INSURANCE</v>
      </c>
      <c r="C35" s="10"/>
      <c r="D35" s="6">
        <v>118.49</v>
      </c>
      <c r="E35" s="2"/>
      <c r="F35" s="7">
        <f t="shared" si="17"/>
        <v>1.9187188030070558E-3</v>
      </c>
      <c r="G35" s="2"/>
      <c r="H35" s="6">
        <v>140</v>
      </c>
      <c r="I35" s="2"/>
      <c r="J35" s="7">
        <f t="shared" si="18"/>
        <v>0</v>
      </c>
      <c r="K35" s="2"/>
      <c r="L35" s="6">
        <f t="shared" si="19"/>
        <v>-21.510000000000005</v>
      </c>
      <c r="M35" s="2"/>
      <c r="N35" s="7">
        <f t="shared" si="20"/>
        <v>-0.15364285714285719</v>
      </c>
      <c r="O35" s="10"/>
      <c r="P35" s="6">
        <v>1030.46</v>
      </c>
      <c r="Q35" s="2"/>
      <c r="R35" s="7">
        <f t="shared" si="21"/>
        <v>1.9878656970881278E-3</v>
      </c>
      <c r="S35" s="2"/>
      <c r="T35" s="6">
        <v>6145.79</v>
      </c>
      <c r="U35" s="2"/>
      <c r="V35" s="7">
        <f t="shared" si="22"/>
        <v>1.3303893620544469E-3</v>
      </c>
      <c r="W35" s="2"/>
      <c r="X35" s="6">
        <f t="shared" si="23"/>
        <v>-5115.33</v>
      </c>
      <c r="Y35" s="2"/>
      <c r="Z35" s="7">
        <f t="shared" si="24"/>
        <v>-0.83233074999308465</v>
      </c>
    </row>
    <row r="36" spans="1:26" s="23" customFormat="1" hidden="1" outlineLevel="2" x14ac:dyDescent="0.25">
      <c r="A36" s="27"/>
      <c r="B36" s="10" t="str">
        <f>CONCATENATE("          ", "6115", " - ", "P.E.R.S.")</f>
        <v xml:space="preserve">          6115 - P.E.R.S.</v>
      </c>
      <c r="C36" s="10"/>
      <c r="D36" s="6">
        <v>2783.65</v>
      </c>
      <c r="E36" s="2"/>
      <c r="F36" s="7">
        <f t="shared" si="17"/>
        <v>4.507588485096288E-2</v>
      </c>
      <c r="G36" s="2"/>
      <c r="H36" s="6">
        <v>3064.65</v>
      </c>
      <c r="I36" s="2"/>
      <c r="J36" s="7">
        <f t="shared" si="18"/>
        <v>0</v>
      </c>
      <c r="K36" s="2"/>
      <c r="L36" s="6">
        <f t="shared" si="19"/>
        <v>-281</v>
      </c>
      <c r="M36" s="2"/>
      <c r="N36" s="7">
        <f t="shared" si="20"/>
        <v>-9.1690731404891257E-2</v>
      </c>
      <c r="O36" s="10"/>
      <c r="P36" s="6">
        <v>35214.639999999999</v>
      </c>
      <c r="Q36" s="2"/>
      <c r="R36" s="7">
        <f t="shared" si="21"/>
        <v>6.7932743523579239E-2</v>
      </c>
      <c r="S36" s="2"/>
      <c r="T36" s="6">
        <v>75933.179999999993</v>
      </c>
      <c r="U36" s="2"/>
      <c r="V36" s="7">
        <f t="shared" si="22"/>
        <v>1.6437381508148746E-2</v>
      </c>
      <c r="W36" s="2"/>
      <c r="X36" s="6">
        <f t="shared" si="23"/>
        <v>-40718.539999999994</v>
      </c>
      <c r="Y36" s="2"/>
      <c r="Z36" s="7">
        <f t="shared" si="24"/>
        <v>-0.53624173253378826</v>
      </c>
    </row>
    <row r="37" spans="1:26" s="23" customFormat="1" hidden="1" outlineLevel="2" x14ac:dyDescent="0.25">
      <c r="A37" s="27"/>
      <c r="B37" s="10" t="str">
        <f>CONCATENATE("          ", "6117", " - ", "RETIREMENT STAFF HOURLY")</f>
        <v xml:space="preserve">          6117 - RETIREMENT STAFF HOURLY</v>
      </c>
      <c r="C37" s="10"/>
      <c r="D37" s="6"/>
      <c r="E37" s="2"/>
      <c r="F37" s="7">
        <f t="shared" si="17"/>
        <v>0</v>
      </c>
      <c r="G37" s="2"/>
      <c r="H37" s="6"/>
      <c r="I37" s="2"/>
      <c r="J37" s="7">
        <f t="shared" si="18"/>
        <v>0</v>
      </c>
      <c r="K37" s="2"/>
      <c r="L37" s="6">
        <f t="shared" si="19"/>
        <v>0</v>
      </c>
      <c r="M37" s="2"/>
      <c r="N37" s="7">
        <f t="shared" si="20"/>
        <v>0</v>
      </c>
      <c r="O37" s="10"/>
      <c r="P37" s="6"/>
      <c r="Q37" s="2"/>
      <c r="R37" s="7">
        <f t="shared" si="21"/>
        <v>0</v>
      </c>
      <c r="S37" s="2"/>
      <c r="T37" s="6">
        <v>1352.45</v>
      </c>
      <c r="U37" s="2"/>
      <c r="V37" s="7">
        <f t="shared" si="22"/>
        <v>2.9276709629039339E-4</v>
      </c>
      <c r="W37" s="2"/>
      <c r="X37" s="6">
        <f t="shared" si="23"/>
        <v>-1352.45</v>
      </c>
      <c r="Y37" s="2"/>
      <c r="Z37" s="7">
        <f t="shared" si="24"/>
        <v>-1</v>
      </c>
    </row>
    <row r="38" spans="1:26" s="23" customFormat="1" hidden="1" outlineLevel="2" x14ac:dyDescent="0.25">
      <c r="A38" s="27"/>
      <c r="B38" s="10" t="str">
        <f>CONCATENATE("          ", "6118", " - ", "VACATION")</f>
        <v xml:space="preserve">          6118 - VACATION</v>
      </c>
      <c r="C38" s="10"/>
      <c r="D38" s="6">
        <v>2462.92</v>
      </c>
      <c r="E38" s="2"/>
      <c r="F38" s="7">
        <f t="shared" si="17"/>
        <v>3.9882276262149872E-2</v>
      </c>
      <c r="G38" s="2"/>
      <c r="H38" s="6">
        <v>2558.84</v>
      </c>
      <c r="I38" s="2"/>
      <c r="J38" s="7">
        <f t="shared" si="18"/>
        <v>0</v>
      </c>
      <c r="K38" s="2"/>
      <c r="L38" s="6">
        <f t="shared" si="19"/>
        <v>-95.920000000000073</v>
      </c>
      <c r="M38" s="2"/>
      <c r="N38" s="7">
        <f t="shared" si="20"/>
        <v>-3.7485735723999963E-2</v>
      </c>
      <c r="O38" s="10"/>
      <c r="P38" s="6">
        <v>29592.22</v>
      </c>
      <c r="Q38" s="2"/>
      <c r="R38" s="7">
        <f t="shared" si="21"/>
        <v>5.7086504123095738E-2</v>
      </c>
      <c r="S38" s="2"/>
      <c r="T38" s="6">
        <v>75447.960000000006</v>
      </c>
      <c r="U38" s="2"/>
      <c r="V38" s="7">
        <f t="shared" si="22"/>
        <v>1.6332345129382787E-2</v>
      </c>
      <c r="W38" s="2"/>
      <c r="X38" s="6">
        <f t="shared" si="23"/>
        <v>-45855.740000000005</v>
      </c>
      <c r="Y38" s="2"/>
      <c r="Z38" s="7">
        <f t="shared" si="24"/>
        <v>-0.60777971995531754</v>
      </c>
    </row>
    <row r="39" spans="1:26" s="23" customFormat="1" hidden="1" outlineLevel="2" x14ac:dyDescent="0.25">
      <c r="A39" s="27"/>
      <c r="B39" s="10" t="str">
        <f>CONCATENATE("          ", "6119", " - ", "SICK LEAVE")</f>
        <v xml:space="preserve">          6119 - SICK LEAVE</v>
      </c>
      <c r="C39" s="10"/>
      <c r="D39" s="6">
        <v>1382.86</v>
      </c>
      <c r="E39" s="2"/>
      <c r="F39" s="7">
        <f t="shared" si="17"/>
        <v>2.2392771406248096E-2</v>
      </c>
      <c r="G39" s="2"/>
      <c r="H39" s="6">
        <v>1655.82</v>
      </c>
      <c r="I39" s="2"/>
      <c r="J39" s="7">
        <f t="shared" si="18"/>
        <v>0</v>
      </c>
      <c r="K39" s="2"/>
      <c r="L39" s="6">
        <f t="shared" si="19"/>
        <v>-272.96000000000004</v>
      </c>
      <c r="M39" s="2"/>
      <c r="N39" s="7">
        <f t="shared" si="20"/>
        <v>-0.16484883622615987</v>
      </c>
      <c r="O39" s="10"/>
      <c r="P39" s="6">
        <v>16965.29</v>
      </c>
      <c r="Q39" s="2"/>
      <c r="R39" s="7">
        <f t="shared" si="21"/>
        <v>3.2727828379706385E-2</v>
      </c>
      <c r="S39" s="2"/>
      <c r="T39" s="6">
        <v>-7941.17</v>
      </c>
      <c r="U39" s="2"/>
      <c r="V39" s="7">
        <f t="shared" si="22"/>
        <v>-1.719038250618051E-3</v>
      </c>
      <c r="W39" s="2"/>
      <c r="X39" s="6">
        <f t="shared" si="23"/>
        <v>24906.46</v>
      </c>
      <c r="Y39" s="2"/>
      <c r="Z39" s="7">
        <f t="shared" si="24"/>
        <v>-3.1363715925990752</v>
      </c>
    </row>
    <row r="40" spans="1:26" s="23" customFormat="1" hidden="1" outlineLevel="2" x14ac:dyDescent="0.25">
      <c r="A40" s="27"/>
      <c r="B40" s="10" t="str">
        <f>CONCATENATE("          ", "6156", " - ", "EMPLOYEE MEALS")</f>
        <v xml:space="preserve">          6156 - EMPLOYEE MEALS</v>
      </c>
      <c r="C40" s="10"/>
      <c r="D40" s="6">
        <v>660.57</v>
      </c>
      <c r="E40" s="2"/>
      <c r="F40" s="7">
        <f t="shared" si="17"/>
        <v>1.0696667057999586E-2</v>
      </c>
      <c r="G40" s="2"/>
      <c r="H40" s="6">
        <v>591.99</v>
      </c>
      <c r="I40" s="2"/>
      <c r="J40" s="7">
        <f t="shared" si="18"/>
        <v>0</v>
      </c>
      <c r="K40" s="2"/>
      <c r="L40" s="6">
        <f t="shared" si="19"/>
        <v>68.580000000000041</v>
      </c>
      <c r="M40" s="2"/>
      <c r="N40" s="7">
        <f t="shared" si="20"/>
        <v>0.11584655146201801</v>
      </c>
      <c r="O40" s="10"/>
      <c r="P40" s="6">
        <v>5695.42</v>
      </c>
      <c r="Q40" s="2"/>
      <c r="R40" s="7">
        <f t="shared" si="21"/>
        <v>1.0987064076732396E-2</v>
      </c>
      <c r="S40" s="2"/>
      <c r="T40" s="6">
        <v>25996.52</v>
      </c>
      <c r="U40" s="2"/>
      <c r="V40" s="7">
        <f t="shared" si="22"/>
        <v>5.6275098333063234E-3</v>
      </c>
      <c r="W40" s="2"/>
      <c r="X40" s="6">
        <f t="shared" si="23"/>
        <v>-20301.099999999999</v>
      </c>
      <c r="Y40" s="2"/>
      <c r="Z40" s="7">
        <f t="shared" si="24"/>
        <v>-0.78091606107278966</v>
      </c>
    </row>
    <row r="41" spans="1:26" s="26" customFormat="1" outlineLevel="1" collapsed="1" x14ac:dyDescent="0.25">
      <c r="A41" s="25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26587.039999999994</v>
      </c>
      <c r="E41" s="1"/>
      <c r="F41" s="5">
        <f t="shared" ref="F41:F48" si="25">IF(D$12=0,0,D41/D$12)</f>
        <v>0.43052623482404173</v>
      </c>
      <c r="G41" s="1"/>
      <c r="H41" s="1">
        <f>SUM(OSRRefH22_1x_0)</f>
        <v>29203.090000000004</v>
      </c>
      <c r="I41" s="1"/>
      <c r="J41" s="5">
        <f t="shared" ref="J41:J48" si="26">IF(H$12=0,0,H41/H$12)</f>
        <v>0</v>
      </c>
      <c r="K41" s="1"/>
      <c r="L41" s="1">
        <f t="shared" ref="L41:L48" si="27">+D41-H41</f>
        <v>-2616.0500000000102</v>
      </c>
      <c r="M41" s="1"/>
      <c r="N41" s="5">
        <f t="shared" ref="N41:N48" si="28">IF(H41=0,0,L41/H41)</f>
        <v>-8.9581273762468619E-2</v>
      </c>
      <c r="O41" s="12"/>
      <c r="P41" s="1">
        <f>SUM(OSRRefP22_1x_0)</f>
        <v>319514.60000000003</v>
      </c>
      <c r="Q41" s="1"/>
      <c r="R41" s="5">
        <f t="shared" ref="R41:R48" si="29">IF(P$12=0,0,P41/P$12)</f>
        <v>0.61637726166841444</v>
      </c>
      <c r="S41" s="1"/>
      <c r="T41" s="1">
        <f>SUM(OSRRefT22_1x_0)</f>
        <v>2133745.7700000005</v>
      </c>
      <c r="U41" s="1"/>
      <c r="V41" s="5">
        <f t="shared" ref="V41:V48" si="30">IF(T$12=0,0,T41/T$12)</f>
        <v>0.46189548841347905</v>
      </c>
      <c r="W41" s="1"/>
      <c r="X41" s="1">
        <f t="shared" ref="X41:X48" si="31">+P41-T41</f>
        <v>-1814231.1700000004</v>
      </c>
      <c r="Y41" s="1"/>
      <c r="Z41" s="5">
        <f t="shared" ref="Z41:Z48" si="32">IF(T41=0,0,X41/T41)</f>
        <v>-0.85025648111771068</v>
      </c>
    </row>
    <row r="42" spans="1:26" s="23" customFormat="1" hidden="1" outlineLevel="2" x14ac:dyDescent="0.25">
      <c r="A42" s="27"/>
      <c r="B42" s="10" t="str">
        <f>CONCATENATE("          ", "6001", " - ", "ADMINISTRATIVE SALARIES")</f>
        <v xml:space="preserve">          6001 - ADMINISTRATIVE SALARIES</v>
      </c>
      <c r="C42" s="10"/>
      <c r="D42" s="6">
        <v>8301.9599999999991</v>
      </c>
      <c r="E42" s="2"/>
      <c r="F42" s="7">
        <f t="shared" si="25"/>
        <v>0.13443435525202513</v>
      </c>
      <c r="G42" s="2"/>
      <c r="H42" s="6">
        <v>9962.35</v>
      </c>
      <c r="I42" s="2"/>
      <c r="J42" s="7">
        <f t="shared" si="26"/>
        <v>0</v>
      </c>
      <c r="K42" s="2"/>
      <c r="L42" s="6">
        <f t="shared" si="27"/>
        <v>-1660.3900000000012</v>
      </c>
      <c r="M42" s="2"/>
      <c r="N42" s="7">
        <f t="shared" si="28"/>
        <v>-0.16666649937012865</v>
      </c>
      <c r="O42" s="10"/>
      <c r="P42" s="6">
        <v>119358.13</v>
      </c>
      <c r="Q42" s="2"/>
      <c r="R42" s="7">
        <f t="shared" si="29"/>
        <v>0.23025438376607085</v>
      </c>
      <c r="S42" s="2"/>
      <c r="T42" s="6">
        <v>179437.74</v>
      </c>
      <c r="U42" s="2"/>
      <c r="V42" s="7">
        <f t="shared" si="30"/>
        <v>3.8843185407749323E-2</v>
      </c>
      <c r="W42" s="2"/>
      <c r="X42" s="6">
        <f t="shared" si="31"/>
        <v>-60079.609999999986</v>
      </c>
      <c r="Y42" s="2"/>
      <c r="Z42" s="7">
        <f t="shared" si="32"/>
        <v>-0.3348214818131347</v>
      </c>
    </row>
    <row r="43" spans="1:26" s="23" customFormat="1" hidden="1" outlineLevel="2" x14ac:dyDescent="0.25">
      <c r="A43" s="27"/>
      <c r="B43" s="10" t="str">
        <f>CONCATENATE("          ", "6002", " - ", "STAFF SALARIES")</f>
        <v xml:space="preserve">          6002 - STAFF SALARIES</v>
      </c>
      <c r="C43" s="10"/>
      <c r="D43" s="6">
        <v>14361.06</v>
      </c>
      <c r="E43" s="2"/>
      <c r="F43" s="7">
        <f t="shared" si="25"/>
        <v>0.23254988482667321</v>
      </c>
      <c r="G43" s="2"/>
      <c r="H43" s="6">
        <v>18990.740000000002</v>
      </c>
      <c r="I43" s="2"/>
      <c r="J43" s="7">
        <f t="shared" si="26"/>
        <v>0</v>
      </c>
      <c r="K43" s="2"/>
      <c r="L43" s="6">
        <f t="shared" si="27"/>
        <v>-4629.6800000000021</v>
      </c>
      <c r="M43" s="2"/>
      <c r="N43" s="7">
        <f t="shared" si="28"/>
        <v>-0.243786182107701</v>
      </c>
      <c r="O43" s="10"/>
      <c r="P43" s="6">
        <v>164214.35</v>
      </c>
      <c r="Q43" s="2"/>
      <c r="R43" s="7">
        <f t="shared" si="29"/>
        <v>0.31678674896126369</v>
      </c>
      <c r="S43" s="2"/>
      <c r="T43" s="6">
        <v>603899.72</v>
      </c>
      <c r="U43" s="2"/>
      <c r="V43" s="7">
        <f t="shared" si="30"/>
        <v>0.13072717473842405</v>
      </c>
      <c r="W43" s="2"/>
      <c r="X43" s="6">
        <f t="shared" si="31"/>
        <v>-439685.37</v>
      </c>
      <c r="Y43" s="2"/>
      <c r="Z43" s="7">
        <f t="shared" si="32"/>
        <v>-0.72807679063007347</v>
      </c>
    </row>
    <row r="44" spans="1:26" s="23" customFormat="1" hidden="1" outlineLevel="2" x14ac:dyDescent="0.25">
      <c r="A44" s="27"/>
      <c r="B44" s="10" t="str">
        <f>CONCATENATE("          ", "6004", " - ", "STAFF HOURLY")</f>
        <v xml:space="preserve">          6004 - STAFF HOURLY</v>
      </c>
      <c r="C44" s="10"/>
      <c r="D44" s="6">
        <v>2883.67</v>
      </c>
      <c r="E44" s="2"/>
      <c r="F44" s="7">
        <f t="shared" si="25"/>
        <v>4.6695517348867899E-2</v>
      </c>
      <c r="G44" s="2"/>
      <c r="H44" s="6">
        <v>250</v>
      </c>
      <c r="I44" s="2"/>
      <c r="J44" s="7">
        <f t="shared" si="26"/>
        <v>0</v>
      </c>
      <c r="K44" s="2"/>
      <c r="L44" s="6">
        <f t="shared" si="27"/>
        <v>2633.67</v>
      </c>
      <c r="M44" s="2"/>
      <c r="N44" s="7">
        <f t="shared" si="28"/>
        <v>10.53468</v>
      </c>
      <c r="O44" s="10"/>
      <c r="P44" s="6">
        <v>31463.03</v>
      </c>
      <c r="Q44" s="2"/>
      <c r="R44" s="7">
        <f t="shared" si="29"/>
        <v>6.0695493336427105E-2</v>
      </c>
      <c r="S44" s="2"/>
      <c r="T44" s="6">
        <v>221154.82</v>
      </c>
      <c r="U44" s="2"/>
      <c r="V44" s="7">
        <f t="shared" si="30"/>
        <v>4.7873750957170037E-2</v>
      </c>
      <c r="W44" s="2"/>
      <c r="X44" s="6">
        <f t="shared" si="31"/>
        <v>-189691.79</v>
      </c>
      <c r="Y44" s="2"/>
      <c r="Z44" s="7">
        <f t="shared" si="32"/>
        <v>-0.857733012556543</v>
      </c>
    </row>
    <row r="45" spans="1:26" s="23" customFormat="1" hidden="1" outlineLevel="2" x14ac:dyDescent="0.25">
      <c r="A45" s="27"/>
      <c r="B45" s="10" t="str">
        <f>CONCATENATE("          ", "6005", " - ", "TEMPORARY WAGES-HOURLY")</f>
        <v xml:space="preserve">          6005 - TEMPORARY WAGES-HOURLY</v>
      </c>
      <c r="C45" s="10"/>
      <c r="D45" s="6">
        <v>1040.3499999999999</v>
      </c>
      <c r="E45" s="2"/>
      <c r="F45" s="7">
        <f t="shared" si="25"/>
        <v>1.684647739647557E-2</v>
      </c>
      <c r="G45" s="2"/>
      <c r="H45" s="6"/>
      <c r="I45" s="2"/>
      <c r="J45" s="7">
        <f t="shared" si="26"/>
        <v>0</v>
      </c>
      <c r="K45" s="2"/>
      <c r="L45" s="6">
        <f t="shared" si="27"/>
        <v>1040.3499999999999</v>
      </c>
      <c r="M45" s="2"/>
      <c r="N45" s="7">
        <f t="shared" si="28"/>
        <v>0</v>
      </c>
      <c r="O45" s="10"/>
      <c r="P45" s="6">
        <v>4331.3999999999996</v>
      </c>
      <c r="Q45" s="2"/>
      <c r="R45" s="7">
        <f t="shared" si="29"/>
        <v>8.3557260644445356E-3</v>
      </c>
      <c r="S45" s="2"/>
      <c r="T45" s="6">
        <v>437740.4</v>
      </c>
      <c r="U45" s="2"/>
      <c r="V45" s="7">
        <f t="shared" si="30"/>
        <v>9.4758390947536186E-2</v>
      </c>
      <c r="W45" s="2"/>
      <c r="X45" s="6">
        <f t="shared" si="31"/>
        <v>-433409</v>
      </c>
      <c r="Y45" s="2"/>
      <c r="Z45" s="7">
        <f t="shared" si="32"/>
        <v>-0.99010509425220972</v>
      </c>
    </row>
    <row r="46" spans="1:26" s="23" customFormat="1" hidden="1" outlineLevel="2" x14ac:dyDescent="0.25">
      <c r="A46" s="27"/>
      <c r="B46" s="10" t="str">
        <f>CONCATENATE("          ", "6006", " - ", "TEMPORARY PART TIME")</f>
        <v xml:space="preserve">          6006 - TEMPORARY PART TIME</v>
      </c>
      <c r="C46" s="10"/>
      <c r="D46" s="6"/>
      <c r="E46" s="2"/>
      <c r="F46" s="7">
        <f t="shared" si="25"/>
        <v>0</v>
      </c>
      <c r="G46" s="2"/>
      <c r="H46" s="6"/>
      <c r="I46" s="2"/>
      <c r="J46" s="7">
        <f t="shared" si="26"/>
        <v>0</v>
      </c>
      <c r="K46" s="2"/>
      <c r="L46" s="6">
        <f t="shared" si="27"/>
        <v>0</v>
      </c>
      <c r="M46" s="2"/>
      <c r="N46" s="7">
        <f t="shared" si="28"/>
        <v>0</v>
      </c>
      <c r="O46" s="10"/>
      <c r="P46" s="6"/>
      <c r="Q46" s="2"/>
      <c r="R46" s="7">
        <f t="shared" si="29"/>
        <v>0</v>
      </c>
      <c r="S46" s="2"/>
      <c r="T46" s="6">
        <v>11826.56</v>
      </c>
      <c r="U46" s="2"/>
      <c r="V46" s="7">
        <f t="shared" si="30"/>
        <v>2.5601150728708009E-3</v>
      </c>
      <c r="W46" s="2"/>
      <c r="X46" s="6">
        <f t="shared" si="31"/>
        <v>-11826.56</v>
      </c>
      <c r="Y46" s="2"/>
      <c r="Z46" s="7">
        <f t="shared" si="32"/>
        <v>-1</v>
      </c>
    </row>
    <row r="47" spans="1:26" s="23" customFormat="1" hidden="1" outlineLevel="2" x14ac:dyDescent="0.25">
      <c r="A47" s="27"/>
      <c r="B47" s="10" t="str">
        <f>CONCATENATE("          ", "6007", " - ", "STUDENT HOURLY")</f>
        <v xml:space="preserve">          6007 - STUDENT HOURLY</v>
      </c>
      <c r="C47" s="10"/>
      <c r="D47" s="6"/>
      <c r="E47" s="2"/>
      <c r="F47" s="7">
        <f t="shared" si="25"/>
        <v>0</v>
      </c>
      <c r="G47" s="2"/>
      <c r="H47" s="6"/>
      <c r="I47" s="2"/>
      <c r="J47" s="7">
        <f t="shared" si="26"/>
        <v>0</v>
      </c>
      <c r="K47" s="2"/>
      <c r="L47" s="6">
        <f t="shared" si="27"/>
        <v>0</v>
      </c>
      <c r="M47" s="2"/>
      <c r="N47" s="7">
        <f t="shared" si="28"/>
        <v>0</v>
      </c>
      <c r="O47" s="10"/>
      <c r="P47" s="6">
        <v>147.69</v>
      </c>
      <c r="Q47" s="2"/>
      <c r="R47" s="7">
        <f t="shared" si="29"/>
        <v>2.8490954020820371E-4</v>
      </c>
      <c r="S47" s="2"/>
      <c r="T47" s="6">
        <v>643229.24</v>
      </c>
      <c r="U47" s="2"/>
      <c r="V47" s="7">
        <f t="shared" si="30"/>
        <v>0.13924090121178348</v>
      </c>
      <c r="W47" s="2"/>
      <c r="X47" s="6">
        <f t="shared" si="31"/>
        <v>-643081.55000000005</v>
      </c>
      <c r="Y47" s="2"/>
      <c r="Z47" s="7">
        <f t="shared" si="32"/>
        <v>-0.99977039290067105</v>
      </c>
    </row>
    <row r="48" spans="1:26" s="23" customFormat="1" hidden="1" outlineLevel="2" x14ac:dyDescent="0.25">
      <c r="A48" s="27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5"/>
        <v>0</v>
      </c>
      <c r="G48" s="2"/>
      <c r="H48" s="6"/>
      <c r="I48" s="2"/>
      <c r="J48" s="7">
        <f t="shared" si="26"/>
        <v>0</v>
      </c>
      <c r="K48" s="2"/>
      <c r="L48" s="6">
        <f t="shared" si="27"/>
        <v>0</v>
      </c>
      <c r="M48" s="2"/>
      <c r="N48" s="7">
        <f t="shared" si="28"/>
        <v>0</v>
      </c>
      <c r="O48" s="10"/>
      <c r="P48" s="6"/>
      <c r="Q48" s="2"/>
      <c r="R48" s="7">
        <f t="shared" si="29"/>
        <v>0</v>
      </c>
      <c r="S48" s="2"/>
      <c r="T48" s="6">
        <v>36457.29</v>
      </c>
      <c r="U48" s="2"/>
      <c r="V48" s="7">
        <f t="shared" si="30"/>
        <v>7.89197007794506E-3</v>
      </c>
      <c r="W48" s="2"/>
      <c r="X48" s="6">
        <f t="shared" si="31"/>
        <v>-36457.29</v>
      </c>
      <c r="Y48" s="2"/>
      <c r="Z48" s="7">
        <f t="shared" si="32"/>
        <v>-1</v>
      </c>
    </row>
    <row r="49" spans="1:26" s="26" customFormat="1" outlineLevel="1" collapsed="1" x14ac:dyDescent="0.25">
      <c r="A49" s="25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6.3</v>
      </c>
      <c r="E49" s="1"/>
      <c r="F49" s="5">
        <f t="shared" ref="F49:F58" si="33">IF(D$12=0,0,D49/D$12)</f>
        <v>1.0201644407920037E-4</v>
      </c>
      <c r="G49" s="1"/>
      <c r="H49" s="1">
        <f>SUM(OSRRefH22_2x_0)</f>
        <v>109.76</v>
      </c>
      <c r="I49" s="1"/>
      <c r="J49" s="5">
        <f t="shared" ref="J49:J58" si="34">IF(H$12=0,0,H49/H$12)</f>
        <v>0</v>
      </c>
      <c r="K49" s="1"/>
      <c r="L49" s="1">
        <f t="shared" ref="L49:L58" si="35">+D49-H49</f>
        <v>-103.46000000000001</v>
      </c>
      <c r="M49" s="1"/>
      <c r="N49" s="5">
        <f t="shared" ref="N49:N58" si="36">IF(H49=0,0,L49/H49)</f>
        <v>-0.94260204081632659</v>
      </c>
      <c r="O49" s="12"/>
      <c r="P49" s="1">
        <f>SUM(OSRRefP22_2x_0)</f>
        <v>447.45</v>
      </c>
      <c r="Q49" s="1"/>
      <c r="R49" s="5">
        <f t="shared" ref="R49:R58" si="37">IF(P$12=0,0,P49/P$12)</f>
        <v>8.6317810119954455E-4</v>
      </c>
      <c r="S49" s="1"/>
      <c r="T49" s="1">
        <f>SUM(OSRRefT22_2x_0)</f>
        <v>28503.73</v>
      </c>
      <c r="U49" s="1"/>
      <c r="V49" s="5">
        <f t="shared" ref="V49:V58" si="38">IF(T$12=0,0,T49/T$12)</f>
        <v>6.1702497434621426E-3</v>
      </c>
      <c r="W49" s="1"/>
      <c r="X49" s="1">
        <f t="shared" ref="X49:X58" si="39">+P49-T49</f>
        <v>-28056.28</v>
      </c>
      <c r="Y49" s="1"/>
      <c r="Z49" s="5">
        <f t="shared" ref="Z49:Z58" si="40">IF(T49=0,0,X49/T49)</f>
        <v>-0.9843020545030422</v>
      </c>
    </row>
    <row r="50" spans="1:26" s="23" customFormat="1" hidden="1" outlineLevel="2" x14ac:dyDescent="0.25">
      <c r="A50" s="27"/>
      <c r="B50" s="10" t="str">
        <f>CONCATENATE("          ", "6362", " - ", "ADVERTISING EXPENSE")</f>
        <v xml:space="preserve">          6362 - ADVERTISING EXPENSE</v>
      </c>
      <c r="C50" s="10"/>
      <c r="D50" s="6">
        <v>6.3</v>
      </c>
      <c r="E50" s="2"/>
      <c r="F50" s="7">
        <f t="shared" si="33"/>
        <v>1.0201644407920037E-4</v>
      </c>
      <c r="G50" s="2"/>
      <c r="H50" s="6">
        <v>109.76</v>
      </c>
      <c r="I50" s="2"/>
      <c r="J50" s="7">
        <f t="shared" si="34"/>
        <v>0</v>
      </c>
      <c r="K50" s="2"/>
      <c r="L50" s="6">
        <f t="shared" si="35"/>
        <v>-103.46000000000001</v>
      </c>
      <c r="M50" s="2"/>
      <c r="N50" s="7">
        <f t="shared" si="36"/>
        <v>-0.94260204081632659</v>
      </c>
      <c r="O50" s="10"/>
      <c r="P50" s="6">
        <v>447.45</v>
      </c>
      <c r="Q50" s="2"/>
      <c r="R50" s="7">
        <f t="shared" si="37"/>
        <v>8.6317810119954455E-4</v>
      </c>
      <c r="S50" s="2"/>
      <c r="T50" s="6">
        <v>28503.73</v>
      </c>
      <c r="U50" s="2"/>
      <c r="V50" s="7">
        <f t="shared" si="38"/>
        <v>6.1702497434621426E-3</v>
      </c>
      <c r="W50" s="2"/>
      <c r="X50" s="6">
        <f t="shared" si="39"/>
        <v>-28056.28</v>
      </c>
      <c r="Y50" s="2"/>
      <c r="Z50" s="7">
        <f t="shared" si="40"/>
        <v>-0.9843020545030422</v>
      </c>
    </row>
    <row r="51" spans="1:26" s="26" customFormat="1" outlineLevel="1" collapsed="1" x14ac:dyDescent="0.25">
      <c r="A51" s="25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7.22</v>
      </c>
      <c r="E51" s="1"/>
      <c r="F51" s="5">
        <f t="shared" si="33"/>
        <v>1.1691408353203598E-4</v>
      </c>
      <c r="G51" s="1"/>
      <c r="H51" s="1">
        <f>SUM(OSRRefH22_3x_0)</f>
        <v>0</v>
      </c>
      <c r="I51" s="1"/>
      <c r="J51" s="5">
        <f t="shared" si="34"/>
        <v>0</v>
      </c>
      <c r="K51" s="1"/>
      <c r="L51" s="1">
        <f t="shared" si="35"/>
        <v>7.22</v>
      </c>
      <c r="M51" s="1"/>
      <c r="N51" s="5">
        <f t="shared" si="36"/>
        <v>0</v>
      </c>
      <c r="O51" s="12"/>
      <c r="P51" s="1">
        <f>SUM(OSRRefP22_3x_0)</f>
        <v>16.2</v>
      </c>
      <c r="Q51" s="1"/>
      <c r="R51" s="5">
        <f t="shared" si="37"/>
        <v>3.1251503496329471E-5</v>
      </c>
      <c r="S51" s="1"/>
      <c r="T51" s="1">
        <f>SUM(OSRRefT22_3x_0)</f>
        <v>-260.64999999999998</v>
      </c>
      <c r="U51" s="1"/>
      <c r="V51" s="5">
        <f t="shared" si="38"/>
        <v>-5.6423338125691175E-5</v>
      </c>
      <c r="W51" s="1"/>
      <c r="X51" s="1">
        <f t="shared" si="39"/>
        <v>276.84999999999997</v>
      </c>
      <c r="Y51" s="1"/>
      <c r="Z51" s="5">
        <f t="shared" si="40"/>
        <v>-1.06215231152887</v>
      </c>
    </row>
    <row r="52" spans="1:26" s="23" customFormat="1" hidden="1" outlineLevel="2" x14ac:dyDescent="0.25">
      <c r="A52" s="27"/>
      <c r="B52" s="10" t="str">
        <f>CONCATENATE("          ", "6272", " - ", "CASH (OVER/SHORT)")</f>
        <v xml:space="preserve">          6272 - CASH (OVER/SHORT)</v>
      </c>
      <c r="C52" s="10"/>
      <c r="D52" s="6">
        <v>7.22</v>
      </c>
      <c r="E52" s="2"/>
      <c r="F52" s="7">
        <f t="shared" si="33"/>
        <v>1.1691408353203598E-4</v>
      </c>
      <c r="G52" s="2"/>
      <c r="H52" s="6"/>
      <c r="I52" s="2"/>
      <c r="J52" s="7">
        <f t="shared" si="34"/>
        <v>0</v>
      </c>
      <c r="K52" s="2"/>
      <c r="L52" s="6">
        <f t="shared" si="35"/>
        <v>7.22</v>
      </c>
      <c r="M52" s="2"/>
      <c r="N52" s="7">
        <f t="shared" si="36"/>
        <v>0</v>
      </c>
      <c r="O52" s="10"/>
      <c r="P52" s="6">
        <v>16.2</v>
      </c>
      <c r="Q52" s="2"/>
      <c r="R52" s="7">
        <f t="shared" si="37"/>
        <v>3.1251503496329471E-5</v>
      </c>
      <c r="S52" s="2"/>
      <c r="T52" s="6">
        <v>-260.64999999999998</v>
      </c>
      <c r="U52" s="2"/>
      <c r="V52" s="7">
        <f t="shared" si="38"/>
        <v>-5.6423338125691175E-5</v>
      </c>
      <c r="W52" s="2"/>
      <c r="X52" s="6">
        <f t="shared" si="39"/>
        <v>276.84999999999997</v>
      </c>
      <c r="Y52" s="2"/>
      <c r="Z52" s="7">
        <f t="shared" si="40"/>
        <v>-1.06215231152887</v>
      </c>
    </row>
    <row r="53" spans="1:26" s="26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695.08</v>
      </c>
      <c r="E53" s="1"/>
      <c r="F53" s="5">
        <f t="shared" si="33"/>
        <v>1.125549046834454E-2</v>
      </c>
      <c r="G53" s="1"/>
      <c r="H53" s="1">
        <f>SUM(OSRRefH22_4x_0)</f>
        <v>252.5</v>
      </c>
      <c r="I53" s="1"/>
      <c r="J53" s="5">
        <f t="shared" si="34"/>
        <v>0</v>
      </c>
      <c r="K53" s="1"/>
      <c r="L53" s="1">
        <f t="shared" si="35"/>
        <v>442.58000000000004</v>
      </c>
      <c r="M53" s="1"/>
      <c r="N53" s="5">
        <f t="shared" si="36"/>
        <v>1.752792079207921</v>
      </c>
      <c r="O53" s="12"/>
      <c r="P53" s="1">
        <f>SUM(OSRRefP22_4x_0)</f>
        <v>7018.13</v>
      </c>
      <c r="Q53" s="1"/>
      <c r="R53" s="5">
        <f t="shared" si="37"/>
        <v>1.3538710755104615E-2</v>
      </c>
      <c r="S53" s="1"/>
      <c r="T53" s="1">
        <f>SUM(OSRRefT22_4x_0)</f>
        <v>149344.53</v>
      </c>
      <c r="U53" s="1"/>
      <c r="V53" s="5">
        <f t="shared" si="38"/>
        <v>3.2328858290475465E-2</v>
      </c>
      <c r="W53" s="1"/>
      <c r="X53" s="1">
        <f t="shared" si="39"/>
        <v>-142326.39999999999</v>
      </c>
      <c r="Y53" s="1"/>
      <c r="Z53" s="5">
        <f t="shared" si="40"/>
        <v>-0.95300711716726416</v>
      </c>
    </row>
    <row r="54" spans="1:26" s="23" customFormat="1" hidden="1" outlineLevel="2" x14ac:dyDescent="0.25">
      <c r="A54" s="27"/>
      <c r="B54" s="10" t="str">
        <f>CONCATENATE("          ", "6381", " - ", "BANK/CREDIT CARD FEES")</f>
        <v xml:space="preserve">          6381 - BANK/CREDIT CARD FEES</v>
      </c>
      <c r="C54" s="10"/>
      <c r="D54" s="6">
        <v>695.08</v>
      </c>
      <c r="E54" s="2"/>
      <c r="F54" s="7">
        <f t="shared" si="33"/>
        <v>1.125549046834454E-2</v>
      </c>
      <c r="G54" s="2"/>
      <c r="H54" s="6">
        <v>252.5</v>
      </c>
      <c r="I54" s="2"/>
      <c r="J54" s="7">
        <f t="shared" si="34"/>
        <v>0</v>
      </c>
      <c r="K54" s="2"/>
      <c r="L54" s="6">
        <f t="shared" si="35"/>
        <v>442.58000000000004</v>
      </c>
      <c r="M54" s="2"/>
      <c r="N54" s="7">
        <f t="shared" si="36"/>
        <v>1.752792079207921</v>
      </c>
      <c r="O54" s="10"/>
      <c r="P54" s="6">
        <v>7018.13</v>
      </c>
      <c r="Q54" s="2"/>
      <c r="R54" s="7">
        <f t="shared" si="37"/>
        <v>1.3538710755104615E-2</v>
      </c>
      <c r="S54" s="2"/>
      <c r="T54" s="6">
        <v>149344.53</v>
      </c>
      <c r="U54" s="2"/>
      <c r="V54" s="7">
        <f t="shared" si="38"/>
        <v>3.2328858290475465E-2</v>
      </c>
      <c r="W54" s="2"/>
      <c r="X54" s="6">
        <f t="shared" si="39"/>
        <v>-142326.39999999999</v>
      </c>
      <c r="Y54" s="2"/>
      <c r="Z54" s="7">
        <f t="shared" si="40"/>
        <v>-0.95300711716726416</v>
      </c>
    </row>
    <row r="55" spans="1:26" s="26" customFormat="1" outlineLevel="1" collapsed="1" x14ac:dyDescent="0.25">
      <c r="A55" s="25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36720.730000000003</v>
      </c>
      <c r="E55" s="1"/>
      <c r="F55" s="5">
        <f t="shared" si="33"/>
        <v>0.59462195215752633</v>
      </c>
      <c r="G55" s="1"/>
      <c r="H55" s="1">
        <f>SUM(OSRRefH22_5x_0)</f>
        <v>37717.19</v>
      </c>
      <c r="I55" s="1"/>
      <c r="J55" s="5">
        <f t="shared" si="34"/>
        <v>0</v>
      </c>
      <c r="K55" s="1"/>
      <c r="L55" s="1">
        <f t="shared" si="35"/>
        <v>-996.45999999999913</v>
      </c>
      <c r="M55" s="1"/>
      <c r="N55" s="5">
        <f t="shared" si="36"/>
        <v>-2.6419253396130493E-2</v>
      </c>
      <c r="O55" s="12"/>
      <c r="P55" s="1">
        <f>SUM(OSRRefP22_5x_0)</f>
        <v>406751.85</v>
      </c>
      <c r="Q55" s="1"/>
      <c r="R55" s="5">
        <f t="shared" si="37"/>
        <v>0.78466709027243708</v>
      </c>
      <c r="S55" s="1"/>
      <c r="T55" s="1">
        <f>SUM(OSRRefT22_5x_0)</f>
        <v>439610.3</v>
      </c>
      <c r="U55" s="1"/>
      <c r="V55" s="5">
        <f t="shared" si="38"/>
        <v>9.5163171304187749E-2</v>
      </c>
      <c r="W55" s="1"/>
      <c r="X55" s="1">
        <f t="shared" si="39"/>
        <v>-32858.450000000012</v>
      </c>
      <c r="Y55" s="1"/>
      <c r="Z55" s="5">
        <f t="shared" si="40"/>
        <v>-7.4744495295037475E-2</v>
      </c>
    </row>
    <row r="56" spans="1:26" s="23" customFormat="1" hidden="1" outlineLevel="2" x14ac:dyDescent="0.25">
      <c r="A56" s="27"/>
      <c r="B56" s="10" t="str">
        <f>CONCATENATE("          ", "6321", " - ", "BUILDING DEPRECIATION")</f>
        <v xml:space="preserve">          6321 - BUILDING DEPRECIATION</v>
      </c>
      <c r="C56" s="10"/>
      <c r="D56" s="6">
        <v>23583.49</v>
      </c>
      <c r="E56" s="2"/>
      <c r="F56" s="7">
        <f t="shared" si="33"/>
        <v>0.38188949028212404</v>
      </c>
      <c r="G56" s="2"/>
      <c r="H56" s="6">
        <v>24042.959999999999</v>
      </c>
      <c r="I56" s="2"/>
      <c r="J56" s="7">
        <f t="shared" si="34"/>
        <v>0</v>
      </c>
      <c r="K56" s="2"/>
      <c r="L56" s="6">
        <f t="shared" si="35"/>
        <v>-459.46999999999753</v>
      </c>
      <c r="M56" s="2"/>
      <c r="N56" s="7">
        <f t="shared" si="36"/>
        <v>-1.911037576072154E-2</v>
      </c>
      <c r="O56" s="10"/>
      <c r="P56" s="6">
        <v>260202.58</v>
      </c>
      <c r="Q56" s="2"/>
      <c r="R56" s="7">
        <f t="shared" si="37"/>
        <v>0.50195813818666346</v>
      </c>
      <c r="S56" s="2"/>
      <c r="T56" s="6">
        <v>264472.56</v>
      </c>
      <c r="U56" s="2"/>
      <c r="V56" s="7">
        <f t="shared" si="38"/>
        <v>5.7250814033558979E-2</v>
      </c>
      <c r="W56" s="2"/>
      <c r="X56" s="6">
        <f t="shared" si="39"/>
        <v>-4269.9800000000105</v>
      </c>
      <c r="Y56" s="2"/>
      <c r="Z56" s="7">
        <f t="shared" si="40"/>
        <v>-1.6145266639382212E-2</v>
      </c>
    </row>
    <row r="57" spans="1:26" s="23" customFormat="1" hidden="1" outlineLevel="2" x14ac:dyDescent="0.25">
      <c r="A57" s="27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13137.24</v>
      </c>
      <c r="E57" s="2"/>
      <c r="F57" s="7">
        <f t="shared" si="33"/>
        <v>0.21273246187540226</v>
      </c>
      <c r="G57" s="2"/>
      <c r="H57" s="6">
        <v>13674.23</v>
      </c>
      <c r="I57" s="2"/>
      <c r="J57" s="7">
        <f t="shared" si="34"/>
        <v>0</v>
      </c>
      <c r="K57" s="2"/>
      <c r="L57" s="6">
        <f t="shared" si="35"/>
        <v>-536.98999999999978</v>
      </c>
      <c r="M57" s="2"/>
      <c r="N57" s="7">
        <f t="shared" si="36"/>
        <v>-3.927021850590489E-2</v>
      </c>
      <c r="O57" s="10"/>
      <c r="P57" s="6">
        <v>146549.26999999999</v>
      </c>
      <c r="Q57" s="2"/>
      <c r="R57" s="7">
        <f t="shared" si="37"/>
        <v>0.28270895208577357</v>
      </c>
      <c r="S57" s="2"/>
      <c r="T57" s="6">
        <v>170895.26</v>
      </c>
      <c r="U57" s="2"/>
      <c r="V57" s="7">
        <f t="shared" si="38"/>
        <v>3.6993980583379653E-2</v>
      </c>
      <c r="W57" s="2"/>
      <c r="X57" s="6">
        <f t="shared" si="39"/>
        <v>-24345.99000000002</v>
      </c>
      <c r="Y57" s="2"/>
      <c r="Z57" s="7">
        <f t="shared" si="40"/>
        <v>-0.14246147025961994</v>
      </c>
    </row>
    <row r="58" spans="1:26" s="23" customFormat="1" hidden="1" outlineLevel="2" x14ac:dyDescent="0.25">
      <c r="A58" s="27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3"/>
        <v>0</v>
      </c>
      <c r="G58" s="2"/>
      <c r="H58" s="6"/>
      <c r="I58" s="2"/>
      <c r="J58" s="7">
        <f t="shared" si="34"/>
        <v>0</v>
      </c>
      <c r="K58" s="2"/>
      <c r="L58" s="6">
        <f t="shared" si="35"/>
        <v>0</v>
      </c>
      <c r="M58" s="2"/>
      <c r="N58" s="7">
        <f t="shared" si="36"/>
        <v>0</v>
      </c>
      <c r="O58" s="10"/>
      <c r="P58" s="6"/>
      <c r="Q58" s="2"/>
      <c r="R58" s="7">
        <f t="shared" si="37"/>
        <v>0</v>
      </c>
      <c r="S58" s="2"/>
      <c r="T58" s="6">
        <v>4242.4799999999996</v>
      </c>
      <c r="U58" s="2"/>
      <c r="V58" s="7">
        <f t="shared" si="38"/>
        <v>9.1837668724911682E-4</v>
      </c>
      <c r="W58" s="2"/>
      <c r="X58" s="6">
        <f t="shared" si="39"/>
        <v>-4242.4799999999996</v>
      </c>
      <c r="Y58" s="2"/>
      <c r="Z58" s="7">
        <f t="shared" si="40"/>
        <v>-1</v>
      </c>
    </row>
    <row r="59" spans="1:26" s="26" customFormat="1" outlineLevel="1" collapsed="1" x14ac:dyDescent="0.25">
      <c r="A59" s="25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41">IF(D$12=0,0,D59/D$12)</f>
        <v>0</v>
      </c>
      <c r="G59" s="1"/>
      <c r="H59" s="1">
        <f>SUM(OSRRefH22_6x_0)</f>
        <v>0</v>
      </c>
      <c r="I59" s="1"/>
      <c r="J59" s="5">
        <f t="shared" ref="J59:J71" si="42">IF(H$12=0,0,H59/H$12)</f>
        <v>0</v>
      </c>
      <c r="K59" s="1"/>
      <c r="L59" s="1">
        <f t="shared" ref="L59:L71" si="43">+D59-H59</f>
        <v>0</v>
      </c>
      <c r="M59" s="1"/>
      <c r="N59" s="5">
        <f t="shared" ref="N59:N71" si="44">IF(H59=0,0,L59/H59)</f>
        <v>0</v>
      </c>
      <c r="O59" s="12"/>
      <c r="P59" s="1">
        <f>SUM(OSRRefP22_6x_0)</f>
        <v>0</v>
      </c>
      <c r="Q59" s="1"/>
      <c r="R59" s="5">
        <f t="shared" ref="R59:R71" si="45">IF(P$12=0,0,P59/P$12)</f>
        <v>0</v>
      </c>
      <c r="S59" s="1"/>
      <c r="T59" s="1">
        <f>SUM(OSRRefT22_6x_0)</f>
        <v>0.09</v>
      </c>
      <c r="U59" s="1"/>
      <c r="V59" s="5">
        <f t="shared" ref="V59:V71" si="46">IF(T$12=0,0,T59/T$12)</f>
        <v>1.9482449381592965E-8</v>
      </c>
      <c r="W59" s="1"/>
      <c r="X59" s="1">
        <f t="shared" ref="X59:X71" si="47">+P59-T59</f>
        <v>-0.09</v>
      </c>
      <c r="Y59" s="1"/>
      <c r="Z59" s="5">
        <f t="shared" ref="Z59:Z71" si="48">IF(T59=0,0,X59/T59)</f>
        <v>-1</v>
      </c>
    </row>
    <row r="60" spans="1:26" s="23" customFormat="1" hidden="1" outlineLevel="2" x14ac:dyDescent="0.25">
      <c r="A60" s="27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0"/>
      <c r="P60" s="6"/>
      <c r="Q60" s="2"/>
      <c r="R60" s="7">
        <f t="shared" si="45"/>
        <v>0</v>
      </c>
      <c r="S60" s="2"/>
      <c r="T60" s="6">
        <v>0.09</v>
      </c>
      <c r="U60" s="2"/>
      <c r="V60" s="7">
        <f t="shared" si="46"/>
        <v>1.9482449381592965E-8</v>
      </c>
      <c r="W60" s="2"/>
      <c r="X60" s="6">
        <f t="shared" si="47"/>
        <v>-0.09</v>
      </c>
      <c r="Y60" s="2"/>
      <c r="Z60" s="7">
        <f t="shared" si="48"/>
        <v>-1</v>
      </c>
    </row>
    <row r="61" spans="1:26" s="26" customFormat="1" outlineLevel="1" collapsed="1" x14ac:dyDescent="0.25">
      <c r="A61" s="25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0</v>
      </c>
      <c r="E61" s="1"/>
      <c r="F61" s="5">
        <f t="shared" si="41"/>
        <v>0</v>
      </c>
      <c r="G61" s="1"/>
      <c r="H61" s="1">
        <f>SUM(OSRRefH22_7x_0)</f>
        <v>0</v>
      </c>
      <c r="I61" s="1"/>
      <c r="J61" s="5">
        <f t="shared" si="42"/>
        <v>0</v>
      </c>
      <c r="K61" s="1"/>
      <c r="L61" s="1">
        <f t="shared" si="43"/>
        <v>0</v>
      </c>
      <c r="M61" s="1"/>
      <c r="N61" s="5">
        <f t="shared" si="44"/>
        <v>0</v>
      </c>
      <c r="O61" s="12"/>
      <c r="P61" s="1">
        <f>SUM(OSRRefP22_7x_0)</f>
        <v>0</v>
      </c>
      <c r="Q61" s="1"/>
      <c r="R61" s="5">
        <f t="shared" si="45"/>
        <v>0</v>
      </c>
      <c r="S61" s="1"/>
      <c r="T61" s="1">
        <f>SUM(OSRRefT22_7x_0)</f>
        <v>236.68</v>
      </c>
      <c r="U61" s="1"/>
      <c r="V61" s="5">
        <f t="shared" si="46"/>
        <v>5.123451244039359E-5</v>
      </c>
      <c r="W61" s="1"/>
      <c r="X61" s="1">
        <f t="shared" si="47"/>
        <v>-236.68</v>
      </c>
      <c r="Y61" s="1"/>
      <c r="Z61" s="5">
        <f t="shared" si="48"/>
        <v>-1</v>
      </c>
    </row>
    <row r="62" spans="1:26" s="23" customFormat="1" hidden="1" outlineLevel="2" x14ac:dyDescent="0.25">
      <c r="A62" s="27"/>
      <c r="B62" s="10" t="str">
        <f>CONCATENATE("          ", "6399", " - ", "DONATION-ON CAMPUS")</f>
        <v xml:space="preserve">          6399 - DONATION-ON CAMPUS</v>
      </c>
      <c r="C62" s="10"/>
      <c r="D62" s="6"/>
      <c r="E62" s="2"/>
      <c r="F62" s="7">
        <f t="shared" si="41"/>
        <v>0</v>
      </c>
      <c r="G62" s="2"/>
      <c r="H62" s="6"/>
      <c r="I62" s="2"/>
      <c r="J62" s="7">
        <f t="shared" si="42"/>
        <v>0</v>
      </c>
      <c r="K62" s="2"/>
      <c r="L62" s="6">
        <f t="shared" si="43"/>
        <v>0</v>
      </c>
      <c r="M62" s="2"/>
      <c r="N62" s="7">
        <f t="shared" si="44"/>
        <v>0</v>
      </c>
      <c r="O62" s="10"/>
      <c r="P62" s="6"/>
      <c r="Q62" s="2"/>
      <c r="R62" s="7">
        <f t="shared" si="45"/>
        <v>0</v>
      </c>
      <c r="S62" s="2"/>
      <c r="T62" s="6">
        <v>236.68</v>
      </c>
      <c r="U62" s="2"/>
      <c r="V62" s="7">
        <f t="shared" si="46"/>
        <v>5.123451244039359E-5</v>
      </c>
      <c r="W62" s="2"/>
      <c r="X62" s="6">
        <f t="shared" si="47"/>
        <v>-236.68</v>
      </c>
      <c r="Y62" s="2"/>
      <c r="Z62" s="7">
        <f t="shared" si="48"/>
        <v>-1</v>
      </c>
    </row>
    <row r="63" spans="1:26" s="26" customFormat="1" outlineLevel="1" collapsed="1" x14ac:dyDescent="0.25">
      <c r="A63" s="25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41"/>
        <v>0</v>
      </c>
      <c r="G63" s="1"/>
      <c r="H63" s="1">
        <f>SUM(OSRRefH22_8x_0)</f>
        <v>0</v>
      </c>
      <c r="I63" s="1"/>
      <c r="J63" s="5">
        <f t="shared" si="42"/>
        <v>0</v>
      </c>
      <c r="K63" s="1"/>
      <c r="L63" s="1">
        <f t="shared" si="43"/>
        <v>0</v>
      </c>
      <c r="M63" s="1"/>
      <c r="N63" s="5">
        <f t="shared" si="44"/>
        <v>0</v>
      </c>
      <c r="O63" s="12"/>
      <c r="P63" s="1">
        <f>SUM(OSRRefP22_8x_0)</f>
        <v>10</v>
      </c>
      <c r="Q63" s="1"/>
      <c r="R63" s="5">
        <f t="shared" si="45"/>
        <v>1.9291051540944119E-5</v>
      </c>
      <c r="S63" s="1"/>
      <c r="T63" s="1">
        <f>SUM(OSRRefT22_8x_0)</f>
        <v>1672.81</v>
      </c>
      <c r="U63" s="1"/>
      <c r="V63" s="5">
        <f t="shared" si="46"/>
        <v>3.6211595722247249E-4</v>
      </c>
      <c r="W63" s="1"/>
      <c r="X63" s="1">
        <f t="shared" si="47"/>
        <v>-1662.81</v>
      </c>
      <c r="Y63" s="1"/>
      <c r="Z63" s="5">
        <f t="shared" si="48"/>
        <v>-0.99402203477980167</v>
      </c>
    </row>
    <row r="64" spans="1:26" s="23" customFormat="1" hidden="1" outlineLevel="2" x14ac:dyDescent="0.25">
      <c r="A64" s="27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41"/>
        <v>0</v>
      </c>
      <c r="G64" s="2"/>
      <c r="H64" s="6"/>
      <c r="I64" s="2"/>
      <c r="J64" s="7">
        <f t="shared" si="42"/>
        <v>0</v>
      </c>
      <c r="K64" s="2"/>
      <c r="L64" s="6">
        <f t="shared" si="43"/>
        <v>0</v>
      </c>
      <c r="M64" s="2"/>
      <c r="N64" s="7">
        <f t="shared" si="44"/>
        <v>0</v>
      </c>
      <c r="O64" s="10"/>
      <c r="P64" s="6">
        <v>10</v>
      </c>
      <c r="Q64" s="2"/>
      <c r="R64" s="7">
        <f t="shared" si="45"/>
        <v>1.9291051540944119E-5</v>
      </c>
      <c r="S64" s="2"/>
      <c r="T64" s="6">
        <v>1672.81</v>
      </c>
      <c r="U64" s="2"/>
      <c r="V64" s="7">
        <f t="shared" si="46"/>
        <v>3.6211595722247249E-4</v>
      </c>
      <c r="W64" s="2"/>
      <c r="X64" s="6">
        <f t="shared" si="47"/>
        <v>-1662.81</v>
      </c>
      <c r="Y64" s="2"/>
      <c r="Z64" s="7">
        <f t="shared" si="48"/>
        <v>-0.99402203477980167</v>
      </c>
    </row>
    <row r="65" spans="1:26" s="26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1064.6099999999999</v>
      </c>
      <c r="E65" s="1"/>
      <c r="F65" s="5">
        <f t="shared" si="41"/>
        <v>1.7239321671612302E-2</v>
      </c>
      <c r="G65" s="1"/>
      <c r="H65" s="1">
        <f>SUM(OSRRefH22_9x_0)</f>
        <v>1448.84</v>
      </c>
      <c r="I65" s="1"/>
      <c r="J65" s="5">
        <f t="shared" si="42"/>
        <v>0</v>
      </c>
      <c r="K65" s="1"/>
      <c r="L65" s="1">
        <f t="shared" si="43"/>
        <v>-384.23</v>
      </c>
      <c r="M65" s="1"/>
      <c r="N65" s="5">
        <f t="shared" si="44"/>
        <v>-0.26519836558902299</v>
      </c>
      <c r="O65" s="12"/>
      <c r="P65" s="1">
        <f>SUM(OSRRefP22_9x_0)</f>
        <v>6516.43</v>
      </c>
      <c r="Q65" s="1"/>
      <c r="R65" s="5">
        <f t="shared" si="45"/>
        <v>1.2570878699295449E-2</v>
      </c>
      <c r="S65" s="1"/>
      <c r="T65" s="1">
        <f>SUM(OSRRefT22_9x_0)</f>
        <v>26544.560000000001</v>
      </c>
      <c r="U65" s="1"/>
      <c r="V65" s="5">
        <f t="shared" si="46"/>
        <v>5.7461449617406376E-3</v>
      </c>
      <c r="W65" s="1"/>
      <c r="X65" s="1">
        <f t="shared" si="47"/>
        <v>-20028.13</v>
      </c>
      <c r="Y65" s="1"/>
      <c r="Z65" s="5">
        <f t="shared" si="48"/>
        <v>-0.75450977526091978</v>
      </c>
    </row>
    <row r="66" spans="1:26" s="23" customFormat="1" hidden="1" outlineLevel="2" x14ac:dyDescent="0.25">
      <c r="A66" s="27"/>
      <c r="B66" s="10" t="str">
        <f>CONCATENATE("          ", "6351", " - ", "EQUIPMENT RENTAL")</f>
        <v xml:space="preserve">          6351 - EQUIPMENT RENTAL</v>
      </c>
      <c r="C66" s="10"/>
      <c r="D66" s="6">
        <v>1064.6099999999999</v>
      </c>
      <c r="E66" s="2"/>
      <c r="F66" s="7">
        <f t="shared" si="41"/>
        <v>1.7239321671612302E-2</v>
      </c>
      <c r="G66" s="2"/>
      <c r="H66" s="6">
        <v>1448.84</v>
      </c>
      <c r="I66" s="2"/>
      <c r="J66" s="7">
        <f t="shared" si="42"/>
        <v>0</v>
      </c>
      <c r="K66" s="2"/>
      <c r="L66" s="6">
        <f t="shared" si="43"/>
        <v>-384.23</v>
      </c>
      <c r="M66" s="2"/>
      <c r="N66" s="7">
        <f t="shared" si="44"/>
        <v>-0.26519836558902299</v>
      </c>
      <c r="O66" s="10"/>
      <c r="P66" s="6">
        <v>6516.43</v>
      </c>
      <c r="Q66" s="2"/>
      <c r="R66" s="7">
        <f t="shared" si="45"/>
        <v>1.2570878699295449E-2</v>
      </c>
      <c r="S66" s="2"/>
      <c r="T66" s="6">
        <v>26544.560000000001</v>
      </c>
      <c r="U66" s="2"/>
      <c r="V66" s="7">
        <f t="shared" si="46"/>
        <v>5.7461449617406376E-3</v>
      </c>
      <c r="W66" s="2"/>
      <c r="X66" s="6">
        <f t="shared" si="47"/>
        <v>-20028.13</v>
      </c>
      <c r="Y66" s="2"/>
      <c r="Z66" s="7">
        <f t="shared" si="48"/>
        <v>-0.75450977526091978</v>
      </c>
    </row>
    <row r="67" spans="1:26" s="26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0</v>
      </c>
      <c r="E67" s="1"/>
      <c r="F67" s="5">
        <f t="shared" si="41"/>
        <v>0</v>
      </c>
      <c r="G67" s="1"/>
      <c r="H67" s="1">
        <f>SUM(OSRRefH22_10x_0)</f>
        <v>0.57999999999999996</v>
      </c>
      <c r="I67" s="1"/>
      <c r="J67" s="5">
        <f t="shared" si="42"/>
        <v>0</v>
      </c>
      <c r="K67" s="1"/>
      <c r="L67" s="1">
        <f t="shared" si="43"/>
        <v>-0.57999999999999996</v>
      </c>
      <c r="M67" s="1"/>
      <c r="N67" s="5">
        <f t="shared" si="44"/>
        <v>-1</v>
      </c>
      <c r="O67" s="12"/>
      <c r="P67" s="1">
        <f>SUM(OSRRefP22_10x_0)</f>
        <v>-2.4500000000000002</v>
      </c>
      <c r="Q67" s="1"/>
      <c r="R67" s="5">
        <f t="shared" si="45"/>
        <v>-4.7263076275313097E-6</v>
      </c>
      <c r="S67" s="1"/>
      <c r="T67" s="1">
        <f>SUM(OSRRefT22_10x_0)</f>
        <v>0.57999999999999996</v>
      </c>
      <c r="U67" s="1"/>
      <c r="V67" s="5">
        <f t="shared" si="46"/>
        <v>1.2555356268137687E-7</v>
      </c>
      <c r="W67" s="1"/>
      <c r="X67" s="1">
        <f t="shared" si="47"/>
        <v>-3.0300000000000002</v>
      </c>
      <c r="Y67" s="1"/>
      <c r="Z67" s="5">
        <f t="shared" si="48"/>
        <v>-5.224137931034484</v>
      </c>
    </row>
    <row r="68" spans="1:26" s="23" customFormat="1" hidden="1" outlineLevel="2" x14ac:dyDescent="0.25">
      <c r="A68" s="27"/>
      <c r="B68" s="10" t="str">
        <f>CONCATENATE("          ", "6307", " - ", "POSTAGE")</f>
        <v xml:space="preserve">          6307 - POSTAGE</v>
      </c>
      <c r="C68" s="10"/>
      <c r="D68" s="6"/>
      <c r="E68" s="2"/>
      <c r="F68" s="7">
        <f t="shared" si="41"/>
        <v>0</v>
      </c>
      <c r="G68" s="2"/>
      <c r="H68" s="6">
        <v>0.57999999999999996</v>
      </c>
      <c r="I68" s="2"/>
      <c r="J68" s="7">
        <f t="shared" si="42"/>
        <v>0</v>
      </c>
      <c r="K68" s="2"/>
      <c r="L68" s="6">
        <f t="shared" si="43"/>
        <v>-0.57999999999999996</v>
      </c>
      <c r="M68" s="2"/>
      <c r="N68" s="7">
        <f t="shared" si="44"/>
        <v>-1</v>
      </c>
      <c r="O68" s="10"/>
      <c r="P68" s="6">
        <v>-2.4500000000000002</v>
      </c>
      <c r="Q68" s="2"/>
      <c r="R68" s="7">
        <f t="shared" si="45"/>
        <v>-4.7263076275313097E-6</v>
      </c>
      <c r="S68" s="2"/>
      <c r="T68" s="6">
        <v>0.57999999999999996</v>
      </c>
      <c r="U68" s="2"/>
      <c r="V68" s="7">
        <f t="shared" si="46"/>
        <v>1.2555356268137687E-7</v>
      </c>
      <c r="W68" s="2"/>
      <c r="X68" s="6">
        <f t="shared" si="47"/>
        <v>-3.0300000000000002</v>
      </c>
      <c r="Y68" s="2"/>
      <c r="Z68" s="7">
        <f t="shared" si="48"/>
        <v>-5.224137931034484</v>
      </c>
    </row>
    <row r="69" spans="1:26" s="26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0</v>
      </c>
      <c r="E69" s="1"/>
      <c r="F69" s="5">
        <f t="shared" si="41"/>
        <v>0</v>
      </c>
      <c r="G69" s="1"/>
      <c r="H69" s="1">
        <f>SUM(OSRRefH22_11x_0)</f>
        <v>-1200</v>
      </c>
      <c r="I69" s="1"/>
      <c r="J69" s="5">
        <f t="shared" si="42"/>
        <v>0</v>
      </c>
      <c r="K69" s="1"/>
      <c r="L69" s="1">
        <f t="shared" si="43"/>
        <v>1200</v>
      </c>
      <c r="M69" s="1"/>
      <c r="N69" s="5">
        <f t="shared" si="44"/>
        <v>-1</v>
      </c>
      <c r="O69" s="12"/>
      <c r="P69" s="1">
        <f>SUM(OSRRefP22_11x_0)</f>
        <v>7630.48</v>
      </c>
      <c r="Q69" s="1"/>
      <c r="R69" s="5">
        <f t="shared" si="45"/>
        <v>1.4719998296214327E-2</v>
      </c>
      <c r="S69" s="1"/>
      <c r="T69" s="1">
        <f>SUM(OSRRefT22_11x_0)</f>
        <v>83587.350000000006</v>
      </c>
      <c r="U69" s="1"/>
      <c r="V69" s="5">
        <f t="shared" si="46"/>
        <v>1.8094292392405498E-2</v>
      </c>
      <c r="W69" s="1"/>
      <c r="X69" s="1">
        <f t="shared" si="47"/>
        <v>-75956.87000000001</v>
      </c>
      <c r="Y69" s="1"/>
      <c r="Z69" s="5">
        <f t="shared" si="48"/>
        <v>-0.90871250254972802</v>
      </c>
    </row>
    <row r="70" spans="1:26" s="23" customFormat="1" hidden="1" outlineLevel="2" x14ac:dyDescent="0.25">
      <c r="A70" s="27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41"/>
        <v>0</v>
      </c>
      <c r="G70" s="2"/>
      <c r="H70" s="6"/>
      <c r="I70" s="2"/>
      <c r="J70" s="7">
        <f t="shared" si="42"/>
        <v>0</v>
      </c>
      <c r="K70" s="2"/>
      <c r="L70" s="6">
        <f t="shared" si="43"/>
        <v>0</v>
      </c>
      <c r="M70" s="2"/>
      <c r="N70" s="7">
        <f t="shared" si="44"/>
        <v>0</v>
      </c>
      <c r="O70" s="10"/>
      <c r="P70" s="6"/>
      <c r="Q70" s="2"/>
      <c r="R70" s="7">
        <f t="shared" si="45"/>
        <v>0</v>
      </c>
      <c r="S70" s="2"/>
      <c r="T70" s="6">
        <v>10050</v>
      </c>
      <c r="U70" s="2"/>
      <c r="V70" s="7">
        <f t="shared" si="46"/>
        <v>2.1755401809445477E-3</v>
      </c>
      <c r="W70" s="2"/>
      <c r="X70" s="6">
        <f t="shared" si="47"/>
        <v>-10050</v>
      </c>
      <c r="Y70" s="2"/>
      <c r="Z70" s="7">
        <f t="shared" si="48"/>
        <v>-1</v>
      </c>
    </row>
    <row r="71" spans="1:26" s="23" customFormat="1" hidden="1" outlineLevel="2" x14ac:dyDescent="0.25">
      <c r="A71" s="27"/>
      <c r="B71" s="10" t="str">
        <f>CONCATENATE("          ", "6279", " - ", "GENERAL EXPENSE")</f>
        <v xml:space="preserve">          6279 - GENERAL EXPENSE</v>
      </c>
      <c r="C71" s="10"/>
      <c r="D71" s="6"/>
      <c r="E71" s="2"/>
      <c r="F71" s="7">
        <f t="shared" si="41"/>
        <v>0</v>
      </c>
      <c r="G71" s="2"/>
      <c r="H71" s="6">
        <v>-1200</v>
      </c>
      <c r="I71" s="2"/>
      <c r="J71" s="7">
        <f t="shared" si="42"/>
        <v>0</v>
      </c>
      <c r="K71" s="2"/>
      <c r="L71" s="6">
        <f t="shared" si="43"/>
        <v>1200</v>
      </c>
      <c r="M71" s="2"/>
      <c r="N71" s="7">
        <f t="shared" si="44"/>
        <v>-1</v>
      </c>
      <c r="O71" s="10"/>
      <c r="P71" s="6">
        <v>7630.48</v>
      </c>
      <c r="Q71" s="2"/>
      <c r="R71" s="7">
        <f t="shared" si="45"/>
        <v>1.4719998296214327E-2</v>
      </c>
      <c r="S71" s="2"/>
      <c r="T71" s="6">
        <v>73537.350000000006</v>
      </c>
      <c r="U71" s="2"/>
      <c r="V71" s="7">
        <f t="shared" si="46"/>
        <v>1.5918752211460951E-2</v>
      </c>
      <c r="W71" s="2"/>
      <c r="X71" s="6">
        <f t="shared" si="47"/>
        <v>-65906.87000000001</v>
      </c>
      <c r="Y71" s="2"/>
      <c r="Z71" s="7">
        <f t="shared" si="48"/>
        <v>-0.89623667428864384</v>
      </c>
    </row>
    <row r="72" spans="1:26" s="26" customFormat="1" outlineLevel="1" collapsed="1" x14ac:dyDescent="0.25">
      <c r="A72" s="25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4240.13</v>
      </c>
      <c r="E72" s="1"/>
      <c r="F72" s="5">
        <f t="shared" ref="F72:F84" si="49">IF(D$12=0,0,D72/D$12)</f>
        <v>6.8660791275165056E-2</v>
      </c>
      <c r="G72" s="1"/>
      <c r="H72" s="1">
        <f>SUM(OSRRefH22_12x_0)</f>
        <v>4240.13</v>
      </c>
      <c r="I72" s="1"/>
      <c r="J72" s="5">
        <f t="shared" ref="J72:J84" si="50">IF(H$12=0,0,H72/H$12)</f>
        <v>0</v>
      </c>
      <c r="K72" s="1"/>
      <c r="L72" s="1">
        <f t="shared" ref="L72:L84" si="51">+D72-H72</f>
        <v>0</v>
      </c>
      <c r="M72" s="1"/>
      <c r="N72" s="5">
        <f t="shared" ref="N72:N84" si="52">IF(H72=0,0,L72/H72)</f>
        <v>0</v>
      </c>
      <c r="O72" s="12"/>
      <c r="P72" s="1">
        <f>SUM(OSRRefP22_12x_0)</f>
        <v>52753.43</v>
      </c>
      <c r="Q72" s="1"/>
      <c r="R72" s="5">
        <f t="shared" ref="R72:R84" si="53">IF(P$12=0,0,P72/P$12)</f>
        <v>0.10176691370915877</v>
      </c>
      <c r="S72" s="1"/>
      <c r="T72" s="1">
        <f>SUM(OSRRefT22_12x_0)</f>
        <v>52402.43</v>
      </c>
      <c r="U72" s="1"/>
      <c r="V72" s="5">
        <f t="shared" ref="V72:V84" si="54">IF(T$12=0,0,T72/T$12)</f>
        <v>1.1343640999416317E-2</v>
      </c>
      <c r="W72" s="1"/>
      <c r="X72" s="1">
        <f t="shared" ref="X72:X84" si="55">+P72-T72</f>
        <v>351</v>
      </c>
      <c r="Y72" s="1"/>
      <c r="Z72" s="5">
        <f t="shared" ref="Z72:Z84" si="56">IF(T72=0,0,X72/T72)</f>
        <v>6.698162661540696E-3</v>
      </c>
    </row>
    <row r="73" spans="1:26" s="23" customFormat="1" hidden="1" outlineLevel="2" x14ac:dyDescent="0.25">
      <c r="A73" s="27"/>
      <c r="B73" s="10" t="str">
        <f>CONCATENATE("          ", "6314", " - ", "LIABILITY INSURANCE")</f>
        <v xml:space="preserve">          6314 - LIABILITY INSURANCE</v>
      </c>
      <c r="C73" s="10"/>
      <c r="D73" s="6">
        <v>4240.13</v>
      </c>
      <c r="E73" s="2"/>
      <c r="F73" s="7">
        <f t="shared" si="49"/>
        <v>6.8660791275165056E-2</v>
      </c>
      <c r="G73" s="2"/>
      <c r="H73" s="6">
        <v>4240.13</v>
      </c>
      <c r="I73" s="2"/>
      <c r="J73" s="7">
        <f t="shared" si="50"/>
        <v>0</v>
      </c>
      <c r="K73" s="2"/>
      <c r="L73" s="6">
        <f t="shared" si="51"/>
        <v>0</v>
      </c>
      <c r="M73" s="2"/>
      <c r="N73" s="7">
        <f t="shared" si="52"/>
        <v>0</v>
      </c>
      <c r="O73" s="10"/>
      <c r="P73" s="6">
        <v>52753.43</v>
      </c>
      <c r="Q73" s="2"/>
      <c r="R73" s="7">
        <f t="shared" si="53"/>
        <v>0.10176691370915877</v>
      </c>
      <c r="S73" s="2"/>
      <c r="T73" s="6">
        <v>52402.43</v>
      </c>
      <c r="U73" s="2"/>
      <c r="V73" s="7">
        <f t="shared" si="54"/>
        <v>1.1343640999416317E-2</v>
      </c>
      <c r="W73" s="2"/>
      <c r="X73" s="6">
        <f t="shared" si="55"/>
        <v>351</v>
      </c>
      <c r="Y73" s="2"/>
      <c r="Z73" s="7">
        <f t="shared" si="56"/>
        <v>6.698162661540696E-3</v>
      </c>
    </row>
    <row r="74" spans="1:26" s="26" customFormat="1" outlineLevel="1" collapsed="1" x14ac:dyDescent="0.25">
      <c r="A74" s="25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7510</v>
      </c>
      <c r="E74" s="1"/>
      <c r="F74" s="5">
        <f t="shared" si="49"/>
        <v>0.12161007857695155</v>
      </c>
      <c r="G74" s="1"/>
      <c r="H74" s="1">
        <f>SUM(OSRRefH22_13x_0)</f>
        <v>7754</v>
      </c>
      <c r="I74" s="1"/>
      <c r="J74" s="5">
        <f t="shared" si="50"/>
        <v>0</v>
      </c>
      <c r="K74" s="1"/>
      <c r="L74" s="1">
        <f t="shared" si="51"/>
        <v>-244</v>
      </c>
      <c r="M74" s="1"/>
      <c r="N74" s="5">
        <f t="shared" si="52"/>
        <v>-3.1467629610523601E-2</v>
      </c>
      <c r="O74" s="12"/>
      <c r="P74" s="1">
        <f>SUM(OSRRefP22_13x_0)</f>
        <v>80580.149999999994</v>
      </c>
      <c r="Q74" s="1"/>
      <c r="R74" s="5">
        <f t="shared" si="53"/>
        <v>0.15544758268270081</v>
      </c>
      <c r="S74" s="1"/>
      <c r="T74" s="1">
        <f>SUM(OSRRefT22_13x_0)</f>
        <v>82950.28</v>
      </c>
      <c r="U74" s="1"/>
      <c r="V74" s="5">
        <f t="shared" si="54"/>
        <v>1.795638479209959E-2</v>
      </c>
      <c r="W74" s="1"/>
      <c r="X74" s="1">
        <f t="shared" si="55"/>
        <v>-2370.1300000000047</v>
      </c>
      <c r="Y74" s="1"/>
      <c r="Z74" s="5">
        <f t="shared" si="56"/>
        <v>-2.8572899331985434E-2</v>
      </c>
    </row>
    <row r="75" spans="1:26" s="23" customFormat="1" hidden="1" outlineLevel="2" x14ac:dyDescent="0.25">
      <c r="A75" s="27"/>
      <c r="B75" s="10" t="str">
        <f>CONCATENATE("          ", "6401", " - ", "INTEREST EXPENSE")</f>
        <v xml:space="preserve">          6401 - INTEREST EXPENSE</v>
      </c>
      <c r="C75" s="10"/>
      <c r="D75" s="6">
        <v>7510</v>
      </c>
      <c r="E75" s="2"/>
      <c r="F75" s="7">
        <f t="shared" si="49"/>
        <v>0.12161007857695155</v>
      </c>
      <c r="G75" s="2"/>
      <c r="H75" s="6">
        <v>7754</v>
      </c>
      <c r="I75" s="2"/>
      <c r="J75" s="7">
        <f t="shared" si="50"/>
        <v>0</v>
      </c>
      <c r="K75" s="2"/>
      <c r="L75" s="6">
        <f t="shared" si="51"/>
        <v>-244</v>
      </c>
      <c r="M75" s="2"/>
      <c r="N75" s="7">
        <f t="shared" si="52"/>
        <v>-3.1467629610523601E-2</v>
      </c>
      <c r="O75" s="10"/>
      <c r="P75" s="6">
        <v>80580.149999999994</v>
      </c>
      <c r="Q75" s="2"/>
      <c r="R75" s="7">
        <f t="shared" si="53"/>
        <v>0.15544758268270081</v>
      </c>
      <c r="S75" s="2"/>
      <c r="T75" s="6">
        <v>82950.28</v>
      </c>
      <c r="U75" s="2"/>
      <c r="V75" s="7">
        <f t="shared" si="54"/>
        <v>1.795638479209959E-2</v>
      </c>
      <c r="W75" s="2"/>
      <c r="X75" s="6">
        <f t="shared" si="55"/>
        <v>-2370.1300000000047</v>
      </c>
      <c r="Y75" s="2"/>
      <c r="Z75" s="7">
        <f t="shared" si="56"/>
        <v>-2.8572899331985434E-2</v>
      </c>
    </row>
    <row r="76" spans="1:26" s="26" customFormat="1" outlineLevel="1" collapsed="1" x14ac:dyDescent="0.25">
      <c r="A76" s="25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49"/>
        <v>0</v>
      </c>
      <c r="G76" s="1"/>
      <c r="H76" s="1">
        <f>SUM(OSRRefH22_14x_0)</f>
        <v>0</v>
      </c>
      <c r="I76" s="1"/>
      <c r="J76" s="5">
        <f t="shared" si="50"/>
        <v>0</v>
      </c>
      <c r="K76" s="1"/>
      <c r="L76" s="1">
        <f t="shared" si="51"/>
        <v>0</v>
      </c>
      <c r="M76" s="1"/>
      <c r="N76" s="5">
        <f t="shared" si="52"/>
        <v>0</v>
      </c>
      <c r="O76" s="12"/>
      <c r="P76" s="1">
        <f>SUM(OSRRefP22_14x_0)</f>
        <v>0</v>
      </c>
      <c r="Q76" s="1"/>
      <c r="R76" s="5">
        <f t="shared" si="53"/>
        <v>0</v>
      </c>
      <c r="S76" s="1"/>
      <c r="T76" s="1">
        <f>SUM(OSRRefT22_14x_0)</f>
        <v>125</v>
      </c>
      <c r="U76" s="1"/>
      <c r="V76" s="5">
        <f t="shared" si="54"/>
        <v>2.7058957474434672E-5</v>
      </c>
      <c r="W76" s="1"/>
      <c r="X76" s="1">
        <f t="shared" si="55"/>
        <v>-125</v>
      </c>
      <c r="Y76" s="1"/>
      <c r="Z76" s="5">
        <f t="shared" si="56"/>
        <v>-1</v>
      </c>
    </row>
    <row r="77" spans="1:26" s="23" customFormat="1" hidden="1" outlineLevel="2" x14ac:dyDescent="0.25">
      <c r="A77" s="27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49"/>
        <v>0</v>
      </c>
      <c r="G77" s="2"/>
      <c r="H77" s="6"/>
      <c r="I77" s="2"/>
      <c r="J77" s="7">
        <f t="shared" si="50"/>
        <v>0</v>
      </c>
      <c r="K77" s="2"/>
      <c r="L77" s="6">
        <f t="shared" si="51"/>
        <v>0</v>
      </c>
      <c r="M77" s="2"/>
      <c r="N77" s="7">
        <f t="shared" si="52"/>
        <v>0</v>
      </c>
      <c r="O77" s="10"/>
      <c r="P77" s="6"/>
      <c r="Q77" s="2"/>
      <c r="R77" s="7">
        <f t="shared" si="53"/>
        <v>0</v>
      </c>
      <c r="S77" s="2"/>
      <c r="T77" s="6">
        <v>125</v>
      </c>
      <c r="U77" s="2"/>
      <c r="V77" s="7">
        <f t="shared" si="54"/>
        <v>2.7058957474434672E-5</v>
      </c>
      <c r="W77" s="2"/>
      <c r="X77" s="6">
        <f t="shared" si="55"/>
        <v>-125</v>
      </c>
      <c r="Y77" s="2"/>
      <c r="Z77" s="7">
        <f t="shared" si="56"/>
        <v>-1</v>
      </c>
    </row>
    <row r="78" spans="1:26" s="26" customFormat="1" outlineLevel="1" collapsed="1" x14ac:dyDescent="0.25">
      <c r="A78" s="25"/>
      <c r="B78" s="12" t="str">
        <f>CONCATENATE("     ","Rent                                              ")</f>
        <v xml:space="preserve">     Rent                                              </v>
      </c>
      <c r="C78" s="12"/>
      <c r="D78" s="1">
        <f>SUM(OSRRefD22_15x_0)</f>
        <v>1850</v>
      </c>
      <c r="E78" s="1"/>
      <c r="F78" s="5">
        <f t="shared" si="49"/>
        <v>2.9957209769288999E-2</v>
      </c>
      <c r="G78" s="1"/>
      <c r="H78" s="1">
        <f>SUM(OSRRefH22_15x_0)</f>
        <v>1850</v>
      </c>
      <c r="I78" s="1"/>
      <c r="J78" s="5">
        <f t="shared" si="50"/>
        <v>0</v>
      </c>
      <c r="K78" s="1"/>
      <c r="L78" s="1">
        <f t="shared" si="51"/>
        <v>0</v>
      </c>
      <c r="M78" s="1"/>
      <c r="N78" s="5">
        <f t="shared" si="52"/>
        <v>0</v>
      </c>
      <c r="O78" s="12"/>
      <c r="P78" s="1">
        <f>SUM(OSRRefP22_15x_0)</f>
        <v>14800</v>
      </c>
      <c r="Q78" s="1"/>
      <c r="R78" s="5">
        <f t="shared" si="53"/>
        <v>2.8550756280597295E-2</v>
      </c>
      <c r="S78" s="1"/>
      <c r="T78" s="1">
        <f>SUM(OSRRefT22_15x_0)</f>
        <v>20350</v>
      </c>
      <c r="U78" s="1"/>
      <c r="V78" s="5">
        <f t="shared" si="54"/>
        <v>4.4051982768379648E-3</v>
      </c>
      <c r="W78" s="1"/>
      <c r="X78" s="1">
        <f t="shared" si="55"/>
        <v>-5550</v>
      </c>
      <c r="Y78" s="1"/>
      <c r="Z78" s="5">
        <f t="shared" si="56"/>
        <v>-0.27272727272727271</v>
      </c>
    </row>
    <row r="79" spans="1:26" s="23" customFormat="1" hidden="1" outlineLevel="2" x14ac:dyDescent="0.25">
      <c r="A79" s="27"/>
      <c r="B79" s="10" t="str">
        <f>CONCATENATE("          ", "6273", " - ", "RENT")</f>
        <v xml:space="preserve">          6273 - RENT</v>
      </c>
      <c r="C79" s="10"/>
      <c r="D79" s="6">
        <v>1850</v>
      </c>
      <c r="E79" s="2"/>
      <c r="F79" s="7">
        <f t="shared" si="49"/>
        <v>2.9957209769288999E-2</v>
      </c>
      <c r="G79" s="2"/>
      <c r="H79" s="6">
        <v>1850</v>
      </c>
      <c r="I79" s="2"/>
      <c r="J79" s="7">
        <f t="shared" si="50"/>
        <v>0</v>
      </c>
      <c r="K79" s="2"/>
      <c r="L79" s="6">
        <f t="shared" si="51"/>
        <v>0</v>
      </c>
      <c r="M79" s="2"/>
      <c r="N79" s="7">
        <f t="shared" si="52"/>
        <v>0</v>
      </c>
      <c r="O79" s="10"/>
      <c r="P79" s="6">
        <v>14800</v>
      </c>
      <c r="Q79" s="2"/>
      <c r="R79" s="7">
        <f t="shared" si="53"/>
        <v>2.8550756280597295E-2</v>
      </c>
      <c r="S79" s="2"/>
      <c r="T79" s="6">
        <v>20350</v>
      </c>
      <c r="U79" s="2"/>
      <c r="V79" s="7">
        <f t="shared" si="54"/>
        <v>4.4051982768379648E-3</v>
      </c>
      <c r="W79" s="2"/>
      <c r="X79" s="6">
        <f t="shared" si="55"/>
        <v>-5550</v>
      </c>
      <c r="Y79" s="2"/>
      <c r="Z79" s="7">
        <f t="shared" si="56"/>
        <v>-0.27272727272727271</v>
      </c>
    </row>
    <row r="80" spans="1:26" s="26" customFormat="1" outlineLevel="1" collapsed="1" x14ac:dyDescent="0.25">
      <c r="A80" s="25"/>
      <c r="B80" s="12" t="str">
        <f>CONCATENATE("     ","Repair and Maintenance                            ")</f>
        <v xml:space="preserve">     Repair and Maintenance                            </v>
      </c>
      <c r="C80" s="12"/>
      <c r="D80" s="1">
        <f>SUM(OSRRefD22_16x_0)</f>
        <v>8411.0500000000011</v>
      </c>
      <c r="E80" s="1"/>
      <c r="F80" s="5">
        <f t="shared" si="49"/>
        <v>0.13620085904323148</v>
      </c>
      <c r="G80" s="1"/>
      <c r="H80" s="1">
        <f>SUM(OSRRefH22_16x_0)</f>
        <v>7798.16</v>
      </c>
      <c r="I80" s="1"/>
      <c r="J80" s="5">
        <f t="shared" si="50"/>
        <v>0</v>
      </c>
      <c r="K80" s="1"/>
      <c r="L80" s="1">
        <f t="shared" si="51"/>
        <v>612.89000000000124</v>
      </c>
      <c r="M80" s="1"/>
      <c r="N80" s="5">
        <f t="shared" si="52"/>
        <v>7.8594181191460707E-2</v>
      </c>
      <c r="O80" s="12"/>
      <c r="P80" s="1">
        <f>SUM(OSRRefP22_16x_0)</f>
        <v>52317.709999999992</v>
      </c>
      <c r="Q80" s="1"/>
      <c r="R80" s="5">
        <f t="shared" si="53"/>
        <v>0.10092636401141673</v>
      </c>
      <c r="S80" s="1"/>
      <c r="T80" s="1">
        <f>SUM(OSRRefT22_16x_0)</f>
        <v>226371.27000000002</v>
      </c>
      <c r="U80" s="1"/>
      <c r="V80" s="5">
        <f t="shared" si="54"/>
        <v>4.9002964546910159E-2</v>
      </c>
      <c r="W80" s="1"/>
      <c r="X80" s="1">
        <f t="shared" si="55"/>
        <v>-174053.56000000003</v>
      </c>
      <c r="Y80" s="1"/>
      <c r="Z80" s="5">
        <f t="shared" si="56"/>
        <v>-0.7688853801986445</v>
      </c>
    </row>
    <row r="81" spans="1:26" s="23" customFormat="1" hidden="1" outlineLevel="2" x14ac:dyDescent="0.25">
      <c r="A81" s="27"/>
      <c r="B81" s="10" t="str">
        <f>CONCATENATE("          ", "6371", " - ", "COMPUTER SOFTWARE MAINTENANCE")</f>
        <v xml:space="preserve">          6371 - COMPUTER SOFTWARE MAINTENANCE</v>
      </c>
      <c r="C81" s="10"/>
      <c r="D81" s="6">
        <v>8257.2000000000007</v>
      </c>
      <c r="E81" s="2"/>
      <c r="F81" s="7">
        <f t="shared" si="49"/>
        <v>0.13370955270647197</v>
      </c>
      <c r="G81" s="2"/>
      <c r="H81" s="6"/>
      <c r="I81" s="2"/>
      <c r="J81" s="7">
        <f t="shared" si="50"/>
        <v>0</v>
      </c>
      <c r="K81" s="2"/>
      <c r="L81" s="6">
        <f t="shared" si="51"/>
        <v>8257.2000000000007</v>
      </c>
      <c r="M81" s="2"/>
      <c r="N81" s="7">
        <f t="shared" si="52"/>
        <v>0</v>
      </c>
      <c r="O81" s="10"/>
      <c r="P81" s="6">
        <v>8959.4699999999993</v>
      </c>
      <c r="Q81" s="2"/>
      <c r="R81" s="7">
        <f t="shared" si="53"/>
        <v>1.7283759754954258E-2</v>
      </c>
      <c r="S81" s="2"/>
      <c r="T81" s="6">
        <v>10932.69</v>
      </c>
      <c r="U81" s="2"/>
      <c r="V81" s="7">
        <f t="shared" si="54"/>
        <v>2.3666175503294176E-3</v>
      </c>
      <c r="W81" s="2"/>
      <c r="X81" s="6">
        <f t="shared" si="55"/>
        <v>-1973.2200000000012</v>
      </c>
      <c r="Y81" s="2"/>
      <c r="Z81" s="7">
        <f t="shared" si="56"/>
        <v>-0.1804880592059229</v>
      </c>
    </row>
    <row r="82" spans="1:26" s="23" customFormat="1" hidden="1" outlineLevel="2" x14ac:dyDescent="0.25">
      <c r="A82" s="27"/>
      <c r="B82" s="10" t="str">
        <f>CONCATENATE("          ", "6372", " - ", "COMPUTER HARDWARE MAINTENANCE")</f>
        <v xml:space="preserve">          6372 - COMPUTER HARDWARE MAINTENANCE</v>
      </c>
      <c r="C82" s="10"/>
      <c r="D82" s="6"/>
      <c r="E82" s="2"/>
      <c r="F82" s="7">
        <f t="shared" si="49"/>
        <v>0</v>
      </c>
      <c r="G82" s="2"/>
      <c r="H82" s="6"/>
      <c r="I82" s="2"/>
      <c r="J82" s="7">
        <f t="shared" si="50"/>
        <v>0</v>
      </c>
      <c r="K82" s="2"/>
      <c r="L82" s="6">
        <f t="shared" si="51"/>
        <v>0</v>
      </c>
      <c r="M82" s="2"/>
      <c r="N82" s="7">
        <f t="shared" si="52"/>
        <v>0</v>
      </c>
      <c r="O82" s="10"/>
      <c r="P82" s="6">
        <v>100</v>
      </c>
      <c r="Q82" s="2"/>
      <c r="R82" s="7">
        <f t="shared" si="53"/>
        <v>1.9291051540944119E-4</v>
      </c>
      <c r="S82" s="2"/>
      <c r="T82" s="6">
        <v>8142.87</v>
      </c>
      <c r="U82" s="2"/>
      <c r="V82" s="7">
        <f t="shared" si="54"/>
        <v>1.7627005843987987E-3</v>
      </c>
      <c r="W82" s="2"/>
      <c r="X82" s="6">
        <f t="shared" si="55"/>
        <v>-8042.87</v>
      </c>
      <c r="Y82" s="2"/>
      <c r="Z82" s="7">
        <f t="shared" si="56"/>
        <v>-0.98771931763616516</v>
      </c>
    </row>
    <row r="83" spans="1:26" s="23" customFormat="1" hidden="1" outlineLevel="2" x14ac:dyDescent="0.25">
      <c r="A83" s="27"/>
      <c r="B83" s="10" t="str">
        <f>CONCATENATE("          ", "6373", " - ", "MAINTENANCE CONTRACTS")</f>
        <v xml:space="preserve">          6373 - MAINTENANCE CONTRACTS</v>
      </c>
      <c r="C83" s="10"/>
      <c r="D83" s="6"/>
      <c r="E83" s="2"/>
      <c r="F83" s="7">
        <f t="shared" si="49"/>
        <v>0</v>
      </c>
      <c r="G83" s="2"/>
      <c r="H83" s="6">
        <v>6801.32</v>
      </c>
      <c r="I83" s="2"/>
      <c r="J83" s="7">
        <f t="shared" si="50"/>
        <v>0</v>
      </c>
      <c r="K83" s="2"/>
      <c r="L83" s="6">
        <f t="shared" si="51"/>
        <v>-6801.32</v>
      </c>
      <c r="M83" s="2"/>
      <c r="N83" s="7">
        <f t="shared" si="52"/>
        <v>-1</v>
      </c>
      <c r="O83" s="10"/>
      <c r="P83" s="6">
        <v>18223.8</v>
      </c>
      <c r="Q83" s="2"/>
      <c r="R83" s="7">
        <f t="shared" si="53"/>
        <v>3.515562650718574E-2</v>
      </c>
      <c r="S83" s="2"/>
      <c r="T83" s="6">
        <v>93257.24</v>
      </c>
      <c r="U83" s="2"/>
      <c r="V83" s="7">
        <f t="shared" si="54"/>
        <v>2.0187549530745186E-2</v>
      </c>
      <c r="W83" s="2"/>
      <c r="X83" s="6">
        <f t="shared" si="55"/>
        <v>-75033.440000000002</v>
      </c>
      <c r="Y83" s="2"/>
      <c r="Z83" s="7">
        <f t="shared" si="56"/>
        <v>-0.80458568149775822</v>
      </c>
    </row>
    <row r="84" spans="1:26" s="23" customFormat="1" hidden="1" outlineLevel="2" x14ac:dyDescent="0.25">
      <c r="A84" s="27"/>
      <c r="B84" s="10" t="str">
        <f>CONCATENATE("          ", "6375", " - ", "OUTSIDE REPAIRS &amp; MAINTENANCE")</f>
        <v xml:space="preserve">          6375 - OUTSIDE REPAIRS &amp; MAINTENANCE</v>
      </c>
      <c r="C84" s="10"/>
      <c r="D84" s="6">
        <v>153.85</v>
      </c>
      <c r="E84" s="2"/>
      <c r="F84" s="7">
        <f t="shared" si="49"/>
        <v>2.49130633675952E-3</v>
      </c>
      <c r="G84" s="2"/>
      <c r="H84" s="6">
        <v>996.84</v>
      </c>
      <c r="I84" s="2"/>
      <c r="J84" s="7">
        <f t="shared" si="50"/>
        <v>0</v>
      </c>
      <c r="K84" s="2"/>
      <c r="L84" s="6">
        <f t="shared" si="51"/>
        <v>-842.99</v>
      </c>
      <c r="M84" s="2"/>
      <c r="N84" s="7">
        <f t="shared" si="52"/>
        <v>-0.84566229284539141</v>
      </c>
      <c r="O84" s="10"/>
      <c r="P84" s="6">
        <v>25034.44</v>
      </c>
      <c r="Q84" s="2"/>
      <c r="R84" s="7">
        <f t="shared" si="53"/>
        <v>4.8294067233867304E-2</v>
      </c>
      <c r="S84" s="2"/>
      <c r="T84" s="6">
        <v>114038.47</v>
      </c>
      <c r="U84" s="2"/>
      <c r="V84" s="7">
        <f t="shared" si="54"/>
        <v>2.4686096881436755E-2</v>
      </c>
      <c r="W84" s="2"/>
      <c r="X84" s="6">
        <f t="shared" si="55"/>
        <v>-89004.03</v>
      </c>
      <c r="Y84" s="2"/>
      <c r="Z84" s="7">
        <f t="shared" si="56"/>
        <v>-0.78047372961071815</v>
      </c>
    </row>
    <row r="85" spans="1:26" s="26" customFormat="1" outlineLevel="1" collapsed="1" x14ac:dyDescent="0.25">
      <c r="A85" s="25"/>
      <c r="B85" s="12" t="str">
        <f>CONCATENATE("     ","Royalty &amp; Commissions                             ")</f>
        <v xml:space="preserve">     Royalty &amp; Commissions                             </v>
      </c>
      <c r="C85" s="12"/>
      <c r="D85" s="1">
        <f>SUM(OSRRefD22_17x_0)</f>
        <v>0</v>
      </c>
      <c r="E85" s="1"/>
      <c r="F85" s="5">
        <f t="shared" ref="F85:F87" si="57">IF(D$12=0,0,D85/D$12)</f>
        <v>0</v>
      </c>
      <c r="G85" s="1"/>
      <c r="H85" s="1">
        <f>SUM(OSRRefH22_17x_0)</f>
        <v>0</v>
      </c>
      <c r="I85" s="1"/>
      <c r="J85" s="5">
        <f t="shared" ref="J85:J87" si="58">IF(H$12=0,0,H85/H$12)</f>
        <v>0</v>
      </c>
      <c r="K85" s="1"/>
      <c r="L85" s="1">
        <f t="shared" ref="L85:L87" si="59">+D85-H85</f>
        <v>0</v>
      </c>
      <c r="M85" s="1"/>
      <c r="N85" s="5">
        <f t="shared" ref="N85:N87" si="60">IF(H85=0,0,L85/H85)</f>
        <v>0</v>
      </c>
      <c r="O85" s="12"/>
      <c r="P85" s="1">
        <f>SUM(OSRRefP22_17x_0)</f>
        <v>0</v>
      </c>
      <c r="Q85" s="1"/>
      <c r="R85" s="5">
        <f t="shared" ref="R85:R87" si="61">IF(P$12=0,0,P85/P$12)</f>
        <v>0</v>
      </c>
      <c r="S85" s="1"/>
      <c r="T85" s="1">
        <f>SUM(OSRRefT22_17x_0)</f>
        <v>233763.47</v>
      </c>
      <c r="U85" s="1"/>
      <c r="V85" s="5">
        <f t="shared" ref="V85:V87" si="62">IF(T$12=0,0,T85/T$12)</f>
        <v>5.0603166350450285E-2</v>
      </c>
      <c r="W85" s="1"/>
      <c r="X85" s="1">
        <f t="shared" ref="X85:X87" si="63">+P85-T85</f>
        <v>-233763.47</v>
      </c>
      <c r="Y85" s="1"/>
      <c r="Z85" s="5">
        <f t="shared" ref="Z85:Z87" si="64">IF(T85=0,0,X85/T85)</f>
        <v>-1</v>
      </c>
    </row>
    <row r="86" spans="1:26" s="23" customFormat="1" hidden="1" outlineLevel="2" x14ac:dyDescent="0.25">
      <c r="A86" s="27"/>
      <c r="B86" s="10" t="str">
        <f>CONCATENATE("          ", "6254", " - ", "ROYALTY &amp; COMMISSIONS")</f>
        <v xml:space="preserve">          6254 - ROYALTY &amp; COMMISSIONS</v>
      </c>
      <c r="C86" s="10"/>
      <c r="D86" s="6"/>
      <c r="E86" s="2"/>
      <c r="F86" s="7">
        <f t="shared" si="57"/>
        <v>0</v>
      </c>
      <c r="G86" s="2"/>
      <c r="H86" s="6"/>
      <c r="I86" s="2"/>
      <c r="J86" s="7">
        <f t="shared" si="58"/>
        <v>0</v>
      </c>
      <c r="K86" s="2"/>
      <c r="L86" s="6">
        <f t="shared" si="59"/>
        <v>0</v>
      </c>
      <c r="M86" s="2"/>
      <c r="N86" s="7">
        <f t="shared" si="60"/>
        <v>0</v>
      </c>
      <c r="O86" s="10"/>
      <c r="P86" s="6"/>
      <c r="Q86" s="2"/>
      <c r="R86" s="7">
        <f t="shared" si="61"/>
        <v>0</v>
      </c>
      <c r="S86" s="2"/>
      <c r="T86" s="6">
        <v>129093.51</v>
      </c>
      <c r="U86" s="2"/>
      <c r="V86" s="7">
        <f t="shared" si="62"/>
        <v>2.7945086378524057E-2</v>
      </c>
      <c r="W86" s="2"/>
      <c r="X86" s="6">
        <f t="shared" si="63"/>
        <v>-129093.51</v>
      </c>
      <c r="Y86" s="2"/>
      <c r="Z86" s="7">
        <f t="shared" si="64"/>
        <v>-1</v>
      </c>
    </row>
    <row r="87" spans="1:26" s="23" customFormat="1" hidden="1" outlineLevel="2" x14ac:dyDescent="0.25">
      <c r="A87" s="27"/>
      <c r="B87" s="10" t="str">
        <f>CONCATENATE("          ", "6259", " - ", "ROYALTY &amp; COMMISSIONS")</f>
        <v xml:space="preserve">          6259 - ROYALTY &amp; COMMISSIONS</v>
      </c>
      <c r="C87" s="10"/>
      <c r="D87" s="6"/>
      <c r="E87" s="2"/>
      <c r="F87" s="7">
        <f t="shared" si="57"/>
        <v>0</v>
      </c>
      <c r="G87" s="2"/>
      <c r="H87" s="6"/>
      <c r="I87" s="2"/>
      <c r="J87" s="7">
        <f t="shared" si="58"/>
        <v>0</v>
      </c>
      <c r="K87" s="2"/>
      <c r="L87" s="6">
        <f t="shared" si="59"/>
        <v>0</v>
      </c>
      <c r="M87" s="2"/>
      <c r="N87" s="7">
        <f t="shared" si="60"/>
        <v>0</v>
      </c>
      <c r="O87" s="10"/>
      <c r="P87" s="6"/>
      <c r="Q87" s="2"/>
      <c r="R87" s="7">
        <f t="shared" si="61"/>
        <v>0</v>
      </c>
      <c r="S87" s="2"/>
      <c r="T87" s="6">
        <v>104669.96</v>
      </c>
      <c r="U87" s="2"/>
      <c r="V87" s="7">
        <f t="shared" si="62"/>
        <v>2.2658079971926228E-2</v>
      </c>
      <c r="W87" s="2"/>
      <c r="X87" s="6">
        <f t="shared" si="63"/>
        <v>-104669.96</v>
      </c>
      <c r="Y87" s="2"/>
      <c r="Z87" s="7">
        <f t="shared" si="64"/>
        <v>-1</v>
      </c>
    </row>
    <row r="88" spans="1:26" s="26" customFormat="1" outlineLevel="1" collapsed="1" x14ac:dyDescent="0.25">
      <c r="A88" s="25"/>
      <c r="B88" s="12" t="str">
        <f>CONCATENATE("     ","Services                                          ")</f>
        <v xml:space="preserve">     Services                                          </v>
      </c>
      <c r="C88" s="12"/>
      <c r="D88" s="1">
        <f>SUM(OSRRefD22_18x_0)</f>
        <v>9165.6200000000008</v>
      </c>
      <c r="E88" s="1"/>
      <c r="F88" s="5">
        <f t="shared" ref="F88:F93" si="65">IF(D$12=0,0,D88/D$12)</f>
        <v>0.14841967621923818</v>
      </c>
      <c r="G88" s="1"/>
      <c r="H88" s="1">
        <f>SUM(OSRRefH22_18x_0)</f>
        <v>5130</v>
      </c>
      <c r="I88" s="1"/>
      <c r="J88" s="5">
        <f t="shared" ref="J88:J93" si="66">IF(H$12=0,0,H88/H$12)</f>
        <v>0</v>
      </c>
      <c r="K88" s="1"/>
      <c r="L88" s="1">
        <f t="shared" ref="L88:L93" si="67">+D88-H88</f>
        <v>4035.6200000000008</v>
      </c>
      <c r="M88" s="1"/>
      <c r="N88" s="5">
        <f t="shared" ref="N88:N93" si="68">IF(H88=0,0,L88/H88)</f>
        <v>0.78667056530214441</v>
      </c>
      <c r="O88" s="12"/>
      <c r="P88" s="1">
        <f>SUM(OSRRefP22_18x_0)</f>
        <v>64046.85</v>
      </c>
      <c r="Q88" s="1"/>
      <c r="R88" s="5">
        <f t="shared" ref="R88:R93" si="69">IF(P$12=0,0,P88/P$12)</f>
        <v>0.12355310843851168</v>
      </c>
      <c r="S88" s="1"/>
      <c r="T88" s="1">
        <f>SUM(OSRRefT22_18x_0)</f>
        <v>217916.03999999998</v>
      </c>
      <c r="U88" s="1"/>
      <c r="V88" s="5">
        <f t="shared" ref="V88:V93" si="70">IF(T$12=0,0,T88/T$12)</f>
        <v>4.7172646874857636E-2</v>
      </c>
      <c r="W88" s="1"/>
      <c r="X88" s="1">
        <f t="shared" ref="X88:X93" si="71">+P88-T88</f>
        <v>-153869.18999999997</v>
      </c>
      <c r="Y88" s="1"/>
      <c r="Z88" s="5">
        <f t="shared" ref="Z88:Z93" si="72">IF(T88=0,0,X88/T88)</f>
        <v>-0.70609391580353598</v>
      </c>
    </row>
    <row r="89" spans="1:26" s="23" customFormat="1" hidden="1" outlineLevel="2" x14ac:dyDescent="0.25">
      <c r="A89" s="27"/>
      <c r="B89" s="10" t="str">
        <f>CONCATENATE("          ", "6282", " - ", "JANITORIAL/EXTERMINATOR EXPENS")</f>
        <v xml:space="preserve">          6282 - JANITORIAL/EXTERMINATOR EXPENS</v>
      </c>
      <c r="C89" s="10"/>
      <c r="D89" s="6">
        <v>650.1</v>
      </c>
      <c r="E89" s="2"/>
      <c r="F89" s="7">
        <f t="shared" si="65"/>
        <v>1.0527125443791772E-2</v>
      </c>
      <c r="G89" s="2"/>
      <c r="H89" s="6"/>
      <c r="I89" s="2"/>
      <c r="J89" s="7">
        <f t="shared" si="66"/>
        <v>0</v>
      </c>
      <c r="K89" s="2"/>
      <c r="L89" s="6">
        <f t="shared" si="67"/>
        <v>650.1</v>
      </c>
      <c r="M89" s="2"/>
      <c r="N89" s="7">
        <f t="shared" si="68"/>
        <v>0</v>
      </c>
      <c r="O89" s="10"/>
      <c r="P89" s="6">
        <v>10765.53</v>
      </c>
      <c r="Q89" s="2"/>
      <c r="R89" s="7">
        <f t="shared" si="69"/>
        <v>2.0767839409558016E-2</v>
      </c>
      <c r="S89" s="2"/>
      <c r="T89" s="6">
        <v>12678.74</v>
      </c>
      <c r="U89" s="2"/>
      <c r="V89" s="7">
        <f t="shared" si="70"/>
        <v>2.7445878919153109E-3</v>
      </c>
      <c r="W89" s="2"/>
      <c r="X89" s="6">
        <f t="shared" si="71"/>
        <v>-1913.2099999999991</v>
      </c>
      <c r="Y89" s="2"/>
      <c r="Z89" s="7">
        <f t="shared" si="72"/>
        <v>-0.15089906410258425</v>
      </c>
    </row>
    <row r="90" spans="1:26" s="23" customFormat="1" hidden="1" outlineLevel="2" x14ac:dyDescent="0.25">
      <c r="A90" s="27"/>
      <c r="B90" s="10" t="str">
        <f>CONCATENATE("          ", "6283", " - ", "PLANT SERVICE")</f>
        <v xml:space="preserve">          6283 - PLANT SERVICE</v>
      </c>
      <c r="C90" s="10"/>
      <c r="D90" s="6"/>
      <c r="E90" s="2"/>
      <c r="F90" s="7">
        <f t="shared" si="65"/>
        <v>0</v>
      </c>
      <c r="G90" s="2"/>
      <c r="H90" s="6"/>
      <c r="I90" s="2"/>
      <c r="J90" s="7">
        <f t="shared" si="66"/>
        <v>0</v>
      </c>
      <c r="K90" s="2"/>
      <c r="L90" s="6">
        <f t="shared" si="67"/>
        <v>0</v>
      </c>
      <c r="M90" s="2"/>
      <c r="N90" s="7">
        <f t="shared" si="68"/>
        <v>0</v>
      </c>
      <c r="O90" s="10"/>
      <c r="P90" s="6"/>
      <c r="Q90" s="2"/>
      <c r="R90" s="7">
        <f t="shared" si="69"/>
        <v>0</v>
      </c>
      <c r="S90" s="2"/>
      <c r="T90" s="6">
        <v>1798.02</v>
      </c>
      <c r="U90" s="2"/>
      <c r="V90" s="7">
        <f t="shared" si="70"/>
        <v>3.8922037374546423E-4</v>
      </c>
      <c r="W90" s="2"/>
      <c r="X90" s="6">
        <f t="shared" si="71"/>
        <v>-1798.02</v>
      </c>
      <c r="Y90" s="2"/>
      <c r="Z90" s="7">
        <f t="shared" si="72"/>
        <v>-1</v>
      </c>
    </row>
    <row r="91" spans="1:26" s="23" customFormat="1" hidden="1" outlineLevel="2" x14ac:dyDescent="0.25">
      <c r="A91" s="27"/>
      <c r="B91" s="10" t="str">
        <f>CONCATENATE("          ", "6284", " - ", "TRASH REMOVAL EXPENSE")</f>
        <v xml:space="preserve">          6284 - TRASH REMOVAL EXPENSE</v>
      </c>
      <c r="C91" s="10"/>
      <c r="D91" s="6">
        <v>5130</v>
      </c>
      <c r="E91" s="2"/>
      <c r="F91" s="7">
        <f t="shared" si="65"/>
        <v>8.307053303592031E-2</v>
      </c>
      <c r="G91" s="2"/>
      <c r="H91" s="6">
        <v>5130</v>
      </c>
      <c r="I91" s="2"/>
      <c r="J91" s="7">
        <f t="shared" si="66"/>
        <v>0</v>
      </c>
      <c r="K91" s="2"/>
      <c r="L91" s="6">
        <f t="shared" si="67"/>
        <v>0</v>
      </c>
      <c r="M91" s="2"/>
      <c r="N91" s="7">
        <f t="shared" si="68"/>
        <v>0</v>
      </c>
      <c r="O91" s="10"/>
      <c r="P91" s="6">
        <v>31142</v>
      </c>
      <c r="Q91" s="2"/>
      <c r="R91" s="7">
        <f t="shared" si="69"/>
        <v>6.0076192708808172E-2</v>
      </c>
      <c r="S91" s="2"/>
      <c r="T91" s="6">
        <v>48541</v>
      </c>
      <c r="U91" s="2"/>
      <c r="V91" s="7">
        <f t="shared" si="70"/>
        <v>1.0507750838132268E-2</v>
      </c>
      <c r="W91" s="2"/>
      <c r="X91" s="6">
        <f t="shared" si="71"/>
        <v>-17399</v>
      </c>
      <c r="Y91" s="2"/>
      <c r="Z91" s="7">
        <f t="shared" si="72"/>
        <v>-0.35843925753486744</v>
      </c>
    </row>
    <row r="92" spans="1:26" s="23" customFormat="1" hidden="1" outlineLevel="2" x14ac:dyDescent="0.25">
      <c r="A92" s="27"/>
      <c r="B92" s="10" t="str">
        <f>CONCATENATE("          ", "6285", " - ", "JANITORIAL SERVICES")</f>
        <v xml:space="preserve">          6285 - JANITORIAL SERVICES</v>
      </c>
      <c r="C92" s="10"/>
      <c r="D92" s="6">
        <v>3385.52</v>
      </c>
      <c r="E92" s="2"/>
      <c r="F92" s="7">
        <f t="shared" si="65"/>
        <v>5.4822017739526101E-2</v>
      </c>
      <c r="G92" s="2"/>
      <c r="H92" s="6"/>
      <c r="I92" s="2"/>
      <c r="J92" s="7">
        <f t="shared" si="66"/>
        <v>0</v>
      </c>
      <c r="K92" s="2"/>
      <c r="L92" s="6">
        <f t="shared" si="67"/>
        <v>3385.52</v>
      </c>
      <c r="M92" s="2"/>
      <c r="N92" s="7">
        <f t="shared" si="68"/>
        <v>0</v>
      </c>
      <c r="O92" s="10"/>
      <c r="P92" s="6">
        <v>21234.61</v>
      </c>
      <c r="Q92" s="2"/>
      <c r="R92" s="7">
        <f t="shared" si="69"/>
        <v>4.0963795596184738E-2</v>
      </c>
      <c r="S92" s="2"/>
      <c r="T92" s="6">
        <v>127887.67</v>
      </c>
      <c r="U92" s="2"/>
      <c r="V92" s="7">
        <f t="shared" si="70"/>
        <v>2.7684056192276277E-2</v>
      </c>
      <c r="W92" s="2"/>
      <c r="X92" s="6">
        <f t="shared" si="71"/>
        <v>-106653.06</v>
      </c>
      <c r="Y92" s="2"/>
      <c r="Z92" s="7">
        <f t="shared" si="72"/>
        <v>-0.83395889533369405</v>
      </c>
    </row>
    <row r="93" spans="1:26" s="23" customFormat="1" hidden="1" outlineLevel="2" x14ac:dyDescent="0.25">
      <c r="A93" s="27"/>
      <c r="B93" s="10" t="str">
        <f>CONCATENATE("          ", "6286", " - ", "LAUNDRY EXPENSE")</f>
        <v xml:space="preserve">          6286 - LAUNDRY EXPENSE</v>
      </c>
      <c r="C93" s="10"/>
      <c r="D93" s="6"/>
      <c r="E93" s="2"/>
      <c r="F93" s="7">
        <f t="shared" si="65"/>
        <v>0</v>
      </c>
      <c r="G93" s="2"/>
      <c r="H93" s="6"/>
      <c r="I93" s="2"/>
      <c r="J93" s="7">
        <f t="shared" si="66"/>
        <v>0</v>
      </c>
      <c r="K93" s="2"/>
      <c r="L93" s="6">
        <f t="shared" si="67"/>
        <v>0</v>
      </c>
      <c r="M93" s="2"/>
      <c r="N93" s="7">
        <f t="shared" si="68"/>
        <v>0</v>
      </c>
      <c r="O93" s="10"/>
      <c r="P93" s="6">
        <v>904.71</v>
      </c>
      <c r="Q93" s="2"/>
      <c r="R93" s="7">
        <f t="shared" si="69"/>
        <v>1.7452807239607554E-3</v>
      </c>
      <c r="S93" s="2"/>
      <c r="T93" s="6">
        <v>27010.61</v>
      </c>
      <c r="U93" s="2"/>
      <c r="V93" s="7">
        <f t="shared" si="70"/>
        <v>5.8470315787883193E-3</v>
      </c>
      <c r="W93" s="2"/>
      <c r="X93" s="6">
        <f t="shared" si="71"/>
        <v>-26105.9</v>
      </c>
      <c r="Y93" s="2"/>
      <c r="Z93" s="7">
        <f t="shared" si="72"/>
        <v>-0.96650538436562528</v>
      </c>
    </row>
    <row r="94" spans="1:26" s="26" customFormat="1" outlineLevel="1" collapsed="1" x14ac:dyDescent="0.25">
      <c r="A94" s="25"/>
      <c r="B94" s="12" t="str">
        <f>CONCATENATE("     ","Subscriptions &amp; Dues                              ")</f>
        <v xml:space="preserve">     Subscriptions &amp; Dues                              </v>
      </c>
      <c r="C94" s="12"/>
      <c r="D94" s="1">
        <f>SUM(OSRRefD22_19x_0)</f>
        <v>132.16999999999999</v>
      </c>
      <c r="E94" s="1"/>
      <c r="F94" s="5">
        <f t="shared" ref="F94:F96" si="73">IF(D$12=0,0,D94/D$12)</f>
        <v>2.1402402244361765E-3</v>
      </c>
      <c r="G94" s="1"/>
      <c r="H94" s="1">
        <f>SUM(OSRRefH22_19x_0)</f>
        <v>0</v>
      </c>
      <c r="I94" s="1"/>
      <c r="J94" s="5">
        <f t="shared" ref="J94:J96" si="74">IF(H$12=0,0,H94/H$12)</f>
        <v>0</v>
      </c>
      <c r="K94" s="1"/>
      <c r="L94" s="1">
        <f t="shared" ref="L94:L96" si="75">+D94-H94</f>
        <v>132.16999999999999</v>
      </c>
      <c r="M94" s="1"/>
      <c r="N94" s="5">
        <f t="shared" ref="N94:N96" si="76">IF(H94=0,0,L94/H94)</f>
        <v>0</v>
      </c>
      <c r="O94" s="12"/>
      <c r="P94" s="1">
        <f>SUM(OSRRefP22_19x_0)</f>
        <v>1048.25</v>
      </c>
      <c r="Q94" s="1"/>
      <c r="R94" s="5">
        <f t="shared" ref="R94:R96" si="77">IF(P$12=0,0,P94/P$12)</f>
        <v>2.0221844777794673E-3</v>
      </c>
      <c r="S94" s="1"/>
      <c r="T94" s="1">
        <f>SUM(OSRRefT22_19x_0)</f>
        <v>7300.55</v>
      </c>
      <c r="U94" s="1"/>
      <c r="V94" s="5">
        <f t="shared" ref="V94:V96" si="78">IF(T$12=0,0,T94/T$12)</f>
        <v>1.5803621759198725E-3</v>
      </c>
      <c r="W94" s="1"/>
      <c r="X94" s="1">
        <f t="shared" ref="X94:X96" si="79">+P94-T94</f>
        <v>-6252.3</v>
      </c>
      <c r="Y94" s="1"/>
      <c r="Z94" s="5">
        <f t="shared" ref="Z94:Z96" si="80">IF(T94=0,0,X94/T94)</f>
        <v>-0.85641492764243787</v>
      </c>
    </row>
    <row r="95" spans="1:26" s="23" customFormat="1" hidden="1" outlineLevel="2" x14ac:dyDescent="0.25">
      <c r="A95" s="27"/>
      <c r="B95" s="10" t="str">
        <f>CONCATENATE("          ", "6258", " - ", "MEMBERSHIP DUES")</f>
        <v xml:space="preserve">          6258 - MEMBERSHIP DUES</v>
      </c>
      <c r="C95" s="10"/>
      <c r="D95" s="6"/>
      <c r="E95" s="2"/>
      <c r="F95" s="7">
        <f t="shared" si="73"/>
        <v>0</v>
      </c>
      <c r="G95" s="2"/>
      <c r="H95" s="6"/>
      <c r="I95" s="2"/>
      <c r="J95" s="7">
        <f t="shared" si="74"/>
        <v>0</v>
      </c>
      <c r="K95" s="2"/>
      <c r="L95" s="6">
        <f t="shared" si="75"/>
        <v>0</v>
      </c>
      <c r="M95" s="2"/>
      <c r="N95" s="7">
        <f t="shared" si="76"/>
        <v>0</v>
      </c>
      <c r="O95" s="10"/>
      <c r="P95" s="6"/>
      <c r="Q95" s="2"/>
      <c r="R95" s="7">
        <f t="shared" si="77"/>
        <v>0</v>
      </c>
      <c r="S95" s="2"/>
      <c r="T95" s="6">
        <v>3730</v>
      </c>
      <c r="U95" s="2"/>
      <c r="V95" s="7">
        <f t="shared" si="78"/>
        <v>8.0743929103713067E-4</v>
      </c>
      <c r="W95" s="2"/>
      <c r="X95" s="6">
        <f t="shared" si="79"/>
        <v>-3730</v>
      </c>
      <c r="Y95" s="2"/>
      <c r="Z95" s="7">
        <f t="shared" si="80"/>
        <v>-1</v>
      </c>
    </row>
    <row r="96" spans="1:26" s="23" customFormat="1" hidden="1" outlineLevel="2" x14ac:dyDescent="0.25">
      <c r="A96" s="27"/>
      <c r="B96" s="10" t="str">
        <f>CONCATENATE("          ", "6275", " - ", "SUBSCRIPTIONS")</f>
        <v xml:space="preserve">          6275 - SUBSCRIPTIONS</v>
      </c>
      <c r="C96" s="10"/>
      <c r="D96" s="6">
        <v>132.16999999999999</v>
      </c>
      <c r="E96" s="2"/>
      <c r="F96" s="7">
        <f t="shared" si="73"/>
        <v>2.1402402244361765E-3</v>
      </c>
      <c r="G96" s="2"/>
      <c r="H96" s="6"/>
      <c r="I96" s="2"/>
      <c r="J96" s="7">
        <f t="shared" si="74"/>
        <v>0</v>
      </c>
      <c r="K96" s="2"/>
      <c r="L96" s="6">
        <f t="shared" si="75"/>
        <v>132.16999999999999</v>
      </c>
      <c r="M96" s="2"/>
      <c r="N96" s="7">
        <f t="shared" si="76"/>
        <v>0</v>
      </c>
      <c r="O96" s="10"/>
      <c r="P96" s="6">
        <v>1048.25</v>
      </c>
      <c r="Q96" s="2"/>
      <c r="R96" s="7">
        <f t="shared" si="77"/>
        <v>2.0221844777794673E-3</v>
      </c>
      <c r="S96" s="2"/>
      <c r="T96" s="6">
        <v>3570.55</v>
      </c>
      <c r="U96" s="2"/>
      <c r="V96" s="7">
        <f t="shared" si="78"/>
        <v>7.7292288488274184E-4</v>
      </c>
      <c r="W96" s="2"/>
      <c r="X96" s="6">
        <f t="shared" si="79"/>
        <v>-2522.3000000000002</v>
      </c>
      <c r="Y96" s="2"/>
      <c r="Z96" s="7">
        <f t="shared" si="80"/>
        <v>-0.70641777877357836</v>
      </c>
    </row>
    <row r="97" spans="1:26" s="26" customFormat="1" outlineLevel="1" collapsed="1" x14ac:dyDescent="0.25">
      <c r="A97" s="25"/>
      <c r="B97" s="12" t="str">
        <f>CONCATENATE("     ","Supplies                                          ")</f>
        <v xml:space="preserve">     Supplies                                          </v>
      </c>
      <c r="C97" s="12"/>
      <c r="D97" s="1">
        <f>SUM(OSRRefD22_20x_0)</f>
        <v>-27.79</v>
      </c>
      <c r="E97" s="1"/>
      <c r="F97" s="5">
        <f t="shared" ref="F97:F107" si="81">IF(D$12=0,0,D97/D$12)</f>
        <v>-4.5000586999380607E-4</v>
      </c>
      <c r="G97" s="1"/>
      <c r="H97" s="1">
        <f>SUM(OSRRefH22_20x_0)</f>
        <v>1142.1799999999998</v>
      </c>
      <c r="I97" s="1"/>
      <c r="J97" s="5">
        <f t="shared" ref="J97:J107" si="82">IF(H$12=0,0,H97/H$12)</f>
        <v>0</v>
      </c>
      <c r="K97" s="1"/>
      <c r="L97" s="1">
        <f t="shared" ref="L97:L107" si="83">+D97-H97</f>
        <v>-1169.9699999999998</v>
      </c>
      <c r="M97" s="1"/>
      <c r="N97" s="5">
        <f t="shared" ref="N97:N107" si="84">IF(H97=0,0,L97/H97)</f>
        <v>-1.0243306659195572</v>
      </c>
      <c r="O97" s="12"/>
      <c r="P97" s="1">
        <f>SUM(OSRRefP22_20x_0)</f>
        <v>-20652.39</v>
      </c>
      <c r="Q97" s="1"/>
      <c r="R97" s="5">
        <f t="shared" ref="R97:R107" si="85">IF(P$12=0,0,P97/P$12)</f>
        <v>-3.9840631993367889E-2</v>
      </c>
      <c r="S97" s="1"/>
      <c r="T97" s="1">
        <f>SUM(OSRRefT22_20x_0)</f>
        <v>168942.98</v>
      </c>
      <c r="U97" s="1"/>
      <c r="V97" s="5">
        <f t="shared" ref="V97:V107" si="86">IF(T$12=0,0,T97/T$12)</f>
        <v>3.6571367291394138E-2</v>
      </c>
      <c r="W97" s="1"/>
      <c r="X97" s="1">
        <f t="shared" ref="X97:X107" si="87">+P97-T97</f>
        <v>-189595.37</v>
      </c>
      <c r="Y97" s="1"/>
      <c r="Z97" s="5">
        <f t="shared" ref="Z97:Z107" si="88">IF(T97=0,0,X97/T97)</f>
        <v>-1.1222447360642034</v>
      </c>
    </row>
    <row r="98" spans="1:26" s="23" customFormat="1" hidden="1" outlineLevel="2" x14ac:dyDescent="0.25">
      <c r="A98" s="27"/>
      <c r="B98" s="10" t="str">
        <f>CONCATENATE("          ", "6234", " - ", "EXPENDABLE SUPPLIES &amp; EQUIPMEN")</f>
        <v xml:space="preserve">          6234 - EXPENDABLE SUPPLIES &amp; EQUIPMEN</v>
      </c>
      <c r="C98" s="10"/>
      <c r="D98" s="6"/>
      <c r="E98" s="2"/>
      <c r="F98" s="7">
        <f t="shared" si="81"/>
        <v>0</v>
      </c>
      <c r="G98" s="2"/>
      <c r="H98" s="6"/>
      <c r="I98" s="2"/>
      <c r="J98" s="7">
        <f t="shared" si="82"/>
        <v>0</v>
      </c>
      <c r="K98" s="2"/>
      <c r="L98" s="6">
        <f t="shared" si="83"/>
        <v>0</v>
      </c>
      <c r="M98" s="2"/>
      <c r="N98" s="7">
        <f t="shared" si="84"/>
        <v>0</v>
      </c>
      <c r="O98" s="10"/>
      <c r="P98" s="6">
        <v>337.16</v>
      </c>
      <c r="Q98" s="2"/>
      <c r="R98" s="7">
        <f t="shared" si="85"/>
        <v>6.5041709375447199E-4</v>
      </c>
      <c r="S98" s="2"/>
      <c r="T98" s="6">
        <v>14686.49</v>
      </c>
      <c r="U98" s="2"/>
      <c r="V98" s="7">
        <f t="shared" si="86"/>
        <v>3.1792088668696804E-3</v>
      </c>
      <c r="W98" s="2"/>
      <c r="X98" s="6">
        <f t="shared" si="87"/>
        <v>-14349.33</v>
      </c>
      <c r="Y98" s="2"/>
      <c r="Z98" s="7">
        <f t="shared" si="88"/>
        <v>-0.97704284686129905</v>
      </c>
    </row>
    <row r="99" spans="1:26" s="23" customFormat="1" hidden="1" outlineLevel="2" x14ac:dyDescent="0.25">
      <c r="A99" s="27"/>
      <c r="B99" s="10" t="str">
        <f>CONCATENATE("          ", "6235", " - ", "COVID-19 EXPENSES")</f>
        <v xml:space="preserve">          6235 - COVID-19 EXPENSES</v>
      </c>
      <c r="C99" s="10"/>
      <c r="D99" s="6"/>
      <c r="E99" s="2"/>
      <c r="F99" s="7">
        <f t="shared" si="81"/>
        <v>0</v>
      </c>
      <c r="G99" s="2"/>
      <c r="H99" s="6">
        <v>1095.08</v>
      </c>
      <c r="I99" s="2"/>
      <c r="J99" s="7">
        <f t="shared" si="82"/>
        <v>0</v>
      </c>
      <c r="K99" s="2"/>
      <c r="L99" s="6">
        <f t="shared" si="83"/>
        <v>-1095.08</v>
      </c>
      <c r="M99" s="2"/>
      <c r="N99" s="7">
        <f t="shared" si="84"/>
        <v>-1</v>
      </c>
      <c r="O99" s="10"/>
      <c r="P99" s="6">
        <v>6947.31</v>
      </c>
      <c r="Q99" s="2"/>
      <c r="R99" s="7">
        <f t="shared" si="85"/>
        <v>1.340209152809165E-2</v>
      </c>
      <c r="S99" s="2"/>
      <c r="T99" s="6">
        <v>1095.08</v>
      </c>
      <c r="U99" s="2"/>
      <c r="V99" s="7">
        <f t="shared" si="86"/>
        <v>2.3705378520883134E-4</v>
      </c>
      <c r="W99" s="2"/>
      <c r="X99" s="6">
        <f t="shared" si="87"/>
        <v>5852.2300000000005</v>
      </c>
      <c r="Y99" s="2"/>
      <c r="Z99" s="7">
        <f t="shared" si="88"/>
        <v>5.3441118457099028</v>
      </c>
    </row>
    <row r="100" spans="1:26" s="23" customFormat="1" hidden="1" outlineLevel="2" x14ac:dyDescent="0.25">
      <c r="A100" s="27"/>
      <c r="B100" s="10" t="str">
        <f>CONCATENATE("          ", "6237", " - ", "JANITORIAL SUPPLIES")</f>
        <v xml:space="preserve">          6237 - JANITORIAL SUPPLIES</v>
      </c>
      <c r="C100" s="10"/>
      <c r="D100" s="6">
        <v>-30</v>
      </c>
      <c r="E100" s="2"/>
      <c r="F100" s="7">
        <f t="shared" si="81"/>
        <v>-4.8579259085333509E-4</v>
      </c>
      <c r="G100" s="2"/>
      <c r="H100" s="6">
        <v>47.1</v>
      </c>
      <c r="I100" s="2"/>
      <c r="J100" s="7">
        <f t="shared" si="82"/>
        <v>0</v>
      </c>
      <c r="K100" s="2"/>
      <c r="L100" s="6">
        <f t="shared" si="83"/>
        <v>-77.099999999999994</v>
      </c>
      <c r="M100" s="2"/>
      <c r="N100" s="7">
        <f t="shared" si="84"/>
        <v>-1.6369426751592355</v>
      </c>
      <c r="O100" s="10"/>
      <c r="P100" s="6">
        <v>328.91</v>
      </c>
      <c r="Q100" s="2"/>
      <c r="R100" s="7">
        <f t="shared" si="85"/>
        <v>6.3450197623319301E-4</v>
      </c>
      <c r="S100" s="2"/>
      <c r="T100" s="6">
        <v>48480.7</v>
      </c>
      <c r="U100" s="2"/>
      <c r="V100" s="7">
        <f t="shared" si="86"/>
        <v>1.0494697597046599E-2</v>
      </c>
      <c r="W100" s="2"/>
      <c r="X100" s="6">
        <f t="shared" si="87"/>
        <v>-48151.789999999994</v>
      </c>
      <c r="Y100" s="2"/>
      <c r="Z100" s="7">
        <f t="shared" si="88"/>
        <v>-0.99321565076411844</v>
      </c>
    </row>
    <row r="101" spans="1:26" s="23" customFormat="1" hidden="1" outlineLevel="2" x14ac:dyDescent="0.25">
      <c r="A101" s="27"/>
      <c r="B101" s="10" t="str">
        <f>CONCATENATE("          ", "6239", " - ", "KITCHEN SUPPLIES")</f>
        <v xml:space="preserve">          6239 - KITCHEN SUPPLIES</v>
      </c>
      <c r="C101" s="10"/>
      <c r="D101" s="6"/>
      <c r="E101" s="2"/>
      <c r="F101" s="7">
        <f t="shared" si="81"/>
        <v>0</v>
      </c>
      <c r="G101" s="2"/>
      <c r="H101" s="6"/>
      <c r="I101" s="2"/>
      <c r="J101" s="7">
        <f t="shared" si="82"/>
        <v>0</v>
      </c>
      <c r="K101" s="2"/>
      <c r="L101" s="6">
        <f t="shared" si="83"/>
        <v>0</v>
      </c>
      <c r="M101" s="2"/>
      <c r="N101" s="7">
        <f t="shared" si="84"/>
        <v>0</v>
      </c>
      <c r="O101" s="10"/>
      <c r="P101" s="6">
        <v>19.829999999999998</v>
      </c>
      <c r="Q101" s="2"/>
      <c r="R101" s="7">
        <f t="shared" si="85"/>
        <v>3.8254155205692187E-5</v>
      </c>
      <c r="S101" s="2"/>
      <c r="T101" s="6">
        <v>45525.63</v>
      </c>
      <c r="U101" s="2"/>
      <c r="V101" s="7">
        <f t="shared" si="86"/>
        <v>9.8550086893347787E-3</v>
      </c>
      <c r="W101" s="2"/>
      <c r="X101" s="6">
        <f t="shared" si="87"/>
        <v>-45505.799999999996</v>
      </c>
      <c r="Y101" s="2"/>
      <c r="Z101" s="7">
        <f t="shared" si="88"/>
        <v>-0.99956442118428668</v>
      </c>
    </row>
    <row r="102" spans="1:26" s="23" customFormat="1" hidden="1" outlineLevel="2" x14ac:dyDescent="0.25">
      <c r="A102" s="27"/>
      <c r="B102" s="10" t="str">
        <f>CONCATENATE("          ", "6241", " - ", "OFFICE EXPENSE")</f>
        <v xml:space="preserve">          6241 - OFFICE EXPENSE</v>
      </c>
      <c r="C102" s="10"/>
      <c r="D102" s="6">
        <v>2.21</v>
      </c>
      <c r="E102" s="2"/>
      <c r="F102" s="7">
        <f t="shared" si="81"/>
        <v>3.5786720859529016E-5</v>
      </c>
      <c r="G102" s="2"/>
      <c r="H102" s="6">
        <v>0</v>
      </c>
      <c r="I102" s="2"/>
      <c r="J102" s="7">
        <f t="shared" si="82"/>
        <v>0</v>
      </c>
      <c r="K102" s="2"/>
      <c r="L102" s="6">
        <f t="shared" si="83"/>
        <v>2.21</v>
      </c>
      <c r="M102" s="2"/>
      <c r="N102" s="7">
        <f t="shared" si="84"/>
        <v>0</v>
      </c>
      <c r="O102" s="10"/>
      <c r="P102" s="6">
        <v>-28540.93</v>
      </c>
      <c r="Q102" s="2"/>
      <c r="R102" s="7">
        <f t="shared" si="85"/>
        <v>-5.5058455165647821E-2</v>
      </c>
      <c r="S102" s="2"/>
      <c r="T102" s="6">
        <v>17759.07</v>
      </c>
      <c r="U102" s="2"/>
      <c r="V102" s="7">
        <f t="shared" si="86"/>
        <v>3.8443353593240683E-3</v>
      </c>
      <c r="W102" s="2"/>
      <c r="X102" s="6">
        <f t="shared" si="87"/>
        <v>-46300</v>
      </c>
      <c r="Y102" s="2"/>
      <c r="Z102" s="7">
        <f t="shared" si="88"/>
        <v>-2.6071185033900988</v>
      </c>
    </row>
    <row r="103" spans="1:26" s="23" customFormat="1" hidden="1" outlineLevel="2" x14ac:dyDescent="0.25">
      <c r="A103" s="27"/>
      <c r="B103" s="10" t="str">
        <f>CONCATENATE("          ", "6243", " - ", "PAPER SUPPLIES")</f>
        <v xml:space="preserve">          6243 - PAPER SUPPLIES</v>
      </c>
      <c r="C103" s="10"/>
      <c r="D103" s="6"/>
      <c r="E103" s="2"/>
      <c r="F103" s="7">
        <f t="shared" si="81"/>
        <v>0</v>
      </c>
      <c r="G103" s="2"/>
      <c r="H103" s="6"/>
      <c r="I103" s="2"/>
      <c r="J103" s="7">
        <f t="shared" si="82"/>
        <v>0</v>
      </c>
      <c r="K103" s="2"/>
      <c r="L103" s="6">
        <f t="shared" si="83"/>
        <v>0</v>
      </c>
      <c r="M103" s="2"/>
      <c r="N103" s="7">
        <f t="shared" si="84"/>
        <v>0</v>
      </c>
      <c r="O103" s="10"/>
      <c r="P103" s="6">
        <v>255.33</v>
      </c>
      <c r="Q103" s="2"/>
      <c r="R103" s="7">
        <f t="shared" si="85"/>
        <v>4.9255841899492625E-4</v>
      </c>
      <c r="S103" s="2"/>
      <c r="T103" s="6">
        <v>29152.85</v>
      </c>
      <c r="U103" s="2"/>
      <c r="V103" s="7">
        <f t="shared" si="86"/>
        <v>6.3107658272685821E-3</v>
      </c>
      <c r="W103" s="2"/>
      <c r="X103" s="6">
        <f t="shared" si="87"/>
        <v>-28897.519999999997</v>
      </c>
      <c r="Y103" s="2"/>
      <c r="Z103" s="7">
        <f t="shared" si="88"/>
        <v>-0.99124167962995036</v>
      </c>
    </row>
    <row r="104" spans="1:26" s="23" customFormat="1" hidden="1" outlineLevel="2" x14ac:dyDescent="0.25">
      <c r="A104" s="27"/>
      <c r="B104" s="10" t="str">
        <f>CONCATENATE("          ", "6245", " - ", "PRINTING")</f>
        <v xml:space="preserve">          6245 - PRINTING</v>
      </c>
      <c r="C104" s="10"/>
      <c r="D104" s="6"/>
      <c r="E104" s="2"/>
      <c r="F104" s="7">
        <f t="shared" si="81"/>
        <v>0</v>
      </c>
      <c r="G104" s="2"/>
      <c r="H104" s="6"/>
      <c r="I104" s="2"/>
      <c r="J104" s="7">
        <f t="shared" si="82"/>
        <v>0</v>
      </c>
      <c r="K104" s="2"/>
      <c r="L104" s="6">
        <f t="shared" si="83"/>
        <v>0</v>
      </c>
      <c r="M104" s="2"/>
      <c r="N104" s="7">
        <f t="shared" si="84"/>
        <v>0</v>
      </c>
      <c r="O104" s="10"/>
      <c r="P104" s="6"/>
      <c r="Q104" s="2"/>
      <c r="R104" s="7">
        <f t="shared" si="85"/>
        <v>0</v>
      </c>
      <c r="S104" s="2"/>
      <c r="T104" s="6">
        <v>531.28</v>
      </c>
      <c r="U104" s="2"/>
      <c r="V104" s="7">
        <f t="shared" si="86"/>
        <v>1.1500706341614121E-4</v>
      </c>
      <c r="W104" s="2"/>
      <c r="X104" s="6">
        <f t="shared" si="87"/>
        <v>-531.28</v>
      </c>
      <c r="Y104" s="2"/>
      <c r="Z104" s="7">
        <f t="shared" si="88"/>
        <v>-1</v>
      </c>
    </row>
    <row r="105" spans="1:26" s="23" customFormat="1" hidden="1" outlineLevel="2" x14ac:dyDescent="0.25">
      <c r="A105" s="27"/>
      <c r="B105" s="10" t="str">
        <f>CONCATENATE("          ", "6246", " - ", "REPLACEMENTS")</f>
        <v xml:space="preserve">          6246 - REPLACEMENTS</v>
      </c>
      <c r="C105" s="10"/>
      <c r="D105" s="6"/>
      <c r="E105" s="2"/>
      <c r="F105" s="7">
        <f t="shared" si="81"/>
        <v>0</v>
      </c>
      <c r="G105" s="2"/>
      <c r="H105" s="6"/>
      <c r="I105" s="2"/>
      <c r="J105" s="7">
        <f t="shared" si="82"/>
        <v>0</v>
      </c>
      <c r="K105" s="2"/>
      <c r="L105" s="6">
        <f t="shared" si="83"/>
        <v>0</v>
      </c>
      <c r="M105" s="2"/>
      <c r="N105" s="7">
        <f t="shared" si="84"/>
        <v>0</v>
      </c>
      <c r="O105" s="10"/>
      <c r="P105" s="6"/>
      <c r="Q105" s="2"/>
      <c r="R105" s="7">
        <f t="shared" si="85"/>
        <v>0</v>
      </c>
      <c r="S105" s="2"/>
      <c r="T105" s="6">
        <v>25.87</v>
      </c>
      <c r="U105" s="2"/>
      <c r="V105" s="7">
        <f t="shared" si="86"/>
        <v>5.600121838909E-6</v>
      </c>
      <c r="W105" s="2"/>
      <c r="X105" s="6">
        <f t="shared" si="87"/>
        <v>-25.87</v>
      </c>
      <c r="Y105" s="2"/>
      <c r="Z105" s="7">
        <f t="shared" si="88"/>
        <v>-1</v>
      </c>
    </row>
    <row r="106" spans="1:26" s="23" customFormat="1" hidden="1" outlineLevel="2" x14ac:dyDescent="0.25">
      <c r="A106" s="27"/>
      <c r="B106" s="10" t="str">
        <f>CONCATENATE("          ", "6247", " - ", "STORE SUPPLIES")</f>
        <v xml:space="preserve">          6247 - STORE SUPPLIES</v>
      </c>
      <c r="C106" s="10"/>
      <c r="D106" s="6"/>
      <c r="E106" s="2"/>
      <c r="F106" s="7">
        <f t="shared" si="81"/>
        <v>0</v>
      </c>
      <c r="G106" s="2"/>
      <c r="H106" s="6"/>
      <c r="I106" s="2"/>
      <c r="J106" s="7">
        <f t="shared" si="82"/>
        <v>0</v>
      </c>
      <c r="K106" s="2"/>
      <c r="L106" s="6">
        <f t="shared" si="83"/>
        <v>0</v>
      </c>
      <c r="M106" s="2"/>
      <c r="N106" s="7">
        <f t="shared" si="84"/>
        <v>0</v>
      </c>
      <c r="O106" s="10"/>
      <c r="P106" s="6"/>
      <c r="Q106" s="2"/>
      <c r="R106" s="7">
        <f t="shared" si="85"/>
        <v>0</v>
      </c>
      <c r="S106" s="2"/>
      <c r="T106" s="6">
        <v>6962.12</v>
      </c>
      <c r="U106" s="2"/>
      <c r="V106" s="7">
        <f t="shared" si="86"/>
        <v>1.507101672095289E-3</v>
      </c>
      <c r="W106" s="2"/>
      <c r="X106" s="6">
        <f t="shared" si="87"/>
        <v>-6962.12</v>
      </c>
      <c r="Y106" s="2"/>
      <c r="Z106" s="7">
        <f t="shared" si="88"/>
        <v>-1</v>
      </c>
    </row>
    <row r="107" spans="1:26" s="23" customFormat="1" hidden="1" outlineLevel="2" x14ac:dyDescent="0.25">
      <c r="A107" s="27"/>
      <c r="B107" s="10" t="str">
        <f>CONCATENATE("          ", "6248", " - ", "UNIFORMS")</f>
        <v xml:space="preserve">          6248 - UNIFORMS</v>
      </c>
      <c r="C107" s="10"/>
      <c r="D107" s="6"/>
      <c r="E107" s="2"/>
      <c r="F107" s="7">
        <f t="shared" si="81"/>
        <v>0</v>
      </c>
      <c r="G107" s="2"/>
      <c r="H107" s="6"/>
      <c r="I107" s="2"/>
      <c r="J107" s="7">
        <f t="shared" si="82"/>
        <v>0</v>
      </c>
      <c r="K107" s="2"/>
      <c r="L107" s="6">
        <f t="shared" si="83"/>
        <v>0</v>
      </c>
      <c r="M107" s="2"/>
      <c r="N107" s="7">
        <f t="shared" si="84"/>
        <v>0</v>
      </c>
      <c r="O107" s="10"/>
      <c r="P107" s="6"/>
      <c r="Q107" s="2"/>
      <c r="R107" s="7">
        <f t="shared" si="85"/>
        <v>0</v>
      </c>
      <c r="S107" s="2"/>
      <c r="T107" s="6">
        <v>4723.8900000000003</v>
      </c>
      <c r="U107" s="2"/>
      <c r="V107" s="7">
        <f t="shared" si="86"/>
        <v>1.0225883089912578E-3</v>
      </c>
      <c r="W107" s="2"/>
      <c r="X107" s="6">
        <f t="shared" si="87"/>
        <v>-4723.8900000000003</v>
      </c>
      <c r="Y107" s="2"/>
      <c r="Z107" s="7">
        <f t="shared" si="88"/>
        <v>-1</v>
      </c>
    </row>
    <row r="108" spans="1:26" s="26" customFormat="1" outlineLevel="1" collapsed="1" x14ac:dyDescent="0.25">
      <c r="A108" s="25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SUM(OSRRefD22_21x_0)</f>
        <v>399.1</v>
      </c>
      <c r="E108" s="1"/>
      <c r="F108" s="5">
        <f t="shared" ref="F108:F115" si="89">IF(D$12=0,0,D108/D$12)</f>
        <v>6.4626607669855353E-3</v>
      </c>
      <c r="G108" s="1"/>
      <c r="H108" s="1">
        <f>SUM(OSRRefH22_21x_0)</f>
        <v>1593.85</v>
      </c>
      <c r="I108" s="1"/>
      <c r="J108" s="5">
        <f t="shared" ref="J108:J115" si="90">IF(H$12=0,0,H108/H$12)</f>
        <v>0</v>
      </c>
      <c r="K108" s="1"/>
      <c r="L108" s="1">
        <f t="shared" ref="L108:L115" si="91">+D108-H108</f>
        <v>-1194.75</v>
      </c>
      <c r="M108" s="1"/>
      <c r="N108" s="5">
        <f t="shared" ref="N108:N115" si="92">IF(H108=0,0,L108/H108)</f>
        <v>-0.74960002509646462</v>
      </c>
      <c r="O108" s="12"/>
      <c r="P108" s="1">
        <f>SUM(OSRRefP22_21x_0)</f>
        <v>6245.11</v>
      </c>
      <c r="Q108" s="1"/>
      <c r="R108" s="5">
        <f t="shared" ref="R108:R115" si="93">IF(P$12=0,0,P108/P$12)</f>
        <v>1.2047473888886552E-2</v>
      </c>
      <c r="S108" s="1"/>
      <c r="T108" s="1">
        <f>SUM(OSRRefT22_21x_0)</f>
        <v>20609.169999999998</v>
      </c>
      <c r="U108" s="1"/>
      <c r="V108" s="5">
        <f t="shared" ref="V108:V115" si="94">IF(T$12=0,0,T108/T$12)</f>
        <v>4.4613012369071579E-3</v>
      </c>
      <c r="W108" s="1"/>
      <c r="X108" s="1">
        <f t="shared" ref="X108:X115" si="95">+P108-T108</f>
        <v>-14364.059999999998</v>
      </c>
      <c r="Y108" s="1"/>
      <c r="Z108" s="5">
        <f t="shared" ref="Z108:Z115" si="96">IF(T108=0,0,X108/T108)</f>
        <v>-0.69697421099442625</v>
      </c>
    </row>
    <row r="109" spans="1:26" s="23" customFormat="1" hidden="1" outlineLevel="2" x14ac:dyDescent="0.25">
      <c r="A109" s="27"/>
      <c r="B109" s="10" t="str">
        <f>CONCATENATE("          ", "6309", " - ", "TELEPHONE")</f>
        <v xml:space="preserve">          6309 - TELEPHONE</v>
      </c>
      <c r="C109" s="10"/>
      <c r="D109" s="6">
        <v>399.1</v>
      </c>
      <c r="E109" s="2"/>
      <c r="F109" s="7">
        <f t="shared" si="89"/>
        <v>6.4626607669855353E-3</v>
      </c>
      <c r="G109" s="2"/>
      <c r="H109" s="6">
        <v>1593.85</v>
      </c>
      <c r="I109" s="2"/>
      <c r="J109" s="7">
        <f t="shared" si="90"/>
        <v>0</v>
      </c>
      <c r="K109" s="2"/>
      <c r="L109" s="6">
        <f t="shared" si="91"/>
        <v>-1194.75</v>
      </c>
      <c r="M109" s="2"/>
      <c r="N109" s="7">
        <f t="shared" si="92"/>
        <v>-0.74960002509646462</v>
      </c>
      <c r="O109" s="10"/>
      <c r="P109" s="6">
        <v>6245.11</v>
      </c>
      <c r="Q109" s="2"/>
      <c r="R109" s="7">
        <f t="shared" si="93"/>
        <v>1.2047473888886552E-2</v>
      </c>
      <c r="S109" s="2"/>
      <c r="T109" s="6">
        <v>20609.169999999998</v>
      </c>
      <c r="U109" s="2"/>
      <c r="V109" s="7">
        <f t="shared" si="94"/>
        <v>4.4613012369071579E-3</v>
      </c>
      <c r="W109" s="2"/>
      <c r="X109" s="6">
        <f t="shared" si="95"/>
        <v>-14364.059999999998</v>
      </c>
      <c r="Y109" s="2"/>
      <c r="Z109" s="7">
        <f t="shared" si="96"/>
        <v>-0.69697421099442625</v>
      </c>
    </row>
    <row r="110" spans="1:26" s="26" customFormat="1" outlineLevel="1" collapsed="1" x14ac:dyDescent="0.25">
      <c r="A110" s="25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SUM(OSRRefD22_22x_0)</f>
        <v>0</v>
      </c>
      <c r="E110" s="1"/>
      <c r="F110" s="5">
        <f t="shared" si="89"/>
        <v>0</v>
      </c>
      <c r="G110" s="1"/>
      <c r="H110" s="1">
        <f>SUM(OSRRefH22_22x_0)</f>
        <v>0</v>
      </c>
      <c r="I110" s="1"/>
      <c r="J110" s="5">
        <f t="shared" si="90"/>
        <v>0</v>
      </c>
      <c r="K110" s="1"/>
      <c r="L110" s="1">
        <f t="shared" si="91"/>
        <v>0</v>
      </c>
      <c r="M110" s="1"/>
      <c r="N110" s="5">
        <f t="shared" si="92"/>
        <v>0</v>
      </c>
      <c r="O110" s="12"/>
      <c r="P110" s="1">
        <f>SUM(OSRRefP22_22x_0)</f>
        <v>400</v>
      </c>
      <c r="Q110" s="1"/>
      <c r="R110" s="5">
        <f t="shared" si="93"/>
        <v>7.7164206163776478E-4</v>
      </c>
      <c r="S110" s="1"/>
      <c r="T110" s="1">
        <f>SUM(OSRRefT22_22x_0)</f>
        <v>2123.0100000000002</v>
      </c>
      <c r="U110" s="1"/>
      <c r="V110" s="5">
        <f t="shared" si="94"/>
        <v>4.5957149846239645E-4</v>
      </c>
      <c r="W110" s="1"/>
      <c r="X110" s="1">
        <f t="shared" si="95"/>
        <v>-1723.0100000000002</v>
      </c>
      <c r="Y110" s="1"/>
      <c r="Z110" s="5">
        <f t="shared" si="96"/>
        <v>-0.81158826383295413</v>
      </c>
    </row>
    <row r="111" spans="1:26" s="23" customFormat="1" hidden="1" outlineLevel="2" x14ac:dyDescent="0.25">
      <c r="A111" s="27"/>
      <c r="B111" s="10" t="str">
        <f>CONCATENATE("          ", "6376", " - ", "TRAINING")</f>
        <v xml:space="preserve">          6376 - TRAINING</v>
      </c>
      <c r="C111" s="10"/>
      <c r="D111" s="6"/>
      <c r="E111" s="2"/>
      <c r="F111" s="7">
        <f t="shared" si="89"/>
        <v>0</v>
      </c>
      <c r="G111" s="2"/>
      <c r="H111" s="6"/>
      <c r="I111" s="2"/>
      <c r="J111" s="7">
        <f t="shared" si="90"/>
        <v>0</v>
      </c>
      <c r="K111" s="2"/>
      <c r="L111" s="6">
        <f t="shared" si="91"/>
        <v>0</v>
      </c>
      <c r="M111" s="2"/>
      <c r="N111" s="7">
        <f t="shared" si="92"/>
        <v>0</v>
      </c>
      <c r="O111" s="10"/>
      <c r="P111" s="6">
        <v>400</v>
      </c>
      <c r="Q111" s="2"/>
      <c r="R111" s="7">
        <f t="shared" si="93"/>
        <v>7.7164206163776478E-4</v>
      </c>
      <c r="S111" s="2"/>
      <c r="T111" s="6">
        <v>2123.0100000000002</v>
      </c>
      <c r="U111" s="2"/>
      <c r="V111" s="7">
        <f t="shared" si="94"/>
        <v>4.5957149846239645E-4</v>
      </c>
      <c r="W111" s="2"/>
      <c r="X111" s="6">
        <f t="shared" si="95"/>
        <v>-1723.0100000000002</v>
      </c>
      <c r="Y111" s="2"/>
      <c r="Z111" s="7">
        <f t="shared" si="96"/>
        <v>-0.81158826383295413</v>
      </c>
    </row>
    <row r="112" spans="1:26" s="26" customFormat="1" outlineLevel="1" collapsed="1" x14ac:dyDescent="0.25">
      <c r="A112" s="25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SUM(OSRRefD22_23x_0)</f>
        <v>0</v>
      </c>
      <c r="E112" s="1"/>
      <c r="F112" s="5">
        <f t="shared" si="89"/>
        <v>0</v>
      </c>
      <c r="G112" s="1"/>
      <c r="H112" s="1">
        <f>SUM(OSRRefH22_23x_0)</f>
        <v>0</v>
      </c>
      <c r="I112" s="1"/>
      <c r="J112" s="5">
        <f t="shared" si="90"/>
        <v>0</v>
      </c>
      <c r="K112" s="1"/>
      <c r="L112" s="1">
        <f t="shared" si="91"/>
        <v>0</v>
      </c>
      <c r="M112" s="1"/>
      <c r="N112" s="5">
        <f t="shared" si="92"/>
        <v>0</v>
      </c>
      <c r="O112" s="12"/>
      <c r="P112" s="1">
        <f>SUM(OSRRefP22_23x_0)</f>
        <v>332.21</v>
      </c>
      <c r="Q112" s="1"/>
      <c r="R112" s="5">
        <f t="shared" si="93"/>
        <v>6.4086802324170452E-4</v>
      </c>
      <c r="S112" s="1"/>
      <c r="T112" s="1">
        <f>SUM(OSRRefT22_23x_0)</f>
        <v>6341.32</v>
      </c>
      <c r="U112" s="1"/>
      <c r="V112" s="5">
        <f t="shared" si="94"/>
        <v>1.3727160656942566E-3</v>
      </c>
      <c r="W112" s="1"/>
      <c r="X112" s="1">
        <f t="shared" si="95"/>
        <v>-6009.11</v>
      </c>
      <c r="Y112" s="1"/>
      <c r="Z112" s="5">
        <f t="shared" si="96"/>
        <v>-0.94761185368346024</v>
      </c>
    </row>
    <row r="113" spans="1:26" s="23" customFormat="1" hidden="1" outlineLevel="2" x14ac:dyDescent="0.25">
      <c r="A113" s="27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89"/>
        <v>0</v>
      </c>
      <c r="G113" s="2"/>
      <c r="H113" s="6"/>
      <c r="I113" s="2"/>
      <c r="J113" s="7">
        <f t="shared" si="90"/>
        <v>0</v>
      </c>
      <c r="K113" s="2"/>
      <c r="L113" s="6">
        <f t="shared" si="91"/>
        <v>0</v>
      </c>
      <c r="M113" s="2"/>
      <c r="N113" s="7">
        <f t="shared" si="92"/>
        <v>0</v>
      </c>
      <c r="O113" s="10"/>
      <c r="P113" s="6"/>
      <c r="Q113" s="2"/>
      <c r="R113" s="7">
        <f t="shared" si="93"/>
        <v>0</v>
      </c>
      <c r="S113" s="2"/>
      <c r="T113" s="6">
        <v>4995.68</v>
      </c>
      <c r="U113" s="2"/>
      <c r="V113" s="7">
        <f t="shared" si="94"/>
        <v>1.0814231414070705E-3</v>
      </c>
      <c r="W113" s="2"/>
      <c r="X113" s="6">
        <f t="shared" si="95"/>
        <v>-4995.68</v>
      </c>
      <c r="Y113" s="2"/>
      <c r="Z113" s="7">
        <f t="shared" si="96"/>
        <v>-1</v>
      </c>
    </row>
    <row r="114" spans="1:26" s="23" customFormat="1" hidden="1" outlineLevel="2" x14ac:dyDescent="0.25">
      <c r="A114" s="27"/>
      <c r="B114" s="10" t="str">
        <f>CONCATENATE("          ", "6294", " - ", "TRAVEL OPERATIONAL")</f>
        <v xml:space="preserve">          6294 - TRAVEL OPERATIONAL</v>
      </c>
      <c r="C114" s="10"/>
      <c r="D114" s="6"/>
      <c r="E114" s="2"/>
      <c r="F114" s="7">
        <f t="shared" si="89"/>
        <v>0</v>
      </c>
      <c r="G114" s="2"/>
      <c r="H114" s="6"/>
      <c r="I114" s="2"/>
      <c r="J114" s="7">
        <f t="shared" si="90"/>
        <v>0</v>
      </c>
      <c r="K114" s="2"/>
      <c r="L114" s="6">
        <f t="shared" si="91"/>
        <v>0</v>
      </c>
      <c r="M114" s="2"/>
      <c r="N114" s="7">
        <f t="shared" si="92"/>
        <v>0</v>
      </c>
      <c r="O114" s="10"/>
      <c r="P114" s="6"/>
      <c r="Q114" s="2"/>
      <c r="R114" s="7">
        <f t="shared" si="93"/>
        <v>0</v>
      </c>
      <c r="S114" s="2"/>
      <c r="T114" s="6">
        <v>56.99</v>
      </c>
      <c r="U114" s="2"/>
      <c r="V114" s="7">
        <f t="shared" si="94"/>
        <v>1.2336719891744256E-5</v>
      </c>
      <c r="W114" s="2"/>
      <c r="X114" s="6">
        <f t="shared" si="95"/>
        <v>-56.99</v>
      </c>
      <c r="Y114" s="2"/>
      <c r="Z114" s="7">
        <f t="shared" si="96"/>
        <v>-1</v>
      </c>
    </row>
    <row r="115" spans="1:26" s="23" customFormat="1" hidden="1" outlineLevel="2" x14ac:dyDescent="0.25">
      <c r="A115" s="27"/>
      <c r="B115" s="10" t="str">
        <f>CONCATENATE("          ", "6298", " - ", "VEHICLE MILEAGE")</f>
        <v xml:space="preserve">          6298 - VEHICLE MILEAGE</v>
      </c>
      <c r="C115" s="10"/>
      <c r="D115" s="6"/>
      <c r="E115" s="2"/>
      <c r="F115" s="7">
        <f t="shared" si="89"/>
        <v>0</v>
      </c>
      <c r="G115" s="2"/>
      <c r="H115" s="6"/>
      <c r="I115" s="2"/>
      <c r="J115" s="7">
        <f t="shared" si="90"/>
        <v>0</v>
      </c>
      <c r="K115" s="2"/>
      <c r="L115" s="6">
        <f t="shared" si="91"/>
        <v>0</v>
      </c>
      <c r="M115" s="2"/>
      <c r="N115" s="7">
        <f t="shared" si="92"/>
        <v>0</v>
      </c>
      <c r="O115" s="10"/>
      <c r="P115" s="6">
        <v>332.21</v>
      </c>
      <c r="Q115" s="2"/>
      <c r="R115" s="7">
        <f t="shared" si="93"/>
        <v>6.4086802324170452E-4</v>
      </c>
      <c r="S115" s="2"/>
      <c r="T115" s="6">
        <v>1288.6500000000001</v>
      </c>
      <c r="U115" s="2"/>
      <c r="V115" s="7">
        <f t="shared" si="94"/>
        <v>2.7895620439544194E-4</v>
      </c>
      <c r="W115" s="2"/>
      <c r="X115" s="6">
        <f t="shared" si="95"/>
        <v>-956.44</v>
      </c>
      <c r="Y115" s="2"/>
      <c r="Z115" s="7">
        <f t="shared" si="96"/>
        <v>-0.74220308074341368</v>
      </c>
    </row>
    <row r="116" spans="1:26" s="26" customFormat="1" outlineLevel="1" collapsed="1" x14ac:dyDescent="0.25">
      <c r="A116" s="25"/>
      <c r="B116" s="12" t="str">
        <f>CONCATENATE("     ","Utilities                                         ")</f>
        <v xml:space="preserve">     Utilities                                         </v>
      </c>
      <c r="C116" s="12"/>
      <c r="D116" s="1">
        <f>SUM(OSRRefD22_24x_0)</f>
        <v>3648</v>
      </c>
      <c r="E116" s="1"/>
      <c r="F116" s="5">
        <f t="shared" ref="F116:F117" si="97">IF(D$12=0,0,D116/D$12)</f>
        <v>5.907237904776555E-2</v>
      </c>
      <c r="G116" s="1"/>
      <c r="H116" s="1">
        <f>SUM(OSRRefH22_24x_0)</f>
        <v>15583</v>
      </c>
      <c r="I116" s="1"/>
      <c r="J116" s="5">
        <f t="shared" ref="J116:J117" si="98">IF(H$12=0,0,H116/H$12)</f>
        <v>0</v>
      </c>
      <c r="K116" s="1"/>
      <c r="L116" s="1">
        <f t="shared" ref="L116:L117" si="99">+D116-H116</f>
        <v>-11935</v>
      </c>
      <c r="M116" s="1"/>
      <c r="N116" s="5">
        <f t="shared" ref="N116:N117" si="100">IF(H116=0,0,L116/H116)</f>
        <v>-0.76589873580183532</v>
      </c>
      <c r="O116" s="12"/>
      <c r="P116" s="1">
        <f>SUM(OSRRefP22_24x_0)</f>
        <v>5836</v>
      </c>
      <c r="Q116" s="1"/>
      <c r="R116" s="5">
        <f t="shared" ref="R116:R117" si="101">IF(P$12=0,0,P116/P$12)</f>
        <v>1.1258257679294987E-2</v>
      </c>
      <c r="S116" s="1"/>
      <c r="T116" s="1">
        <f>SUM(OSRRefT22_24x_0)</f>
        <v>174802</v>
      </c>
      <c r="U116" s="1"/>
      <c r="V116" s="5">
        <f t="shared" ref="V116:V117" si="102">IF(T$12=0,0,T116/T$12)</f>
        <v>3.7839679075569038E-2</v>
      </c>
      <c r="W116" s="1"/>
      <c r="X116" s="1">
        <f t="shared" ref="X116:X117" si="103">+P116-T116</f>
        <v>-168966</v>
      </c>
      <c r="Y116" s="1"/>
      <c r="Z116" s="5">
        <f t="shared" ref="Z116:Z117" si="104">IF(T116=0,0,X116/T116)</f>
        <v>-0.96661365430601476</v>
      </c>
    </row>
    <row r="117" spans="1:26" s="23" customFormat="1" hidden="1" outlineLevel="2" x14ac:dyDescent="0.25">
      <c r="A117" s="27"/>
      <c r="B117" s="10" t="str">
        <f>CONCATENATE("          ", "6274", " - ", "UTILITIES")</f>
        <v xml:space="preserve">          6274 - UTILITIES</v>
      </c>
      <c r="C117" s="10"/>
      <c r="D117" s="6">
        <v>3648</v>
      </c>
      <c r="E117" s="2"/>
      <c r="F117" s="7">
        <f t="shared" si="97"/>
        <v>5.907237904776555E-2</v>
      </c>
      <c r="G117" s="2"/>
      <c r="H117" s="6">
        <v>15583</v>
      </c>
      <c r="I117" s="2"/>
      <c r="J117" s="7">
        <f t="shared" si="98"/>
        <v>0</v>
      </c>
      <c r="K117" s="2"/>
      <c r="L117" s="6">
        <f t="shared" si="99"/>
        <v>-11935</v>
      </c>
      <c r="M117" s="2"/>
      <c r="N117" s="7">
        <f t="shared" si="100"/>
        <v>-0.76589873580183532</v>
      </c>
      <c r="O117" s="10"/>
      <c r="P117" s="6">
        <v>5836</v>
      </c>
      <c r="Q117" s="2"/>
      <c r="R117" s="7">
        <f t="shared" si="101"/>
        <v>1.1258257679294987E-2</v>
      </c>
      <c r="S117" s="2"/>
      <c r="T117" s="6">
        <v>174802</v>
      </c>
      <c r="U117" s="2"/>
      <c r="V117" s="7">
        <f t="shared" si="102"/>
        <v>3.7839679075569038E-2</v>
      </c>
      <c r="W117" s="2"/>
      <c r="X117" s="6">
        <f t="shared" si="103"/>
        <v>-168966</v>
      </c>
      <c r="Y117" s="2"/>
      <c r="Z117" s="7">
        <f t="shared" si="104"/>
        <v>-0.96661365430601476</v>
      </c>
    </row>
    <row r="118" spans="1:26" s="57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9" t="s">
        <v>292</v>
      </c>
      <c r="C119" s="11"/>
      <c r="D119" s="4">
        <f>SUM(OSRRefD25x_0)</f>
        <v>41.26</v>
      </c>
      <c r="E119" s="4"/>
      <c r="F119" s="13">
        <f t="shared" ref="F119:F122" si="105">IF(D$12=0,0,D119/D$12)</f>
        <v>6.6812674328695348E-4</v>
      </c>
      <c r="G119" s="4"/>
      <c r="H119" s="4">
        <f>SUM(OSRRefH25x_0)</f>
        <v>6624.89</v>
      </c>
      <c r="I119" s="4"/>
      <c r="J119" s="13">
        <f t="shared" ref="J119:J122" si="106">IF(H$12=0,0,H119/H$12)</f>
        <v>0</v>
      </c>
      <c r="K119" s="4"/>
      <c r="L119" s="4">
        <f t="shared" ref="L119:L122" si="107">+D119-H119</f>
        <v>-6583.63</v>
      </c>
      <c r="M119" s="4"/>
      <c r="N119" s="13">
        <f t="shared" ref="N119:N122" si="108">IF(H119=0,0,L119/H119)</f>
        <v>-0.99377197206293233</v>
      </c>
      <c r="O119" s="11"/>
      <c r="P119" s="4">
        <f>SUM(OSRRefP25x_0)</f>
        <v>22486.66</v>
      </c>
      <c r="Q119" s="4"/>
      <c r="R119" s="13">
        <f t="shared" ref="R119:R122" si="109">IF(P$12=0,0,P119/P$12)</f>
        <v>4.3379131704368648E-2</v>
      </c>
      <c r="S119" s="4"/>
      <c r="T119" s="4">
        <f>SUM(OSRRefT25x_0)</f>
        <v>687198.88</v>
      </c>
      <c r="U119" s="4"/>
      <c r="V119" s="13">
        <f t="shared" ref="V119:V122" si="110">IF(T$12=0,0,T119/T$12)</f>
        <v>0.14875908216319308</v>
      </c>
      <c r="W119" s="4"/>
      <c r="X119" s="4">
        <f t="shared" ref="X119:X122" si="111">+P119-T119</f>
        <v>-664712.22</v>
      </c>
      <c r="Y119" s="4"/>
      <c r="Z119" s="13">
        <f t="shared" ref="Z119:Z122" si="112">IF(T119=0,0,X119/T119)</f>
        <v>-0.96727779882295495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>--8.44</f>
        <v>8.44</v>
      </c>
      <c r="E120" s="2"/>
      <c r="F120" s="19">
        <f t="shared" si="105"/>
        <v>1.3666964889340493E-4</v>
      </c>
      <c r="G120" s="2"/>
      <c r="H120" s="2">
        <f t="shared" ref="H120:H121" si="113">0</f>
        <v>0</v>
      </c>
      <c r="I120" s="2"/>
      <c r="J120" s="19">
        <f t="shared" si="106"/>
        <v>0</v>
      </c>
      <c r="K120" s="2"/>
      <c r="L120" s="2">
        <f t="shared" si="107"/>
        <v>8.44</v>
      </c>
      <c r="M120" s="2"/>
      <c r="N120" s="19">
        <f t="shared" si="108"/>
        <v>0</v>
      </c>
      <c r="O120" s="10"/>
      <c r="P120" s="2">
        <f>--5349.92</f>
        <v>5349.92</v>
      </c>
      <c r="Q120" s="2"/>
      <c r="R120" s="19">
        <f t="shared" si="109"/>
        <v>1.0320558245992777E-2</v>
      </c>
      <c r="S120" s="2"/>
      <c r="T120" s="2">
        <f>--313984.54</f>
        <v>313984.53999999998</v>
      </c>
      <c r="U120" s="2"/>
      <c r="V120" s="19">
        <f t="shared" si="110"/>
        <v>6.7968754523919456E-2</v>
      </c>
      <c r="W120" s="2"/>
      <c r="X120" s="2">
        <f t="shared" si="111"/>
        <v>-308634.62</v>
      </c>
      <c r="Y120" s="2"/>
      <c r="Z120" s="19">
        <f t="shared" si="112"/>
        <v>-0.98296119929981274</v>
      </c>
    </row>
    <row r="121" spans="1:26" s="23" customFormat="1" hidden="1" outlineLevel="1" x14ac:dyDescent="0.25">
      <c r="A121" s="44"/>
      <c r="B121" s="10" t="str">
        <f>CONCATENATE("          ", "9160", " - ", "MISC. INCOME")</f>
        <v xml:space="preserve">          9160 - MISC. INCOME</v>
      </c>
      <c r="C121" s="10"/>
      <c r="D121" s="2">
        <f>0</f>
        <v>0</v>
      </c>
      <c r="E121" s="2"/>
      <c r="F121" s="19">
        <f t="shared" si="105"/>
        <v>0</v>
      </c>
      <c r="G121" s="2"/>
      <c r="H121" s="2">
        <f t="shared" si="113"/>
        <v>0</v>
      </c>
      <c r="I121" s="2"/>
      <c r="J121" s="19">
        <f t="shared" si="106"/>
        <v>0</v>
      </c>
      <c r="K121" s="2"/>
      <c r="L121" s="2">
        <f t="shared" si="107"/>
        <v>0</v>
      </c>
      <c r="M121" s="2"/>
      <c r="N121" s="19">
        <f t="shared" si="108"/>
        <v>0</v>
      </c>
      <c r="O121" s="10"/>
      <c r="P121" s="2">
        <f>--13615.06</f>
        <v>13615.06</v>
      </c>
      <c r="Q121" s="2"/>
      <c r="R121" s="19">
        <f t="shared" si="109"/>
        <v>2.6264882419304664E-2</v>
      </c>
      <c r="S121" s="2"/>
      <c r="T121" s="2">
        <f>--130089.32</f>
        <v>130089.32</v>
      </c>
      <c r="U121" s="2"/>
      <c r="V121" s="19">
        <f t="shared" si="110"/>
        <v>2.8160651022064994E-2</v>
      </c>
      <c r="W121" s="2"/>
      <c r="X121" s="2">
        <f t="shared" si="111"/>
        <v>-116474.26000000001</v>
      </c>
      <c r="Y121" s="2"/>
      <c r="Z121" s="19">
        <f t="shared" si="112"/>
        <v>-0.89534067823553853</v>
      </c>
    </row>
    <row r="122" spans="1:26" s="23" customFormat="1" hidden="1" outlineLevel="1" x14ac:dyDescent="0.25">
      <c r="A122" s="44"/>
      <c r="B122" s="10" t="str">
        <f>CONCATENATE("          ", "9165", " - ", "OTHER INCOME")</f>
        <v xml:space="preserve">          9165 - OTHER INCOME</v>
      </c>
      <c r="C122" s="10"/>
      <c r="D122" s="2">
        <f>--32.82</f>
        <v>32.82</v>
      </c>
      <c r="E122" s="2"/>
      <c r="F122" s="19">
        <f t="shared" si="105"/>
        <v>5.3145709439354858E-4</v>
      </c>
      <c r="G122" s="2"/>
      <c r="H122" s="2">
        <f>--6624.89</f>
        <v>6624.89</v>
      </c>
      <c r="I122" s="2"/>
      <c r="J122" s="19">
        <f t="shared" si="106"/>
        <v>0</v>
      </c>
      <c r="K122" s="2"/>
      <c r="L122" s="2">
        <f t="shared" si="107"/>
        <v>-6592.0700000000006</v>
      </c>
      <c r="M122" s="2"/>
      <c r="N122" s="19">
        <f t="shared" si="108"/>
        <v>-0.99504595548001551</v>
      </c>
      <c r="O122" s="10"/>
      <c r="P122" s="2">
        <f>--3521.68</f>
        <v>3521.68</v>
      </c>
      <c r="Q122" s="2"/>
      <c r="R122" s="19">
        <f t="shared" si="109"/>
        <v>6.7936910390712082E-3</v>
      </c>
      <c r="S122" s="2"/>
      <c r="T122" s="2">
        <f>--243125.02</f>
        <v>243125.02</v>
      </c>
      <c r="U122" s="2"/>
      <c r="V122" s="19">
        <f t="shared" si="110"/>
        <v>5.2629676617208632E-2</v>
      </c>
      <c r="W122" s="2"/>
      <c r="X122" s="2">
        <f t="shared" si="111"/>
        <v>-239603.34</v>
      </c>
      <c r="Y122" s="2"/>
      <c r="Z122" s="19">
        <f t="shared" si="112"/>
        <v>-0.98551494206560886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8" t="s">
        <v>276</v>
      </c>
      <c r="C124" s="28"/>
      <c r="D124" s="20">
        <f>+D28-D30+D119</f>
        <v>-62136.580000000031</v>
      </c>
      <c r="E124" s="14"/>
      <c r="F124" s="21">
        <f>IF(D$12=0,0,D124/D$12)</f>
        <v>-1.0061830061655179</v>
      </c>
      <c r="G124" s="14"/>
      <c r="H124" s="20">
        <f>+H28-H30+H119</f>
        <v>-148954.99000000002</v>
      </c>
      <c r="I124" s="14"/>
      <c r="J124" s="21">
        <f>IF(H$12=0,0,H124/H$12)</f>
        <v>0</v>
      </c>
      <c r="K124" s="15"/>
      <c r="L124" s="20">
        <f>+D124-H124</f>
        <v>86818.409999999989</v>
      </c>
      <c r="M124" s="15"/>
      <c r="N124" s="21">
        <f>IF(H124=0,0,L124/H124)</f>
        <v>-0.58284996024638036</v>
      </c>
      <c r="O124" s="29"/>
      <c r="P124" s="20">
        <f>+P28-P30+P119</f>
        <v>-710632.8600000001</v>
      </c>
      <c r="Q124" s="14"/>
      <c r="R124" s="21">
        <f>IF(P$12=0,0,P124/P$12)</f>
        <v>-1.3708855128948527</v>
      </c>
      <c r="S124" s="14"/>
      <c r="T124" s="20">
        <f>+T28-T30+T119</f>
        <v>-1033153.4400000012</v>
      </c>
      <c r="U124" s="14"/>
      <c r="V124" s="21">
        <f>IF(T$12=0,0,T124/T$12)</f>
        <v>-0.22364843998020742</v>
      </c>
      <c r="W124" s="15"/>
      <c r="X124" s="20">
        <f>+P124-T124</f>
        <v>322520.58000000112</v>
      </c>
      <c r="Y124" s="15"/>
      <c r="Z124" s="21">
        <f>IF(T124=0,0,X124/T124)</f>
        <v>-0.31217103627898751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15245.01</v>
      </c>
      <c r="E126" s="4"/>
      <c r="F126" s="13">
        <f>IF(D$12=0,0,D126/D$12)</f>
        <v>0.24686376351616673</v>
      </c>
      <c r="G126" s="4"/>
      <c r="H126" s="4">
        <v>22532.89</v>
      </c>
      <c r="I126" s="4"/>
      <c r="J126" s="13">
        <f>IF(H$12=0,0,H126/H$12)</f>
        <v>0</v>
      </c>
      <c r="K126" s="4"/>
      <c r="L126" s="4">
        <f>+D126-H126</f>
        <v>-7287.8799999999992</v>
      </c>
      <c r="M126" s="4"/>
      <c r="N126" s="13">
        <f>IF(H126=0,0,L126/H126)</f>
        <v>-0.32343299061948999</v>
      </c>
      <c r="O126" s="11"/>
      <c r="P126" s="4">
        <v>110771.83</v>
      </c>
      <c r="Q126" s="4"/>
      <c r="R126" s="13">
        <f>IF(P$12=0,0,P126/P$12)</f>
        <v>0.21369050818147001</v>
      </c>
      <c r="S126" s="4"/>
      <c r="T126" s="4">
        <v>547048.86</v>
      </c>
      <c r="U126" s="4"/>
      <c r="V126" s="13">
        <f>IF(T$12=0,0,T126/T$12)</f>
        <v>0.11842057471342372</v>
      </c>
      <c r="W126" s="4"/>
      <c r="X126" s="4">
        <f>+P126-T126</f>
        <v>-436277.02999999997</v>
      </c>
      <c r="Y126" s="4"/>
      <c r="Z126" s="13">
        <f>IF(T126=0,0,X126/T126)</f>
        <v>-0.79751017121212897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125</v>
      </c>
      <c r="C128" s="28"/>
      <c r="D128" s="35">
        <f>+D124-D126</f>
        <v>-77381.590000000026</v>
      </c>
      <c r="E128" s="14"/>
      <c r="F128" s="36">
        <f>IF(D$12=0,0,D128/D$12)</f>
        <v>-1.2530467696816847</v>
      </c>
      <c r="G128" s="14"/>
      <c r="H128" s="35">
        <f>+H124-H126</f>
        <v>-171487.88</v>
      </c>
      <c r="I128" s="14"/>
      <c r="J128" s="36">
        <f>IF(H$12=0,0,H128/H$12)</f>
        <v>0</v>
      </c>
      <c r="K128" s="15"/>
      <c r="L128" s="35">
        <f>D128-H128</f>
        <v>94106.289999999979</v>
      </c>
      <c r="M128" s="15"/>
      <c r="N128" s="36">
        <f>IF(H128=0,0,L128/H128)</f>
        <v>-0.54876350445290933</v>
      </c>
      <c r="O128" s="29"/>
      <c r="P128" s="35">
        <f>+P124-P126</f>
        <v>-821404.69000000006</v>
      </c>
      <c r="Q128" s="14"/>
      <c r="R128" s="36">
        <f>IF(P$12=0,0,P128/P$12)</f>
        <v>-1.5845760210763227</v>
      </c>
      <c r="S128" s="14"/>
      <c r="T128" s="35">
        <f>+T124-T126</f>
        <v>-1580202.3000000012</v>
      </c>
      <c r="U128" s="14"/>
      <c r="V128" s="36">
        <f>IF(T$12=0,0,T128/T$12)</f>
        <v>-0.34206901469363116</v>
      </c>
      <c r="W128" s="15"/>
      <c r="X128" s="35">
        <f>P128-T128</f>
        <v>758797.61000000115</v>
      </c>
      <c r="Y128" s="15"/>
      <c r="Z128" s="36">
        <f>IF(T128=0,0,X128/T128)</f>
        <v>-0.4801901693219916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8" t="s">
        <v>293</v>
      </c>
      <c r="C131" s="28"/>
      <c r="D131" s="30">
        <f>SUM(D128:D130)</f>
        <v>-77381.590000000026</v>
      </c>
      <c r="E131" s="14"/>
      <c r="F131" s="31">
        <f>IF(D$12=0,0,D131/D$12)</f>
        <v>-1.2530467696816847</v>
      </c>
      <c r="G131" s="14"/>
      <c r="H131" s="30">
        <f>SUM(H128:H130)</f>
        <v>-171487.88</v>
      </c>
      <c r="I131" s="14"/>
      <c r="J131" s="31">
        <f>IF(H$12=0,0,H131/H$12)</f>
        <v>0</v>
      </c>
      <c r="K131" s="15"/>
      <c r="L131" s="30">
        <f>+D131-H131</f>
        <v>94106.289999999979</v>
      </c>
      <c r="M131" s="15"/>
      <c r="N131" s="31">
        <f>IF(H131=0,0,L131/H131)</f>
        <v>-0.54876350445290933</v>
      </c>
      <c r="O131" s="29"/>
      <c r="P131" s="30">
        <f>SUM(P128:P130)</f>
        <v>-821404.69000000006</v>
      </c>
      <c r="Q131" s="14"/>
      <c r="R131" s="31">
        <f>IF(P$12=0,0,P131/P$12)</f>
        <v>-1.5845760210763227</v>
      </c>
      <c r="S131" s="14"/>
      <c r="T131" s="30">
        <f>SUM(T128:T130)</f>
        <v>-1580202.3000000012</v>
      </c>
      <c r="U131" s="14"/>
      <c r="V131" s="31">
        <f>IF(T$12=0,0,T131/T$12)</f>
        <v>-0.34206901469363116</v>
      </c>
      <c r="W131" s="15"/>
      <c r="X131" s="30">
        <f>+P131-T131</f>
        <v>758797.61000000115</v>
      </c>
      <c r="Y131" s="15"/>
      <c r="Z131" s="31">
        <f>IF(T131=0,0,X131/T131)</f>
        <v>-0.4801901693219916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9">
        <v>44356.893311840278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52" t="s">
        <v>56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4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721341.64</v>
      </c>
      <c r="U12" s="4"/>
      <c r="V12" s="13"/>
      <c r="W12" s="4"/>
      <c r="X12" s="4">
        <f t="shared" ref="X12:X14" si="2">+P12-T12</f>
        <v>-721341.64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--149614.63</f>
        <v>149614.63</v>
      </c>
      <c r="U13" s="2"/>
      <c r="V13" s="19"/>
      <c r="W13" s="2"/>
      <c r="X13" s="2">
        <f t="shared" si="2"/>
        <v>-149614.63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--571727.01</f>
        <v>571727.01</v>
      </c>
      <c r="U14" s="2"/>
      <c r="V14" s="19"/>
      <c r="W14" s="2"/>
      <c r="X14" s="2">
        <f t="shared" si="2"/>
        <v>-571727.01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6898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-6898</v>
      </c>
      <c r="M16" s="4"/>
      <c r="N16" s="13">
        <f t="shared" ref="N16:N18" si="10">IF(H16=0,0,L16/H16)</f>
        <v>-1</v>
      </c>
      <c r="O16" s="11"/>
      <c r="P16" s="4">
        <f>SUM(OSRRefP16x_0)</f>
        <v>-2369.5500000000002</v>
      </c>
      <c r="Q16" s="4"/>
      <c r="R16" s="13">
        <f t="shared" ref="R16:R18" si="11">IF(P$12=0,0,P16/P$12)</f>
        <v>0</v>
      </c>
      <c r="S16" s="4"/>
      <c r="T16" s="4">
        <f>SUM(OSRRefT16x_0)</f>
        <v>294688.14</v>
      </c>
      <c r="U16" s="4"/>
      <c r="V16" s="13">
        <f t="shared" ref="V16:V18" si="12">IF(T$12=0,0,T16/T$12)</f>
        <v>0.40852783710087776</v>
      </c>
      <c r="W16" s="4"/>
      <c r="X16" s="4">
        <f t="shared" ref="X16:X18" si="13">+P16-T16</f>
        <v>-297057.69</v>
      </c>
      <c r="Y16" s="4"/>
      <c r="Z16" s="13">
        <f t="shared" ref="Z16:Z18" si="14">IF(T16=0,0,X16/T16)</f>
        <v>-1.0080408733110195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>
        <v>-2369.5500000000002</v>
      </c>
      <c r="Q17" s="2"/>
      <c r="R17" s="19">
        <f t="shared" si="11"/>
        <v>0</v>
      </c>
      <c r="S17" s="2"/>
      <c r="T17" s="2">
        <v>288904.14</v>
      </c>
      <c r="U17" s="2"/>
      <c r="V17" s="19">
        <f t="shared" si="12"/>
        <v>0.40050944515001241</v>
      </c>
      <c r="W17" s="2"/>
      <c r="X17" s="2">
        <f t="shared" si="13"/>
        <v>-291273.69</v>
      </c>
      <c r="Y17" s="2"/>
      <c r="Z17" s="19">
        <f t="shared" si="14"/>
        <v>-1.008201855466661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6898</v>
      </c>
      <c r="I18" s="2"/>
      <c r="J18" s="19">
        <f t="shared" si="8"/>
        <v>0</v>
      </c>
      <c r="K18" s="2"/>
      <c r="L18" s="2">
        <f t="shared" si="9"/>
        <v>-6898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5784</v>
      </c>
      <c r="U18" s="2"/>
      <c r="V18" s="19">
        <f t="shared" si="12"/>
        <v>8.0183919508653341E-3</v>
      </c>
      <c r="W18" s="2"/>
      <c r="X18" s="2">
        <f t="shared" si="13"/>
        <v>-5784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-6898</v>
      </c>
      <c r="I20" s="14"/>
      <c r="J20" s="21">
        <f>IF(H$12=0,0,H20/H$12)</f>
        <v>0</v>
      </c>
      <c r="K20" s="15"/>
      <c r="L20" s="20">
        <f>+D20-H20</f>
        <v>6898</v>
      </c>
      <c r="M20" s="15"/>
      <c r="N20" s="21">
        <f>IF(H20=0,0,L20/H20)</f>
        <v>-1</v>
      </c>
      <c r="O20" s="29"/>
      <c r="P20" s="20">
        <f>P12-P16</f>
        <v>2369.5500000000002</v>
      </c>
      <c r="Q20" s="14"/>
      <c r="R20" s="21">
        <f>IF(P$12=0,0,P20/P$12)</f>
        <v>0</v>
      </c>
      <c r="S20" s="14"/>
      <c r="T20" s="20">
        <f>T12-T16</f>
        <v>426653.5</v>
      </c>
      <c r="U20" s="14"/>
      <c r="V20" s="21">
        <f>IF(T$12=0,0,T20/T$12)</f>
        <v>0.59147216289912219</v>
      </c>
      <c r="W20" s="15"/>
      <c r="X20" s="20">
        <f>+P20-T20</f>
        <v>-424283.95</v>
      </c>
      <c r="Y20" s="15"/>
      <c r="Z20" s="21">
        <f>IF(T20=0,0,X20/T20)</f>
        <v>-0.99444619580057358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7546.01</v>
      </c>
      <c r="E22" s="22"/>
      <c r="F22" s="32">
        <f t="shared" ref="F22:F31" si="15">IF(D$12=0,0,D22/D$12)</f>
        <v>0</v>
      </c>
      <c r="G22" s="22"/>
      <c r="H22" s="22">
        <f>SUM(OSRRefH22x_0)</f>
        <v>9736.06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-2190.0499999999993</v>
      </c>
      <c r="M22" s="4"/>
      <c r="N22" s="32">
        <f t="shared" ref="N22:N31" si="18">IF(H22=0,0,L22/H22)</f>
        <v>-0.22494212237804609</v>
      </c>
      <c r="O22" s="11"/>
      <c r="P22" s="22">
        <f>SUM(OSRRefP22x_0)</f>
        <v>81930.439999999988</v>
      </c>
      <c r="Q22" s="22"/>
      <c r="R22" s="32">
        <f t="shared" ref="R22:R31" si="19">IF(P$12=0,0,P22/P$12)</f>
        <v>0</v>
      </c>
      <c r="S22" s="22"/>
      <c r="T22" s="22">
        <f>SUM(OSRRefT22x_0)</f>
        <v>525784.86</v>
      </c>
      <c r="U22" s="22"/>
      <c r="V22" s="32">
        <f t="shared" ref="V22:V31" si="20">IF(T$12=0,0,T22/T$12)</f>
        <v>0.72889852858071524</v>
      </c>
      <c r="W22" s="4"/>
      <c r="X22" s="22">
        <f t="shared" ref="X22:X31" si="21">+P22-T22</f>
        <v>-443854.42</v>
      </c>
      <c r="Y22" s="4"/>
      <c r="Z22" s="32">
        <f t="shared" ref="Z22:Z31" si="22">IF(T22=0,0,X22/T22)</f>
        <v>-0.84417497301082423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0.83</v>
      </c>
      <c r="Q23" s="1"/>
      <c r="R23" s="5">
        <f t="shared" si="19"/>
        <v>0</v>
      </c>
      <c r="S23" s="1"/>
      <c r="T23" s="1">
        <f>SUM(OSRRefT22_0x_0)</f>
        <v>44026.969999999994</v>
      </c>
      <c r="U23" s="1"/>
      <c r="V23" s="5">
        <f t="shared" si="20"/>
        <v>6.1034837805841895E-2</v>
      </c>
      <c r="W23" s="1"/>
      <c r="X23" s="1">
        <f t="shared" si="21"/>
        <v>-44026.139999999992</v>
      </c>
      <c r="Y23" s="1"/>
      <c r="Z23" s="5">
        <f t="shared" si="22"/>
        <v>-0.99998114791910497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>
        <v>0.83</v>
      </c>
      <c r="Q24" s="2"/>
      <c r="R24" s="7">
        <f t="shared" si="19"/>
        <v>0</v>
      </c>
      <c r="S24" s="2"/>
      <c r="T24" s="6">
        <v>9200.35</v>
      </c>
      <c r="U24" s="2"/>
      <c r="V24" s="7">
        <f t="shared" si="20"/>
        <v>1.2754497300336079E-2</v>
      </c>
      <c r="W24" s="2"/>
      <c r="X24" s="6">
        <f t="shared" si="21"/>
        <v>-9199.52</v>
      </c>
      <c r="Y24" s="2"/>
      <c r="Z24" s="7">
        <f t="shared" si="22"/>
        <v>-0.99990978604074843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8884.57</v>
      </c>
      <c r="U25" s="2"/>
      <c r="V25" s="7">
        <f t="shared" si="20"/>
        <v>1.2316729698288316E-2</v>
      </c>
      <c r="W25" s="2"/>
      <c r="X25" s="6">
        <f t="shared" si="21"/>
        <v>-8884.57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12146.21</v>
      </c>
      <c r="U26" s="2"/>
      <c r="V26" s="7">
        <f t="shared" si="20"/>
        <v>1.6838359698741361E-2</v>
      </c>
      <c r="W26" s="2"/>
      <c r="X26" s="6">
        <f t="shared" si="21"/>
        <v>-12146.21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699.48</v>
      </c>
      <c r="U27" s="2"/>
      <c r="V27" s="7">
        <f t="shared" si="20"/>
        <v>9.6969308468037425E-4</v>
      </c>
      <c r="W27" s="2"/>
      <c r="X27" s="6">
        <f t="shared" si="21"/>
        <v>-699.48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6335.08</v>
      </c>
      <c r="U28" s="2"/>
      <c r="V28" s="7">
        <f t="shared" si="20"/>
        <v>8.7823572752572555E-3</v>
      </c>
      <c r="W28" s="2"/>
      <c r="X28" s="6">
        <f t="shared" si="21"/>
        <v>-6335.08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3696.18</v>
      </c>
      <c r="U29" s="2"/>
      <c r="V29" s="7">
        <f t="shared" si="20"/>
        <v>5.1240352629580623E-3</v>
      </c>
      <c r="W29" s="2"/>
      <c r="X29" s="6">
        <f t="shared" si="21"/>
        <v>-3696.18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508.77</v>
      </c>
      <c r="U30" s="2"/>
      <c r="V30" s="7">
        <f t="shared" si="20"/>
        <v>7.0531073181911411E-4</v>
      </c>
      <c r="W30" s="2"/>
      <c r="X30" s="6">
        <f t="shared" si="21"/>
        <v>-508.77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2556.33</v>
      </c>
      <c r="U31" s="2"/>
      <c r="V31" s="7">
        <f t="shared" si="20"/>
        <v>3.5438547537613384E-3</v>
      </c>
      <c r="W31" s="2"/>
      <c r="X31" s="6">
        <f t="shared" si="21"/>
        <v>-2556.33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2"/>
      <c r="P32" s="1">
        <f>SUM(OSRRefP22_1x_0)</f>
        <v>0</v>
      </c>
      <c r="Q32" s="1"/>
      <c r="R32" s="5">
        <f t="shared" ref="R32:R36" si="27">IF(P$12=0,0,P32/P$12)</f>
        <v>0</v>
      </c>
      <c r="S32" s="1"/>
      <c r="T32" s="1">
        <f>SUM(OSRRefT22_1x_0)</f>
        <v>247791.51</v>
      </c>
      <c r="U32" s="1"/>
      <c r="V32" s="5">
        <f t="shared" ref="V32:V36" si="28">IF(T$12=0,0,T32/T$12)</f>
        <v>0.34351477338809944</v>
      </c>
      <c r="W32" s="1"/>
      <c r="X32" s="1">
        <f t="shared" ref="X32:X36" si="29">+P32-T32</f>
        <v>-247791.51</v>
      </c>
      <c r="Y32" s="1"/>
      <c r="Z32" s="5">
        <f t="shared" ref="Z32:Z36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97485.84</v>
      </c>
      <c r="U33" s="2"/>
      <c r="V33" s="7">
        <f t="shared" si="28"/>
        <v>0.13514517198813034</v>
      </c>
      <c r="W33" s="2"/>
      <c r="X33" s="6">
        <f t="shared" si="29"/>
        <v>-97485.84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45.5</v>
      </c>
      <c r="U34" s="2"/>
      <c r="V34" s="7">
        <f t="shared" si="28"/>
        <v>6.3076907635610771E-5</v>
      </c>
      <c r="W34" s="2"/>
      <c r="X34" s="6">
        <f t="shared" si="29"/>
        <v>-45.5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142995.32</v>
      </c>
      <c r="U35" s="2"/>
      <c r="V35" s="7">
        <f t="shared" si="28"/>
        <v>0.19823522180141992</v>
      </c>
      <c r="W35" s="2"/>
      <c r="X35" s="6">
        <f t="shared" si="29"/>
        <v>-142995.32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7264.85</v>
      </c>
      <c r="U36" s="2"/>
      <c r="V36" s="7">
        <f t="shared" si="28"/>
        <v>1.007130269091356E-2</v>
      </c>
      <c r="W36" s="2"/>
      <c r="X36" s="6">
        <f t="shared" si="29"/>
        <v>-7264.85</v>
      </c>
      <c r="Y36" s="2"/>
      <c r="Z36" s="7">
        <f t="shared" si="30"/>
        <v>-1</v>
      </c>
    </row>
    <row r="37" spans="1:26" s="26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5" si="31">IF(D$12=0,0,D37/D$12)</f>
        <v>0</v>
      </c>
      <c r="G37" s="1"/>
      <c r="H37" s="1">
        <f>SUM(OSRRefH22_2x_0)</f>
        <v>30.68</v>
      </c>
      <c r="I37" s="1"/>
      <c r="J37" s="5">
        <f t="shared" ref="J37:J45" si="32">IF(H$12=0,0,H37/H$12)</f>
        <v>0</v>
      </c>
      <c r="K37" s="1"/>
      <c r="L37" s="1">
        <f t="shared" ref="L37:L45" si="33">+D37-H37</f>
        <v>-30.68</v>
      </c>
      <c r="M37" s="1"/>
      <c r="N37" s="5">
        <f t="shared" ref="N37:N45" si="34">IF(H37=0,0,L37/H37)</f>
        <v>-1</v>
      </c>
      <c r="O37" s="12"/>
      <c r="P37" s="1">
        <f>SUM(OSRRefP22_2x_0)</f>
        <v>0</v>
      </c>
      <c r="Q37" s="1"/>
      <c r="R37" s="5">
        <f t="shared" ref="R37:R45" si="35">IF(P$12=0,0,P37/P$12)</f>
        <v>0</v>
      </c>
      <c r="S37" s="1"/>
      <c r="T37" s="1">
        <f>SUM(OSRRefT22_2x_0)</f>
        <v>1426.98</v>
      </c>
      <c r="U37" s="1"/>
      <c r="V37" s="5">
        <f t="shared" ref="V37:V45" si="36">IF(T$12=0,0,T37/T$12)</f>
        <v>1.9782304540189861E-3</v>
      </c>
      <c r="W37" s="1"/>
      <c r="X37" s="1">
        <f t="shared" ref="X37:X45" si="37">+P37-T37</f>
        <v>-1426.98</v>
      </c>
      <c r="Y37" s="1"/>
      <c r="Z37" s="5">
        <f t="shared" ref="Z37:Z45" si="38">IF(T37=0,0,X37/T37)</f>
        <v>-1</v>
      </c>
    </row>
    <row r="38" spans="1:26" s="23" customFormat="1" hidden="1" outlineLevel="2" x14ac:dyDescent="0.25">
      <c r="A38" s="27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31"/>
        <v>0</v>
      </c>
      <c r="G38" s="2"/>
      <c r="H38" s="6">
        <v>30.68</v>
      </c>
      <c r="I38" s="2"/>
      <c r="J38" s="7">
        <f t="shared" si="32"/>
        <v>0</v>
      </c>
      <c r="K38" s="2"/>
      <c r="L38" s="6">
        <f t="shared" si="33"/>
        <v>-30.68</v>
      </c>
      <c r="M38" s="2"/>
      <c r="N38" s="7">
        <f t="shared" si="34"/>
        <v>-1</v>
      </c>
      <c r="O38" s="10"/>
      <c r="P38" s="6"/>
      <c r="Q38" s="2"/>
      <c r="R38" s="7">
        <f t="shared" si="35"/>
        <v>0</v>
      </c>
      <c r="S38" s="2"/>
      <c r="T38" s="6">
        <v>1426.98</v>
      </c>
      <c r="U38" s="2"/>
      <c r="V38" s="7">
        <f t="shared" si="36"/>
        <v>1.9782304540189861E-3</v>
      </c>
      <c r="W38" s="2"/>
      <c r="X38" s="6">
        <f t="shared" si="37"/>
        <v>-1426.98</v>
      </c>
      <c r="Y38" s="2"/>
      <c r="Z38" s="7">
        <f t="shared" si="38"/>
        <v>-1</v>
      </c>
    </row>
    <row r="39" spans="1:26" s="26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2"/>
      <c r="P39" s="1">
        <f>SUM(OSRRefP22_3x_0)</f>
        <v>0</v>
      </c>
      <c r="Q39" s="1"/>
      <c r="R39" s="5">
        <f t="shared" si="35"/>
        <v>0</v>
      </c>
      <c r="S39" s="1"/>
      <c r="T39" s="1">
        <f>SUM(OSRRefT22_3x_0)</f>
        <v>195.92</v>
      </c>
      <c r="U39" s="1"/>
      <c r="V39" s="5">
        <f t="shared" si="36"/>
        <v>2.7160500536195303E-4</v>
      </c>
      <c r="W39" s="1"/>
      <c r="X39" s="1">
        <f t="shared" si="37"/>
        <v>-195.92</v>
      </c>
      <c r="Y39" s="1"/>
      <c r="Z39" s="5">
        <f t="shared" si="38"/>
        <v>-1</v>
      </c>
    </row>
    <row r="40" spans="1:26" s="23" customFormat="1" hidden="1" outlineLevel="2" x14ac:dyDescent="0.25">
      <c r="A40" s="27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195.92</v>
      </c>
      <c r="U40" s="2"/>
      <c r="V40" s="7">
        <f t="shared" si="36"/>
        <v>2.7160500536195303E-4</v>
      </c>
      <c r="W40" s="2"/>
      <c r="X40" s="6">
        <f t="shared" si="37"/>
        <v>-195.92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SUM(OSRRefP22_4x_0)</f>
        <v>0</v>
      </c>
      <c r="Q41" s="1"/>
      <c r="R41" s="5">
        <f t="shared" si="35"/>
        <v>0</v>
      </c>
      <c r="S41" s="1"/>
      <c r="T41" s="1">
        <f>SUM(OSRRefT22_4x_0)</f>
        <v>25022.13</v>
      </c>
      <c r="U41" s="1"/>
      <c r="V41" s="5">
        <f t="shared" si="36"/>
        <v>3.4688320502335064E-2</v>
      </c>
      <c r="W41" s="1"/>
      <c r="X41" s="1">
        <f t="shared" si="37"/>
        <v>-25022.13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25022.13</v>
      </c>
      <c r="U42" s="2"/>
      <c r="V42" s="7">
        <f t="shared" si="36"/>
        <v>3.4688320502335064E-2</v>
      </c>
      <c r="W42" s="2"/>
      <c r="X42" s="6">
        <f t="shared" si="37"/>
        <v>-25022.13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SUM(OSRRefD22_5x_0)</f>
        <v>5233.01</v>
      </c>
      <c r="E43" s="1"/>
      <c r="F43" s="5">
        <f t="shared" si="31"/>
        <v>0</v>
      </c>
      <c r="G43" s="1"/>
      <c r="H43" s="1">
        <f>SUM(OSRRefH22_5x_0)</f>
        <v>5330.0599999999995</v>
      </c>
      <c r="I43" s="1"/>
      <c r="J43" s="5">
        <f t="shared" si="32"/>
        <v>0</v>
      </c>
      <c r="K43" s="1"/>
      <c r="L43" s="1">
        <f t="shared" si="33"/>
        <v>-97.049999999999272</v>
      </c>
      <c r="M43" s="1"/>
      <c r="N43" s="5">
        <f t="shared" si="34"/>
        <v>-1.8208050190804473E-2</v>
      </c>
      <c r="O43" s="12"/>
      <c r="P43" s="1">
        <f>SUM(OSRRefP22_5x_0)</f>
        <v>57854.229999999996</v>
      </c>
      <c r="Q43" s="1"/>
      <c r="R43" s="5">
        <f t="shared" si="35"/>
        <v>0</v>
      </c>
      <c r="S43" s="1"/>
      <c r="T43" s="1">
        <f>SUM(OSRRefT22_5x_0)</f>
        <v>61279.76</v>
      </c>
      <c r="U43" s="1"/>
      <c r="V43" s="5">
        <f t="shared" si="36"/>
        <v>8.4952478273679036E-2</v>
      </c>
      <c r="W43" s="1"/>
      <c r="X43" s="1">
        <f t="shared" si="37"/>
        <v>-3425.5300000000061</v>
      </c>
      <c r="Y43" s="1"/>
      <c r="Z43" s="5">
        <f t="shared" si="38"/>
        <v>-5.5899859921122508E-2</v>
      </c>
    </row>
    <row r="44" spans="1:26" s="23" customFormat="1" hidden="1" outlineLevel="2" x14ac:dyDescent="0.25">
      <c r="A44" s="27"/>
      <c r="B44" s="10" t="str">
        <f>CONCATENATE("          ", "6321", " - ", "BUILDING DEPRECIATION")</f>
        <v xml:space="preserve">          6321 - BUILDING DEPRECIATION</v>
      </c>
      <c r="C44" s="10"/>
      <c r="D44" s="6">
        <v>4626.5</v>
      </c>
      <c r="E44" s="2"/>
      <c r="F44" s="7">
        <f t="shared" si="31"/>
        <v>0</v>
      </c>
      <c r="G44" s="2"/>
      <c r="H44" s="6">
        <v>4626.5</v>
      </c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>
        <v>50891.5</v>
      </c>
      <c r="Q44" s="2"/>
      <c r="R44" s="7">
        <f t="shared" si="35"/>
        <v>0</v>
      </c>
      <c r="S44" s="2"/>
      <c r="T44" s="6">
        <v>50891.5</v>
      </c>
      <c r="U44" s="2"/>
      <c r="V44" s="7">
        <f t="shared" si="36"/>
        <v>7.0551174614015069E-2</v>
      </c>
      <c r="W44" s="2"/>
      <c r="X44" s="6">
        <f t="shared" si="37"/>
        <v>0</v>
      </c>
      <c r="Y44" s="2"/>
      <c r="Z44" s="7">
        <f t="shared" si="38"/>
        <v>0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606.51</v>
      </c>
      <c r="E45" s="2"/>
      <c r="F45" s="7">
        <f t="shared" si="31"/>
        <v>0</v>
      </c>
      <c r="G45" s="2"/>
      <c r="H45" s="6">
        <v>703.56</v>
      </c>
      <c r="I45" s="2"/>
      <c r="J45" s="7">
        <f t="shared" si="32"/>
        <v>0</v>
      </c>
      <c r="K45" s="2"/>
      <c r="L45" s="6">
        <f t="shared" si="33"/>
        <v>-97.049999999999955</v>
      </c>
      <c r="M45" s="2"/>
      <c r="N45" s="7">
        <f t="shared" si="34"/>
        <v>-0.13794132696571715</v>
      </c>
      <c r="O45" s="10"/>
      <c r="P45" s="6">
        <v>6962.73</v>
      </c>
      <c r="Q45" s="2"/>
      <c r="R45" s="7">
        <f t="shared" si="35"/>
        <v>0</v>
      </c>
      <c r="S45" s="2"/>
      <c r="T45" s="6">
        <v>10388.26</v>
      </c>
      <c r="U45" s="2"/>
      <c r="V45" s="7">
        <f t="shared" si="36"/>
        <v>1.4401303659663956E-2</v>
      </c>
      <c r="W45" s="2"/>
      <c r="X45" s="6">
        <f t="shared" si="37"/>
        <v>-3425.5300000000007</v>
      </c>
      <c r="Y45" s="2"/>
      <c r="Z45" s="7">
        <f t="shared" si="38"/>
        <v>-0.32975012177207741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ref="F46:F56" si="39">IF(D$12=0,0,D46/D$12)</f>
        <v>0</v>
      </c>
      <c r="G46" s="1"/>
      <c r="H46" s="1">
        <f>SUM(OSRRefH22_6x_0)</f>
        <v>0</v>
      </c>
      <c r="I46" s="1"/>
      <c r="J46" s="5">
        <f t="shared" ref="J46:J56" si="40">IF(H$12=0,0,H46/H$12)</f>
        <v>0</v>
      </c>
      <c r="K46" s="1"/>
      <c r="L46" s="1">
        <f t="shared" ref="L46:L56" si="41">+D46-H46</f>
        <v>0</v>
      </c>
      <c r="M46" s="1"/>
      <c r="N46" s="5">
        <f t="shared" ref="N46:N56" si="42">IF(H46=0,0,L46/H46)</f>
        <v>0</v>
      </c>
      <c r="O46" s="12"/>
      <c r="P46" s="1">
        <f>SUM(OSRRefP22_6x_0)</f>
        <v>0</v>
      </c>
      <c r="Q46" s="1"/>
      <c r="R46" s="5">
        <f t="shared" ref="R46:R56" si="43">IF(P$12=0,0,P46/P$12)</f>
        <v>0</v>
      </c>
      <c r="S46" s="1"/>
      <c r="T46" s="1">
        <f>SUM(OSRRefT22_6x_0)</f>
        <v>186.48</v>
      </c>
      <c r="U46" s="1"/>
      <c r="V46" s="5">
        <f t="shared" ref="V46:V56" si="44">IF(T$12=0,0,T46/T$12)</f>
        <v>2.585182799096417E-4</v>
      </c>
      <c r="W46" s="1"/>
      <c r="X46" s="1">
        <f t="shared" ref="X46:X56" si="45">+P46-T46</f>
        <v>-186.48</v>
      </c>
      <c r="Y46" s="1"/>
      <c r="Z46" s="5">
        <f t="shared" ref="Z46:Z56" si="46">IF(T46=0,0,X46/T46)</f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9"/>
        <v>0</v>
      </c>
      <c r="G47" s="2"/>
      <c r="H47" s="6"/>
      <c r="I47" s="2"/>
      <c r="J47" s="7">
        <f t="shared" si="40"/>
        <v>0</v>
      </c>
      <c r="K47" s="2"/>
      <c r="L47" s="6">
        <f t="shared" si="41"/>
        <v>0</v>
      </c>
      <c r="M47" s="2"/>
      <c r="N47" s="7">
        <f t="shared" si="42"/>
        <v>0</v>
      </c>
      <c r="O47" s="10"/>
      <c r="P47" s="6"/>
      <c r="Q47" s="2"/>
      <c r="R47" s="7">
        <f t="shared" si="43"/>
        <v>0</v>
      </c>
      <c r="S47" s="2"/>
      <c r="T47" s="6">
        <v>186.48</v>
      </c>
      <c r="U47" s="2"/>
      <c r="V47" s="7">
        <f t="shared" si="44"/>
        <v>2.585182799096417E-4</v>
      </c>
      <c r="W47" s="2"/>
      <c r="X47" s="6">
        <f t="shared" si="45"/>
        <v>-186.48</v>
      </c>
      <c r="Y47" s="2"/>
      <c r="Z47" s="7">
        <f t="shared" si="46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9"/>
        <v>0</v>
      </c>
      <c r="G48" s="1"/>
      <c r="H48" s="1">
        <f>SUM(OSRRefH22_7x_0)</f>
        <v>240.32</v>
      </c>
      <c r="I48" s="1"/>
      <c r="J48" s="5">
        <f t="shared" si="40"/>
        <v>0</v>
      </c>
      <c r="K48" s="1"/>
      <c r="L48" s="1">
        <f t="shared" si="41"/>
        <v>-240.32</v>
      </c>
      <c r="M48" s="1"/>
      <c r="N48" s="5">
        <f t="shared" si="42"/>
        <v>-1</v>
      </c>
      <c r="O48" s="12"/>
      <c r="P48" s="1">
        <f>SUM(OSRRefP22_7x_0)</f>
        <v>96.3</v>
      </c>
      <c r="Q48" s="1"/>
      <c r="R48" s="5">
        <f t="shared" si="43"/>
        <v>0</v>
      </c>
      <c r="S48" s="1"/>
      <c r="T48" s="1">
        <f>SUM(OSRRefT22_7x_0)</f>
        <v>3521.32</v>
      </c>
      <c r="U48" s="1"/>
      <c r="V48" s="5">
        <f t="shared" si="44"/>
        <v>4.8816258548445924E-3</v>
      </c>
      <c r="W48" s="1"/>
      <c r="X48" s="1">
        <f t="shared" si="45"/>
        <v>-3425.02</v>
      </c>
      <c r="Y48" s="1"/>
      <c r="Z48" s="5">
        <f t="shared" si="46"/>
        <v>-0.97265230084172971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9"/>
        <v>0</v>
      </c>
      <c r="G49" s="2"/>
      <c r="H49" s="6">
        <v>240.32</v>
      </c>
      <c r="I49" s="2"/>
      <c r="J49" s="7">
        <f t="shared" si="40"/>
        <v>0</v>
      </c>
      <c r="K49" s="2"/>
      <c r="L49" s="6">
        <f t="shared" si="41"/>
        <v>-240.32</v>
      </c>
      <c r="M49" s="2"/>
      <c r="N49" s="7">
        <f t="shared" si="42"/>
        <v>-1</v>
      </c>
      <c r="O49" s="10"/>
      <c r="P49" s="6">
        <v>96.3</v>
      </c>
      <c r="Q49" s="2"/>
      <c r="R49" s="7">
        <f t="shared" si="43"/>
        <v>0</v>
      </c>
      <c r="S49" s="2"/>
      <c r="T49" s="6">
        <v>3521.32</v>
      </c>
      <c r="U49" s="2"/>
      <c r="V49" s="7">
        <f t="shared" si="44"/>
        <v>4.8816258548445924E-3</v>
      </c>
      <c r="W49" s="2"/>
      <c r="X49" s="6">
        <f t="shared" si="45"/>
        <v>-3425.02</v>
      </c>
      <c r="Y49" s="2"/>
      <c r="Z49" s="7">
        <f t="shared" si="46"/>
        <v>-0.97265230084172971</v>
      </c>
    </row>
    <row r="50" spans="1:26" s="26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9"/>
        <v>0</v>
      </c>
      <c r="G50" s="1"/>
      <c r="H50" s="1">
        <f>SUM(OSRRefH22_8x_0)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SUM(OSRRefP22_8x_0)</f>
        <v>0</v>
      </c>
      <c r="Q50" s="1"/>
      <c r="R50" s="5">
        <f t="shared" si="43"/>
        <v>0</v>
      </c>
      <c r="S50" s="1"/>
      <c r="T50" s="1">
        <f>SUM(OSRRefT22_8x_0)</f>
        <v>9308.4599999999991</v>
      </c>
      <c r="U50" s="1"/>
      <c r="V50" s="5">
        <f t="shared" si="44"/>
        <v>1.2904370805489614E-2</v>
      </c>
      <c r="W50" s="1"/>
      <c r="X50" s="1">
        <f t="shared" si="45"/>
        <v>-9308.4599999999991</v>
      </c>
      <c r="Y50" s="1"/>
      <c r="Z50" s="5">
        <f t="shared" si="46"/>
        <v>-1</v>
      </c>
    </row>
    <row r="51" spans="1:26" s="23" customFormat="1" hidden="1" outlineLevel="2" x14ac:dyDescent="0.25">
      <c r="A51" s="27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>
        <v>0</v>
      </c>
      <c r="Q51" s="2"/>
      <c r="R51" s="7">
        <f t="shared" si="43"/>
        <v>0</v>
      </c>
      <c r="S51" s="2"/>
      <c r="T51" s="6">
        <v>9308.4599999999991</v>
      </c>
      <c r="U51" s="2"/>
      <c r="V51" s="7">
        <f t="shared" si="44"/>
        <v>1.2904370805489614E-2</v>
      </c>
      <c r="W51" s="2"/>
      <c r="X51" s="6">
        <f t="shared" si="45"/>
        <v>-9308.4599999999991</v>
      </c>
      <c r="Y51" s="2"/>
      <c r="Z51" s="7">
        <f t="shared" si="46"/>
        <v>-1</v>
      </c>
    </row>
    <row r="52" spans="1:26" s="26" customFormat="1" outlineLevel="1" collapsed="1" x14ac:dyDescent="0.25">
      <c r="A52" s="25"/>
      <c r="B52" s="12" t="str">
        <f>CONCATENATE("     ","Rent                                              ")</f>
        <v xml:space="preserve">     Rent                                              </v>
      </c>
      <c r="C52" s="12"/>
      <c r="D52" s="1">
        <f>SUM(OSRRefD22_9x_0)</f>
        <v>1850</v>
      </c>
      <c r="E52" s="1"/>
      <c r="F52" s="5">
        <f t="shared" si="39"/>
        <v>0</v>
      </c>
      <c r="G52" s="1"/>
      <c r="H52" s="1">
        <f>SUM(OSRRefH22_9x_0)</f>
        <v>1850</v>
      </c>
      <c r="I52" s="1"/>
      <c r="J52" s="5">
        <f t="shared" si="40"/>
        <v>0</v>
      </c>
      <c r="K52" s="1"/>
      <c r="L52" s="1">
        <f t="shared" si="41"/>
        <v>0</v>
      </c>
      <c r="M52" s="1"/>
      <c r="N52" s="5">
        <f t="shared" si="42"/>
        <v>0</v>
      </c>
      <c r="O52" s="12"/>
      <c r="P52" s="1">
        <f>SUM(OSRRefP22_9x_0)</f>
        <v>14800</v>
      </c>
      <c r="Q52" s="1"/>
      <c r="R52" s="5">
        <f t="shared" si="43"/>
        <v>0</v>
      </c>
      <c r="S52" s="1"/>
      <c r="T52" s="1">
        <f>SUM(OSRRefT22_9x_0)</f>
        <v>20350</v>
      </c>
      <c r="U52" s="1"/>
      <c r="V52" s="5">
        <f t="shared" si="44"/>
        <v>2.821132022823471E-2</v>
      </c>
      <c r="W52" s="1"/>
      <c r="X52" s="1">
        <f t="shared" si="45"/>
        <v>-5550</v>
      </c>
      <c r="Y52" s="1"/>
      <c r="Z52" s="5">
        <f t="shared" si="46"/>
        <v>-0.27272727272727271</v>
      </c>
    </row>
    <row r="53" spans="1:26" s="23" customFormat="1" hidden="1" outlineLevel="2" x14ac:dyDescent="0.25">
      <c r="A53" s="27"/>
      <c r="B53" s="10" t="str">
        <f>CONCATENATE("          ", "6273", " - ", "RENT")</f>
        <v xml:space="preserve">          6273 - RENT</v>
      </c>
      <c r="C53" s="10"/>
      <c r="D53" s="6">
        <v>1850</v>
      </c>
      <c r="E53" s="2"/>
      <c r="F53" s="7">
        <f t="shared" si="39"/>
        <v>0</v>
      </c>
      <c r="G53" s="2"/>
      <c r="H53" s="6">
        <v>1850</v>
      </c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>
        <v>14800</v>
      </c>
      <c r="Q53" s="2"/>
      <c r="R53" s="7">
        <f t="shared" si="43"/>
        <v>0</v>
      </c>
      <c r="S53" s="2"/>
      <c r="T53" s="6">
        <v>20350</v>
      </c>
      <c r="U53" s="2"/>
      <c r="V53" s="7">
        <f t="shared" si="44"/>
        <v>2.821132022823471E-2</v>
      </c>
      <c r="W53" s="2"/>
      <c r="X53" s="6">
        <f t="shared" si="45"/>
        <v>-5550</v>
      </c>
      <c r="Y53" s="2"/>
      <c r="Z53" s="7">
        <f t="shared" si="46"/>
        <v>-0.27272727272727271</v>
      </c>
    </row>
    <row r="54" spans="1:26" s="26" customFormat="1" outlineLevel="1" collapsed="1" x14ac:dyDescent="0.25">
      <c r="A54" s="25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0</v>
      </c>
      <c r="E54" s="1"/>
      <c r="F54" s="5">
        <f t="shared" si="39"/>
        <v>0</v>
      </c>
      <c r="G54" s="1"/>
      <c r="H54" s="1">
        <f>SUM(OSRRefH22_10x_0)</f>
        <v>1799</v>
      </c>
      <c r="I54" s="1"/>
      <c r="J54" s="5">
        <f t="shared" si="40"/>
        <v>0</v>
      </c>
      <c r="K54" s="1"/>
      <c r="L54" s="1">
        <f t="shared" si="41"/>
        <v>-1799</v>
      </c>
      <c r="M54" s="1"/>
      <c r="N54" s="5">
        <f t="shared" si="42"/>
        <v>-1</v>
      </c>
      <c r="O54" s="12"/>
      <c r="P54" s="1">
        <f>SUM(OSRRefP22_10x_0)</f>
        <v>6387.65</v>
      </c>
      <c r="Q54" s="1"/>
      <c r="R54" s="5">
        <f t="shared" si="43"/>
        <v>0</v>
      </c>
      <c r="S54" s="1"/>
      <c r="T54" s="1">
        <f>SUM(OSRRefT22_10x_0)</f>
        <v>29214.12</v>
      </c>
      <c r="U54" s="1"/>
      <c r="V54" s="5">
        <f t="shared" si="44"/>
        <v>4.0499699975728561E-2</v>
      </c>
      <c r="W54" s="1"/>
      <c r="X54" s="1">
        <f t="shared" si="45"/>
        <v>-22826.47</v>
      </c>
      <c r="Y54" s="1"/>
      <c r="Z54" s="5">
        <f t="shared" si="46"/>
        <v>-0.78135059348013913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9"/>
        <v>0</v>
      </c>
      <c r="G55" s="2"/>
      <c r="H55" s="6">
        <v>1799</v>
      </c>
      <c r="I55" s="2"/>
      <c r="J55" s="7">
        <f t="shared" si="40"/>
        <v>0</v>
      </c>
      <c r="K55" s="2"/>
      <c r="L55" s="6">
        <f t="shared" si="41"/>
        <v>-1799</v>
      </c>
      <c r="M55" s="2"/>
      <c r="N55" s="7">
        <f t="shared" si="42"/>
        <v>-1</v>
      </c>
      <c r="O55" s="10"/>
      <c r="P55" s="6">
        <v>5845.65</v>
      </c>
      <c r="Q55" s="2"/>
      <c r="R55" s="7">
        <f t="shared" si="43"/>
        <v>0</v>
      </c>
      <c r="S55" s="2"/>
      <c r="T55" s="6">
        <v>19986.759999999998</v>
      </c>
      <c r="U55" s="2"/>
      <c r="V55" s="7">
        <f t="shared" si="44"/>
        <v>2.7707758559453184E-2</v>
      </c>
      <c r="W55" s="2"/>
      <c r="X55" s="6">
        <f t="shared" si="45"/>
        <v>-14141.109999999999</v>
      </c>
      <c r="Y55" s="2"/>
      <c r="Z55" s="7">
        <f t="shared" si="46"/>
        <v>-0.70752388080909556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>
        <v>542</v>
      </c>
      <c r="Q56" s="2"/>
      <c r="R56" s="7">
        <f t="shared" si="43"/>
        <v>0</v>
      </c>
      <c r="S56" s="2"/>
      <c r="T56" s="6">
        <v>9227.36</v>
      </c>
      <c r="U56" s="2"/>
      <c r="V56" s="7">
        <f t="shared" si="44"/>
        <v>1.2791941416275373E-2</v>
      </c>
      <c r="W56" s="2"/>
      <c r="X56" s="6">
        <f t="shared" si="45"/>
        <v>-8685.36</v>
      </c>
      <c r="Y56" s="2"/>
      <c r="Z56" s="7">
        <f t="shared" si="46"/>
        <v>-0.94126163929878104</v>
      </c>
    </row>
    <row r="57" spans="1:26" s="26" customFormat="1" outlineLevel="1" collapsed="1" x14ac:dyDescent="0.25">
      <c r="A57" s="25"/>
      <c r="B57" s="12" t="str">
        <f>CONCATENATE("     ","Royalty &amp; Commissions                             ")</f>
        <v xml:space="preserve">     Royalty &amp; Commissions                             </v>
      </c>
      <c r="C57" s="12"/>
      <c r="D57" s="1">
        <f>SUM(OSRRefD22_11x_0)</f>
        <v>0</v>
      </c>
      <c r="E57" s="1"/>
      <c r="F57" s="5">
        <f t="shared" ref="F57:F62" si="47">IF(D$12=0,0,D57/D$12)</f>
        <v>0</v>
      </c>
      <c r="G57" s="1"/>
      <c r="H57" s="1">
        <f>SUM(OSRRefH22_11x_0)</f>
        <v>0</v>
      </c>
      <c r="I57" s="1"/>
      <c r="J57" s="5">
        <f t="shared" ref="J57:J62" si="48">IF(H$12=0,0,H57/H$12)</f>
        <v>0</v>
      </c>
      <c r="K57" s="1"/>
      <c r="L57" s="1">
        <f t="shared" ref="L57:L62" si="49">+D57-H57</f>
        <v>0</v>
      </c>
      <c r="M57" s="1"/>
      <c r="N57" s="5">
        <f t="shared" ref="N57:N62" si="50">IF(H57=0,0,L57/H57)</f>
        <v>0</v>
      </c>
      <c r="O57" s="12"/>
      <c r="P57" s="1">
        <f>SUM(OSRRefP22_11x_0)</f>
        <v>0</v>
      </c>
      <c r="Q57" s="1"/>
      <c r="R57" s="5">
        <f t="shared" ref="R57:R62" si="51">IF(P$12=0,0,P57/P$12)</f>
        <v>0</v>
      </c>
      <c r="S57" s="1"/>
      <c r="T57" s="1">
        <f>SUM(OSRRefT22_11x_0)</f>
        <v>60535.32</v>
      </c>
      <c r="U57" s="1"/>
      <c r="V57" s="5">
        <f t="shared" ref="V57:V62" si="52">IF(T$12=0,0,T57/T$12)</f>
        <v>8.3920456886420691E-2</v>
      </c>
      <c r="W57" s="1"/>
      <c r="X57" s="1">
        <f t="shared" ref="X57:X62" si="53">+P57-T57</f>
        <v>-60535.32</v>
      </c>
      <c r="Y57" s="1"/>
      <c r="Z57" s="5">
        <f t="shared" ref="Z57:Z62" si="54">IF(T57=0,0,X57/T57)</f>
        <v>-1</v>
      </c>
    </row>
    <row r="58" spans="1:26" s="23" customFormat="1" hidden="1" outlineLevel="2" x14ac:dyDescent="0.25">
      <c r="A58" s="27"/>
      <c r="B58" s="10" t="str">
        <f>CONCATENATE("          ", "6259", " - ", "ROYALTY &amp; COMMISSIONS")</f>
        <v xml:space="preserve">          6259 - ROYALTY &amp; COMMISSIONS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60535.32</v>
      </c>
      <c r="U58" s="2"/>
      <c r="V58" s="7">
        <f t="shared" si="52"/>
        <v>8.3920456886420691E-2</v>
      </c>
      <c r="W58" s="2"/>
      <c r="X58" s="6">
        <f t="shared" si="53"/>
        <v>-60535.32</v>
      </c>
      <c r="Y58" s="2"/>
      <c r="Z58" s="7">
        <f t="shared" si="54"/>
        <v>-1</v>
      </c>
    </row>
    <row r="59" spans="1:26" s="26" customFormat="1" outlineLevel="1" collapsed="1" x14ac:dyDescent="0.25">
      <c r="A59" s="25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SUM(OSRRefD22_12x_0)</f>
        <v>115</v>
      </c>
      <c r="E59" s="1"/>
      <c r="F59" s="5">
        <f t="shared" si="47"/>
        <v>0</v>
      </c>
      <c r="G59" s="1"/>
      <c r="H59" s="1">
        <f>SUM(OSRRefH22_12x_0)</f>
        <v>115</v>
      </c>
      <c r="I59" s="1"/>
      <c r="J59" s="5">
        <f t="shared" si="48"/>
        <v>0</v>
      </c>
      <c r="K59" s="1"/>
      <c r="L59" s="1">
        <f t="shared" si="49"/>
        <v>0</v>
      </c>
      <c r="M59" s="1"/>
      <c r="N59" s="5">
        <f t="shared" si="50"/>
        <v>0</v>
      </c>
      <c r="O59" s="12"/>
      <c r="P59" s="1">
        <f>SUM(OSRRefP22_12x_0)</f>
        <v>692</v>
      </c>
      <c r="Q59" s="1"/>
      <c r="R59" s="5">
        <f t="shared" si="51"/>
        <v>0</v>
      </c>
      <c r="S59" s="1"/>
      <c r="T59" s="1">
        <f>SUM(OSRRefT22_12x_0)</f>
        <v>3908.39</v>
      </c>
      <c r="U59" s="1"/>
      <c r="V59" s="5">
        <f t="shared" si="52"/>
        <v>5.4182231875592258E-3</v>
      </c>
      <c r="W59" s="1"/>
      <c r="X59" s="1">
        <f t="shared" si="53"/>
        <v>-3216.39</v>
      </c>
      <c r="Y59" s="1"/>
      <c r="Z59" s="5">
        <f t="shared" si="54"/>
        <v>-0.82294499781239849</v>
      </c>
    </row>
    <row r="60" spans="1:26" s="23" customFormat="1" hidden="1" outlineLevel="2" x14ac:dyDescent="0.25">
      <c r="A60" s="27"/>
      <c r="B60" s="10" t="str">
        <f>CONCATENATE("          ", "6282", " - ", "JANITORIAL/EXTERMINATOR EXPENS")</f>
        <v xml:space="preserve">          6282 - JANITORIAL/EXTERMINATOR EXPENS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872.64</v>
      </c>
      <c r="U60" s="2"/>
      <c r="V60" s="7">
        <f t="shared" si="52"/>
        <v>1.2097457731678985E-3</v>
      </c>
      <c r="W60" s="2"/>
      <c r="X60" s="6">
        <f t="shared" si="53"/>
        <v>-872.64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"6284", " - ", "TRASH REMOVAL EXPENSE")</f>
        <v xml:space="preserve">          6284 - TRASH REMOVAL EXPENSE</v>
      </c>
      <c r="C61" s="10"/>
      <c r="D61" s="6">
        <v>115</v>
      </c>
      <c r="E61" s="2"/>
      <c r="F61" s="7">
        <f t="shared" si="47"/>
        <v>0</v>
      </c>
      <c r="G61" s="2"/>
      <c r="H61" s="6">
        <v>115</v>
      </c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692</v>
      </c>
      <c r="Q61" s="2"/>
      <c r="R61" s="7">
        <f t="shared" si="51"/>
        <v>0</v>
      </c>
      <c r="S61" s="2"/>
      <c r="T61" s="6">
        <v>1169</v>
      </c>
      <c r="U61" s="2"/>
      <c r="V61" s="7">
        <f t="shared" si="52"/>
        <v>1.6205913192533846E-3</v>
      </c>
      <c r="W61" s="2"/>
      <c r="X61" s="6">
        <f t="shared" si="53"/>
        <v>-477</v>
      </c>
      <c r="Y61" s="2"/>
      <c r="Z61" s="7">
        <f t="shared" si="54"/>
        <v>-0.40804106073567153</v>
      </c>
    </row>
    <row r="62" spans="1:26" s="23" customFormat="1" hidden="1" outlineLevel="2" x14ac:dyDescent="0.25">
      <c r="A62" s="27"/>
      <c r="B62" s="10" t="str">
        <f>CONCATENATE("          ", "6286", " - ", "LAUNDRY EXPENSE")</f>
        <v xml:space="preserve">          6286 - LAUNDRY EXPENSE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1866.75</v>
      </c>
      <c r="U62" s="2"/>
      <c r="V62" s="7">
        <f t="shared" si="52"/>
        <v>2.5878860951379433E-3</v>
      </c>
      <c r="W62" s="2"/>
      <c r="X62" s="6">
        <f t="shared" si="53"/>
        <v>-1866.75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","Subscriptions &amp; Dues                              ")</f>
        <v xml:space="preserve">     Subscriptions &amp; Dues                              </v>
      </c>
      <c r="C63" s="12"/>
      <c r="D63" s="1">
        <f>SUM(OSRRefD22_13x_0)</f>
        <v>0</v>
      </c>
      <c r="E63" s="1"/>
      <c r="F63" s="5">
        <f t="shared" ref="F63:F65" si="55">IF(D$12=0,0,D63/D$12)</f>
        <v>0</v>
      </c>
      <c r="G63" s="1"/>
      <c r="H63" s="1">
        <f>SUM(OSRRefH22_13x_0)</f>
        <v>0</v>
      </c>
      <c r="I63" s="1"/>
      <c r="J63" s="5">
        <f t="shared" ref="J63:J65" si="56">IF(H$12=0,0,H63/H$12)</f>
        <v>0</v>
      </c>
      <c r="K63" s="1"/>
      <c r="L63" s="1">
        <f t="shared" ref="L63:L65" si="57">+D63-H63</f>
        <v>0</v>
      </c>
      <c r="M63" s="1"/>
      <c r="N63" s="5">
        <f t="shared" ref="N63:N65" si="58">IF(H63=0,0,L63/H63)</f>
        <v>0</v>
      </c>
      <c r="O63" s="12"/>
      <c r="P63" s="1">
        <f>SUM(OSRRefP22_13x_0)</f>
        <v>0</v>
      </c>
      <c r="Q63" s="1"/>
      <c r="R63" s="5">
        <f t="shared" ref="R63:R65" si="59">IF(P$12=0,0,P63/P$12)</f>
        <v>0</v>
      </c>
      <c r="S63" s="1"/>
      <c r="T63" s="1">
        <f>SUM(OSRRefT22_13x_0)</f>
        <v>1101.72</v>
      </c>
      <c r="U63" s="1"/>
      <c r="V63" s="5">
        <f t="shared" ref="V63:V65" si="60">IF(T$12=0,0,T63/T$12)</f>
        <v>1.5273206742924198E-3</v>
      </c>
      <c r="W63" s="1"/>
      <c r="X63" s="1">
        <f t="shared" ref="X63:X65" si="61">+P63-T63</f>
        <v>-1101.72</v>
      </c>
      <c r="Y63" s="1"/>
      <c r="Z63" s="5">
        <f t="shared" ref="Z63:Z65" si="62">IF(T63=0,0,X63/T63)</f>
        <v>-1</v>
      </c>
    </row>
    <row r="64" spans="1:26" s="23" customFormat="1" hidden="1" outlineLevel="2" x14ac:dyDescent="0.25">
      <c r="A64" s="27"/>
      <c r="B64" s="10" t="str">
        <f>CONCATENATE("          ", "6258", " - ", "MEMBERSHIP DUES")</f>
        <v xml:space="preserve">          6258 - MEMBERSHIP DUES</v>
      </c>
      <c r="C64" s="10"/>
      <c r="D64" s="6"/>
      <c r="E64" s="2"/>
      <c r="F64" s="7">
        <f t="shared" si="55"/>
        <v>0</v>
      </c>
      <c r="G64" s="2"/>
      <c r="H64" s="6"/>
      <c r="I64" s="2"/>
      <c r="J64" s="7">
        <f t="shared" si="56"/>
        <v>0</v>
      </c>
      <c r="K64" s="2"/>
      <c r="L64" s="6">
        <f t="shared" si="57"/>
        <v>0</v>
      </c>
      <c r="M64" s="2"/>
      <c r="N64" s="7">
        <f t="shared" si="58"/>
        <v>0</v>
      </c>
      <c r="O64" s="10"/>
      <c r="P64" s="6"/>
      <c r="Q64" s="2"/>
      <c r="R64" s="7">
        <f t="shared" si="59"/>
        <v>0</v>
      </c>
      <c r="S64" s="2"/>
      <c r="T64" s="6">
        <v>979</v>
      </c>
      <c r="U64" s="2"/>
      <c r="V64" s="7">
        <f t="shared" si="60"/>
        <v>1.3571932434123725E-3</v>
      </c>
      <c r="W64" s="2"/>
      <c r="X64" s="6">
        <f t="shared" si="61"/>
        <v>-979</v>
      </c>
      <c r="Y64" s="2"/>
      <c r="Z64" s="7">
        <f t="shared" si="62"/>
        <v>-1</v>
      </c>
    </row>
    <row r="65" spans="1:26" s="23" customFormat="1" hidden="1" outlineLevel="2" x14ac:dyDescent="0.25">
      <c r="A65" s="27"/>
      <c r="B65" s="10" t="str">
        <f>CONCATENATE("          ", "6275", " - ", "SUBSCRIPTIONS")</f>
        <v xml:space="preserve">          6275 - SUBSCRIPTIONS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122.72</v>
      </c>
      <c r="U65" s="2"/>
      <c r="V65" s="7">
        <f t="shared" si="60"/>
        <v>1.7012743088004736E-4</v>
      </c>
      <c r="W65" s="2"/>
      <c r="X65" s="6">
        <f t="shared" si="61"/>
        <v>-122.72</v>
      </c>
      <c r="Y65" s="2"/>
      <c r="Z65" s="7">
        <f t="shared" si="62"/>
        <v>-1</v>
      </c>
    </row>
    <row r="66" spans="1:26" s="26" customFormat="1" outlineLevel="1" collapsed="1" x14ac:dyDescent="0.25">
      <c r="A66" s="25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SUM(OSRRefD22_14x_0)</f>
        <v>0</v>
      </c>
      <c r="E66" s="1"/>
      <c r="F66" s="5">
        <f t="shared" ref="F66:F73" si="63">IF(D$12=0,0,D66/D$12)</f>
        <v>0</v>
      </c>
      <c r="G66" s="1"/>
      <c r="H66" s="1">
        <f>SUM(OSRRefH22_14x_0)</f>
        <v>0</v>
      </c>
      <c r="I66" s="1"/>
      <c r="J66" s="5">
        <f t="shared" ref="J66:J73" si="64">IF(H$12=0,0,H66/H$12)</f>
        <v>0</v>
      </c>
      <c r="K66" s="1"/>
      <c r="L66" s="1">
        <f t="shared" ref="L66:L73" si="65">+D66-H66</f>
        <v>0</v>
      </c>
      <c r="M66" s="1"/>
      <c r="N66" s="5">
        <f t="shared" ref="N66:N73" si="66">IF(H66=0,0,L66/H66)</f>
        <v>0</v>
      </c>
      <c r="O66" s="12"/>
      <c r="P66" s="1">
        <f>SUM(OSRRefP22_14x_0)</f>
        <v>72</v>
      </c>
      <c r="Q66" s="1"/>
      <c r="R66" s="5">
        <f t="shared" ref="R66:R73" si="67">IF(P$12=0,0,P66/P$12)</f>
        <v>0</v>
      </c>
      <c r="S66" s="1"/>
      <c r="T66" s="1">
        <f>SUM(OSRRefT22_14x_0)</f>
        <v>11997.33</v>
      </c>
      <c r="U66" s="1"/>
      <c r="V66" s="5">
        <f t="shared" ref="V66:V73" si="68">IF(T$12=0,0,T66/T$12)</f>
        <v>1.6631966511734993E-2</v>
      </c>
      <c r="W66" s="1"/>
      <c r="X66" s="1">
        <f t="shared" ref="X66:X73" si="69">+P66-T66</f>
        <v>-11925.33</v>
      </c>
      <c r="Y66" s="1"/>
      <c r="Z66" s="5">
        <f t="shared" ref="Z66:Z73" si="70">IF(T66=0,0,X66/T66)</f>
        <v>-0.99399866470289644</v>
      </c>
    </row>
    <row r="67" spans="1:26" s="23" customFormat="1" hidden="1" outlineLevel="2" x14ac:dyDescent="0.25">
      <c r="A67" s="27"/>
      <c r="B67" s="10" t="str">
        <f>CONCATENATE("          ", "6237", " - ", "JANITORIAL SUPPLIES")</f>
        <v xml:space="preserve">          6237 - JANITORIAL SUPPLIES</v>
      </c>
      <c r="C67" s="10"/>
      <c r="D67" s="6"/>
      <c r="E67" s="2"/>
      <c r="F67" s="7">
        <f t="shared" si="63"/>
        <v>0</v>
      </c>
      <c r="G67" s="2"/>
      <c r="H67" s="6"/>
      <c r="I67" s="2"/>
      <c r="J67" s="7">
        <f t="shared" si="64"/>
        <v>0</v>
      </c>
      <c r="K67" s="2"/>
      <c r="L67" s="6">
        <f t="shared" si="65"/>
        <v>0</v>
      </c>
      <c r="M67" s="2"/>
      <c r="N67" s="7">
        <f t="shared" si="66"/>
        <v>0</v>
      </c>
      <c r="O67" s="10"/>
      <c r="P67" s="6">
        <v>72</v>
      </c>
      <c r="Q67" s="2"/>
      <c r="R67" s="7">
        <f t="shared" si="67"/>
        <v>0</v>
      </c>
      <c r="S67" s="2"/>
      <c r="T67" s="6">
        <v>2140.12</v>
      </c>
      <c r="U67" s="2"/>
      <c r="V67" s="7">
        <f t="shared" si="68"/>
        <v>2.9668604740466665E-3</v>
      </c>
      <c r="W67" s="2"/>
      <c r="X67" s="6">
        <f t="shared" si="69"/>
        <v>-2068.12</v>
      </c>
      <c r="Y67" s="2"/>
      <c r="Z67" s="7">
        <f t="shared" si="70"/>
        <v>-0.96635702670878265</v>
      </c>
    </row>
    <row r="68" spans="1:26" s="23" customFormat="1" hidden="1" outlineLevel="2" x14ac:dyDescent="0.25">
      <c r="A68" s="27"/>
      <c r="B68" s="10" t="str">
        <f>CONCATENATE("          ", "6239", " - ", "KITCHEN SUPPLIES")</f>
        <v xml:space="preserve">          6239 - KITCHEN SUPPLIES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4435.24</v>
      </c>
      <c r="U68" s="2"/>
      <c r="V68" s="7">
        <f t="shared" si="68"/>
        <v>6.1485983257531058E-3</v>
      </c>
      <c r="W68" s="2"/>
      <c r="X68" s="6">
        <f t="shared" si="69"/>
        <v>-4435.24</v>
      </c>
      <c r="Y68" s="2"/>
      <c r="Z68" s="7">
        <f t="shared" si="70"/>
        <v>-1</v>
      </c>
    </row>
    <row r="69" spans="1:26" s="23" customFormat="1" hidden="1" outlineLevel="2" x14ac:dyDescent="0.25">
      <c r="A69" s="27"/>
      <c r="B69" s="10" t="str">
        <f>CONCATENATE("          ", "6241", " - ", "OFFICE EXPENSE")</f>
        <v xml:space="preserve">          6241 - OFFICE EXPENSE</v>
      </c>
      <c r="C69" s="10"/>
      <c r="D69" s="6"/>
      <c r="E69" s="2"/>
      <c r="F69" s="7">
        <f t="shared" si="63"/>
        <v>0</v>
      </c>
      <c r="G69" s="2"/>
      <c r="H69" s="6"/>
      <c r="I69" s="2"/>
      <c r="J69" s="7">
        <f t="shared" si="64"/>
        <v>0</v>
      </c>
      <c r="K69" s="2"/>
      <c r="L69" s="6">
        <f t="shared" si="65"/>
        <v>0</v>
      </c>
      <c r="M69" s="2"/>
      <c r="N69" s="7">
        <f t="shared" si="66"/>
        <v>0</v>
      </c>
      <c r="O69" s="10"/>
      <c r="P69" s="6"/>
      <c r="Q69" s="2"/>
      <c r="R69" s="7">
        <f t="shared" si="67"/>
        <v>0</v>
      </c>
      <c r="S69" s="2"/>
      <c r="T69" s="6">
        <v>1415.33</v>
      </c>
      <c r="U69" s="2"/>
      <c r="V69" s="7">
        <f t="shared" si="68"/>
        <v>1.9620799930529448E-3</v>
      </c>
      <c r="W69" s="2"/>
      <c r="X69" s="6">
        <f t="shared" si="69"/>
        <v>-1415.33</v>
      </c>
      <c r="Y69" s="2"/>
      <c r="Z69" s="7">
        <f t="shared" si="70"/>
        <v>-1</v>
      </c>
    </row>
    <row r="70" spans="1:26" s="23" customFormat="1" hidden="1" outlineLevel="2" x14ac:dyDescent="0.25">
      <c r="A70" s="27"/>
      <c r="B70" s="10" t="str">
        <f>CONCATENATE("          ", "6243", " - ", "PAPER SUPPLIES")</f>
        <v xml:space="preserve">          6243 - PAPER SUPPLIES</v>
      </c>
      <c r="C70" s="10"/>
      <c r="D70" s="6"/>
      <c r="E70" s="2"/>
      <c r="F70" s="7">
        <f t="shared" si="63"/>
        <v>0</v>
      </c>
      <c r="G70" s="2"/>
      <c r="H70" s="6"/>
      <c r="I70" s="2"/>
      <c r="J70" s="7">
        <f t="shared" si="64"/>
        <v>0</v>
      </c>
      <c r="K70" s="2"/>
      <c r="L70" s="6">
        <f t="shared" si="65"/>
        <v>0</v>
      </c>
      <c r="M70" s="2"/>
      <c r="N70" s="7">
        <f t="shared" si="66"/>
        <v>0</v>
      </c>
      <c r="O70" s="10"/>
      <c r="P70" s="6"/>
      <c r="Q70" s="2"/>
      <c r="R70" s="7">
        <f t="shared" si="67"/>
        <v>0</v>
      </c>
      <c r="S70" s="2"/>
      <c r="T70" s="6">
        <v>5057.43</v>
      </c>
      <c r="U70" s="2"/>
      <c r="V70" s="7">
        <f t="shared" si="68"/>
        <v>7.0111438457926816E-3</v>
      </c>
      <c r="W70" s="2"/>
      <c r="X70" s="6">
        <f t="shared" si="69"/>
        <v>-5057.43</v>
      </c>
      <c r="Y70" s="2"/>
      <c r="Z70" s="7">
        <f t="shared" si="70"/>
        <v>-1</v>
      </c>
    </row>
    <row r="71" spans="1:26" s="23" customFormat="1" hidden="1" outlineLevel="2" x14ac:dyDescent="0.25">
      <c r="A71" s="27"/>
      <c r="B71" s="10" t="str">
        <f>CONCATENATE("          ", "6245", " - ", "PRINTING")</f>
        <v xml:space="preserve">          6245 - PRINTING</v>
      </c>
      <c r="C71" s="10"/>
      <c r="D71" s="6"/>
      <c r="E71" s="2"/>
      <c r="F71" s="7">
        <f t="shared" si="63"/>
        <v>0</v>
      </c>
      <c r="G71" s="2"/>
      <c r="H71" s="6"/>
      <c r="I71" s="2"/>
      <c r="J71" s="7">
        <f t="shared" si="64"/>
        <v>0</v>
      </c>
      <c r="K71" s="2"/>
      <c r="L71" s="6">
        <f t="shared" si="65"/>
        <v>0</v>
      </c>
      <c r="M71" s="2"/>
      <c r="N71" s="7">
        <f t="shared" si="66"/>
        <v>0</v>
      </c>
      <c r="O71" s="10"/>
      <c r="P71" s="6"/>
      <c r="Q71" s="2"/>
      <c r="R71" s="7">
        <f t="shared" si="67"/>
        <v>0</v>
      </c>
      <c r="S71" s="2"/>
      <c r="T71" s="6">
        <v>66.930000000000007</v>
      </c>
      <c r="U71" s="2"/>
      <c r="V71" s="7">
        <f t="shared" si="68"/>
        <v>9.2785437979152295E-5</v>
      </c>
      <c r="W71" s="2"/>
      <c r="X71" s="6">
        <f t="shared" si="69"/>
        <v>-66.930000000000007</v>
      </c>
      <c r="Y71" s="2"/>
      <c r="Z71" s="7">
        <f t="shared" si="70"/>
        <v>-1</v>
      </c>
    </row>
    <row r="72" spans="1:26" s="23" customFormat="1" hidden="1" outlineLevel="2" x14ac:dyDescent="0.25">
      <c r="A72" s="27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63"/>
        <v>0</v>
      </c>
      <c r="G72" s="2"/>
      <c r="H72" s="6"/>
      <c r="I72" s="2"/>
      <c r="J72" s="7">
        <f t="shared" si="64"/>
        <v>0</v>
      </c>
      <c r="K72" s="2"/>
      <c r="L72" s="6">
        <f t="shared" si="65"/>
        <v>0</v>
      </c>
      <c r="M72" s="2"/>
      <c r="N72" s="7">
        <f t="shared" si="66"/>
        <v>0</v>
      </c>
      <c r="O72" s="10"/>
      <c r="P72" s="6"/>
      <c r="Q72" s="2"/>
      <c r="R72" s="7">
        <f t="shared" si="67"/>
        <v>0</v>
      </c>
      <c r="S72" s="2"/>
      <c r="T72" s="6">
        <v>-1251.8</v>
      </c>
      <c r="U72" s="2"/>
      <c r="V72" s="7">
        <f t="shared" si="68"/>
        <v>-1.7353774280935729E-3</v>
      </c>
      <c r="W72" s="2"/>
      <c r="X72" s="6">
        <f t="shared" si="69"/>
        <v>1251.8</v>
      </c>
      <c r="Y72" s="2"/>
      <c r="Z72" s="7">
        <f t="shared" si="70"/>
        <v>-1</v>
      </c>
    </row>
    <row r="73" spans="1:26" s="23" customFormat="1" hidden="1" outlineLevel="2" x14ac:dyDescent="0.25">
      <c r="A73" s="27"/>
      <c r="B73" s="10" t="str">
        <f>CONCATENATE("          ", "6248", " - ", "UNIFORMS")</f>
        <v xml:space="preserve">          6248 - UNIFORMS</v>
      </c>
      <c r="C73" s="10"/>
      <c r="D73" s="6"/>
      <c r="E73" s="2"/>
      <c r="F73" s="7">
        <f t="shared" si="63"/>
        <v>0</v>
      </c>
      <c r="G73" s="2"/>
      <c r="H73" s="6"/>
      <c r="I73" s="2"/>
      <c r="J73" s="7">
        <f t="shared" si="64"/>
        <v>0</v>
      </c>
      <c r="K73" s="2"/>
      <c r="L73" s="6">
        <f t="shared" si="65"/>
        <v>0</v>
      </c>
      <c r="M73" s="2"/>
      <c r="N73" s="7">
        <f t="shared" si="66"/>
        <v>0</v>
      </c>
      <c r="O73" s="10"/>
      <c r="P73" s="6"/>
      <c r="Q73" s="2"/>
      <c r="R73" s="7">
        <f t="shared" si="67"/>
        <v>0</v>
      </c>
      <c r="S73" s="2"/>
      <c r="T73" s="6">
        <v>134.08000000000001</v>
      </c>
      <c r="U73" s="2"/>
      <c r="V73" s="7">
        <f t="shared" si="68"/>
        <v>1.8587586320401524E-4</v>
      </c>
      <c r="W73" s="2"/>
      <c r="X73" s="6">
        <f t="shared" si="69"/>
        <v>-134.08000000000001</v>
      </c>
      <c r="Y73" s="2"/>
      <c r="Z73" s="7">
        <f t="shared" si="70"/>
        <v>-1</v>
      </c>
    </row>
    <row r="74" spans="1:26" s="26" customFormat="1" outlineLevel="1" collapsed="1" x14ac:dyDescent="0.25">
      <c r="A74" s="25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SUM(OSRRefD22_15x_0)</f>
        <v>0</v>
      </c>
      <c r="E74" s="1"/>
      <c r="F74" s="5">
        <f t="shared" ref="F74:F79" si="71">IF(D$12=0,0,D74/D$12)</f>
        <v>0</v>
      </c>
      <c r="G74" s="1"/>
      <c r="H74" s="1">
        <f>SUM(OSRRefH22_15x_0)</f>
        <v>23</v>
      </c>
      <c r="I74" s="1"/>
      <c r="J74" s="5">
        <f t="shared" ref="J74:J79" si="72">IF(H$12=0,0,H74/H$12)</f>
        <v>0</v>
      </c>
      <c r="K74" s="1"/>
      <c r="L74" s="1">
        <f t="shared" ref="L74:L79" si="73">+D74-H74</f>
        <v>-23</v>
      </c>
      <c r="M74" s="1"/>
      <c r="N74" s="5">
        <f t="shared" ref="N74:N79" si="74">IF(H74=0,0,L74/H74)</f>
        <v>-1</v>
      </c>
      <c r="O74" s="12"/>
      <c r="P74" s="1">
        <f>SUM(OSRRefP22_15x_0)</f>
        <v>77.430000000000007</v>
      </c>
      <c r="Q74" s="1"/>
      <c r="R74" s="5">
        <f t="shared" ref="R74:R79" si="75">IF(P$12=0,0,P74/P$12)</f>
        <v>0</v>
      </c>
      <c r="S74" s="1"/>
      <c r="T74" s="1">
        <f>SUM(OSRRefT22_15x_0)</f>
        <v>1508.8</v>
      </c>
      <c r="U74" s="1"/>
      <c r="V74" s="5">
        <f t="shared" ref="V74:V79" si="76">IF(T$12=0,0,T74/T$12)</f>
        <v>2.0916579833100998E-3</v>
      </c>
      <c r="W74" s="1"/>
      <c r="X74" s="1">
        <f t="shared" ref="X74:X79" si="77">+P74-T74</f>
        <v>-1431.37</v>
      </c>
      <c r="Y74" s="1"/>
      <c r="Z74" s="5">
        <f t="shared" ref="Z74:Z79" si="78">IF(T74=0,0,X74/T74)</f>
        <v>-0.9486810710498409</v>
      </c>
    </row>
    <row r="75" spans="1:26" s="23" customFormat="1" hidden="1" outlineLevel="2" x14ac:dyDescent="0.25">
      <c r="A75" s="27"/>
      <c r="B75" s="10" t="str">
        <f>CONCATENATE("          ", "6309", " - ", "TELEPHONE")</f>
        <v xml:space="preserve">          6309 - TELEPHONE</v>
      </c>
      <c r="C75" s="10"/>
      <c r="D75" s="6"/>
      <c r="E75" s="2"/>
      <c r="F75" s="7">
        <f t="shared" si="71"/>
        <v>0</v>
      </c>
      <c r="G75" s="2"/>
      <c r="H75" s="6">
        <v>23</v>
      </c>
      <c r="I75" s="2"/>
      <c r="J75" s="7">
        <f t="shared" si="72"/>
        <v>0</v>
      </c>
      <c r="K75" s="2"/>
      <c r="L75" s="6">
        <f t="shared" si="73"/>
        <v>-23</v>
      </c>
      <c r="M75" s="2"/>
      <c r="N75" s="7">
        <f t="shared" si="74"/>
        <v>-1</v>
      </c>
      <c r="O75" s="10"/>
      <c r="P75" s="6">
        <v>77.430000000000007</v>
      </c>
      <c r="Q75" s="2"/>
      <c r="R75" s="7">
        <f t="shared" si="75"/>
        <v>0</v>
      </c>
      <c r="S75" s="2"/>
      <c r="T75" s="6">
        <v>1508.8</v>
      </c>
      <c r="U75" s="2"/>
      <c r="V75" s="7">
        <f t="shared" si="76"/>
        <v>2.0916579833100998E-3</v>
      </c>
      <c r="W75" s="2"/>
      <c r="X75" s="6">
        <f t="shared" si="77"/>
        <v>-1431.37</v>
      </c>
      <c r="Y75" s="2"/>
      <c r="Z75" s="7">
        <f t="shared" si="78"/>
        <v>-0.9486810710498409</v>
      </c>
    </row>
    <row r="76" spans="1:26" s="26" customFormat="1" outlineLevel="1" collapsed="1" x14ac:dyDescent="0.25">
      <c r="A76" s="25"/>
      <c r="B76" s="12" t="str">
        <f>CONCATENATE("     ","Training                                          ")</f>
        <v xml:space="preserve">     Training                                          </v>
      </c>
      <c r="C76" s="12"/>
      <c r="D76" s="1">
        <f>SUM(OSRRefD22_16x_0)</f>
        <v>0</v>
      </c>
      <c r="E76" s="1"/>
      <c r="F76" s="5">
        <f t="shared" si="71"/>
        <v>0</v>
      </c>
      <c r="G76" s="1"/>
      <c r="H76" s="1">
        <f>SUM(OSRRefH22_16x_0)</f>
        <v>0</v>
      </c>
      <c r="I76" s="1"/>
      <c r="J76" s="5">
        <f t="shared" si="72"/>
        <v>0</v>
      </c>
      <c r="K76" s="1"/>
      <c r="L76" s="1">
        <f t="shared" si="73"/>
        <v>0</v>
      </c>
      <c r="M76" s="1"/>
      <c r="N76" s="5">
        <f t="shared" si="74"/>
        <v>0</v>
      </c>
      <c r="O76" s="12"/>
      <c r="P76" s="1">
        <f>SUM(OSRRefP22_16x_0)</f>
        <v>0</v>
      </c>
      <c r="Q76" s="1"/>
      <c r="R76" s="5">
        <f t="shared" si="75"/>
        <v>0</v>
      </c>
      <c r="S76" s="1"/>
      <c r="T76" s="1">
        <f>SUM(OSRRefT22_16x_0)</f>
        <v>585.65</v>
      </c>
      <c r="U76" s="1"/>
      <c r="V76" s="5">
        <f t="shared" si="76"/>
        <v>8.1188991113836147E-4</v>
      </c>
      <c r="W76" s="1"/>
      <c r="X76" s="1">
        <f t="shared" si="77"/>
        <v>-585.65</v>
      </c>
      <c r="Y76" s="1"/>
      <c r="Z76" s="5">
        <f t="shared" si="78"/>
        <v>-1</v>
      </c>
    </row>
    <row r="77" spans="1:26" s="23" customFormat="1" hidden="1" outlineLevel="2" x14ac:dyDescent="0.25">
      <c r="A77" s="27"/>
      <c r="B77" s="10" t="str">
        <f>CONCATENATE("          ", "6376", " - ", "TRAINING")</f>
        <v xml:space="preserve">          6376 - TRAINING</v>
      </c>
      <c r="C77" s="10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0"/>
      <c r="P77" s="6"/>
      <c r="Q77" s="2"/>
      <c r="R77" s="7">
        <f t="shared" si="75"/>
        <v>0</v>
      </c>
      <c r="S77" s="2"/>
      <c r="T77" s="6">
        <v>585.65</v>
      </c>
      <c r="U77" s="2"/>
      <c r="V77" s="7">
        <f t="shared" si="76"/>
        <v>8.1188991113836147E-4</v>
      </c>
      <c r="W77" s="2"/>
      <c r="X77" s="6">
        <f t="shared" si="77"/>
        <v>-585.65</v>
      </c>
      <c r="Y77" s="2"/>
      <c r="Z77" s="7">
        <f t="shared" si="78"/>
        <v>-1</v>
      </c>
    </row>
    <row r="78" spans="1:26" s="26" customFormat="1" outlineLevel="1" collapsed="1" x14ac:dyDescent="0.25">
      <c r="A78" s="25"/>
      <c r="B78" s="12" t="str">
        <f>CONCATENATE("     ","Utilities                                         ")</f>
        <v xml:space="preserve">     Utilities                                         </v>
      </c>
      <c r="C78" s="12"/>
      <c r="D78" s="1">
        <f>SUM(OSRRefD22_17x_0)</f>
        <v>348</v>
      </c>
      <c r="E78" s="1"/>
      <c r="F78" s="5">
        <f t="shared" si="71"/>
        <v>0</v>
      </c>
      <c r="G78" s="1"/>
      <c r="H78" s="1">
        <f>SUM(OSRRefH22_17x_0)</f>
        <v>348</v>
      </c>
      <c r="I78" s="1"/>
      <c r="J78" s="5">
        <f t="shared" si="72"/>
        <v>0</v>
      </c>
      <c r="K78" s="1"/>
      <c r="L78" s="1">
        <f t="shared" si="73"/>
        <v>0</v>
      </c>
      <c r="M78" s="1"/>
      <c r="N78" s="5">
        <f t="shared" si="74"/>
        <v>0</v>
      </c>
      <c r="O78" s="12"/>
      <c r="P78" s="1">
        <f>SUM(OSRRefP22_17x_0)</f>
        <v>1950</v>
      </c>
      <c r="Q78" s="1"/>
      <c r="R78" s="5">
        <f t="shared" si="75"/>
        <v>0</v>
      </c>
      <c r="S78" s="1"/>
      <c r="T78" s="1">
        <f>SUM(OSRRefT22_17x_0)</f>
        <v>3824</v>
      </c>
      <c r="U78" s="1"/>
      <c r="V78" s="5">
        <f t="shared" si="76"/>
        <v>5.3012328527159477E-3</v>
      </c>
      <c r="W78" s="1"/>
      <c r="X78" s="1">
        <f t="shared" si="77"/>
        <v>-1874</v>
      </c>
      <c r="Y78" s="1"/>
      <c r="Z78" s="5">
        <f t="shared" si="78"/>
        <v>-0.49006276150627615</v>
      </c>
    </row>
    <row r="79" spans="1:26" s="23" customFormat="1" hidden="1" outlineLevel="2" x14ac:dyDescent="0.25">
      <c r="A79" s="27"/>
      <c r="B79" s="10" t="str">
        <f>CONCATENATE("          ", "6274", " - ", "UTILITIES")</f>
        <v xml:space="preserve">          6274 - UTILITIES</v>
      </c>
      <c r="C79" s="10"/>
      <c r="D79" s="6">
        <v>348</v>
      </c>
      <c r="E79" s="2"/>
      <c r="F79" s="7">
        <f t="shared" si="71"/>
        <v>0</v>
      </c>
      <c r="G79" s="2"/>
      <c r="H79" s="6">
        <v>348</v>
      </c>
      <c r="I79" s="2"/>
      <c r="J79" s="7">
        <f t="shared" si="72"/>
        <v>0</v>
      </c>
      <c r="K79" s="2"/>
      <c r="L79" s="6">
        <f t="shared" si="73"/>
        <v>0</v>
      </c>
      <c r="M79" s="2"/>
      <c r="N79" s="7">
        <f t="shared" si="74"/>
        <v>0</v>
      </c>
      <c r="O79" s="10"/>
      <c r="P79" s="6">
        <v>1950</v>
      </c>
      <c r="Q79" s="2"/>
      <c r="R79" s="7">
        <f t="shared" si="75"/>
        <v>0</v>
      </c>
      <c r="S79" s="2"/>
      <c r="T79" s="6">
        <v>3824</v>
      </c>
      <c r="U79" s="2"/>
      <c r="V79" s="7">
        <f t="shared" si="76"/>
        <v>5.3012328527159477E-3</v>
      </c>
      <c r="W79" s="2"/>
      <c r="X79" s="6">
        <f t="shared" si="77"/>
        <v>-1874</v>
      </c>
      <c r="Y79" s="2"/>
      <c r="Z79" s="7">
        <f t="shared" si="78"/>
        <v>-0.49006276150627615</v>
      </c>
    </row>
    <row r="80" spans="1:26" s="57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9" t="s">
        <v>292</v>
      </c>
      <c r="C81" s="11"/>
      <c r="D81" s="4">
        <f>SUM(0)</f>
        <v>0</v>
      </c>
      <c r="E81" s="4"/>
      <c r="F81" s="13">
        <f>IF(D$12=0,0,D81/D$12)</f>
        <v>0</v>
      </c>
      <c r="G81" s="4"/>
      <c r="H81" s="4">
        <f>SUM(0)</f>
        <v>0</v>
      </c>
      <c r="I81" s="4"/>
      <c r="J81" s="13">
        <f>IF(H$12=0,0,H81/H$12)</f>
        <v>0</v>
      </c>
      <c r="K81" s="4"/>
      <c r="L81" s="4">
        <f>+D81-H81</f>
        <v>0</v>
      </c>
      <c r="M81" s="4"/>
      <c r="N81" s="13">
        <f>IF(H81=0,0,L81/H81)</f>
        <v>0</v>
      </c>
      <c r="O81" s="11"/>
      <c r="P81" s="4">
        <f>SUM(0)</f>
        <v>0</v>
      </c>
      <c r="Q81" s="4"/>
      <c r="R81" s="13">
        <f>IF(P$12=0,0,P81/P$12)</f>
        <v>0</v>
      </c>
      <c r="S81" s="4"/>
      <c r="T81" s="4">
        <f>SUM(0)</f>
        <v>0</v>
      </c>
      <c r="U81" s="4"/>
      <c r="V81" s="13">
        <f>IF(T$12=0,0,T81/T$12)</f>
        <v>0</v>
      </c>
      <c r="W81" s="4"/>
      <c r="X81" s="4">
        <f>+P81-T81</f>
        <v>0</v>
      </c>
      <c r="Y81" s="4"/>
      <c r="Z81" s="13">
        <f>IF(T81=0,0,X81/T81)</f>
        <v>0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276</v>
      </c>
      <c r="C83" s="28"/>
      <c r="D83" s="20">
        <f>+D20-D22+D81</f>
        <v>-7546.01</v>
      </c>
      <c r="E83" s="14"/>
      <c r="F83" s="21">
        <f>IF(D$12=0,0,D83/D$12)</f>
        <v>0</v>
      </c>
      <c r="G83" s="14"/>
      <c r="H83" s="20">
        <f>+H20-H22+H81</f>
        <v>-16634.059999999998</v>
      </c>
      <c r="I83" s="14"/>
      <c r="J83" s="21">
        <f>IF(H$12=0,0,H83/H$12)</f>
        <v>0</v>
      </c>
      <c r="K83" s="15"/>
      <c r="L83" s="20">
        <f>+D83-H83</f>
        <v>9088.0499999999975</v>
      </c>
      <c r="M83" s="15"/>
      <c r="N83" s="21">
        <f>IF(H83=0,0,L83/H83)</f>
        <v>-0.54635188282355596</v>
      </c>
      <c r="O83" s="29"/>
      <c r="P83" s="20">
        <f>+P20-P22+P81</f>
        <v>-79560.889999999985</v>
      </c>
      <c r="Q83" s="14"/>
      <c r="R83" s="21">
        <f>IF(P$12=0,0,P83/P$12)</f>
        <v>0</v>
      </c>
      <c r="S83" s="14"/>
      <c r="T83" s="20">
        <f>+T20-T22+T81</f>
        <v>-99131.359999999986</v>
      </c>
      <c r="U83" s="14"/>
      <c r="V83" s="21">
        <f>IF(T$12=0,0,T83/T$12)</f>
        <v>-0.13742636568159297</v>
      </c>
      <c r="W83" s="15"/>
      <c r="X83" s="20">
        <f>+P83-T83</f>
        <v>19570.47</v>
      </c>
      <c r="Y83" s="15"/>
      <c r="Z83" s="21">
        <f>IF(T83=0,0,X83/T83)</f>
        <v>-0.19741956531212732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3518.51</v>
      </c>
      <c r="I85" s="4"/>
      <c r="J85" s="13">
        <f>IF(H$12=0,0,H85/H$12)</f>
        <v>0</v>
      </c>
      <c r="K85" s="4"/>
      <c r="L85" s="4">
        <f>+D85-H85</f>
        <v>-3518.51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85421.69</v>
      </c>
      <c r="U85" s="4"/>
      <c r="V85" s="13">
        <f>IF(T$12=0,0,T85/T$12)</f>
        <v>0.11842057253203905</v>
      </c>
      <c r="W85" s="4"/>
      <c r="X85" s="4">
        <f>+P85-T85</f>
        <v>-85421.69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8" t="s">
        <v>125</v>
      </c>
      <c r="C87" s="28"/>
      <c r="D87" s="35">
        <f>+D83-D85</f>
        <v>-7546.01</v>
      </c>
      <c r="E87" s="14"/>
      <c r="F87" s="36">
        <f>IF(D$12=0,0,D87/D$12)</f>
        <v>0</v>
      </c>
      <c r="G87" s="14"/>
      <c r="H87" s="35">
        <f>+H83-H85</f>
        <v>-20152.57</v>
      </c>
      <c r="I87" s="14"/>
      <c r="J87" s="36">
        <f>IF(H$12=0,0,H87/H$12)</f>
        <v>0</v>
      </c>
      <c r="K87" s="15"/>
      <c r="L87" s="35">
        <f>D87-H87</f>
        <v>12606.56</v>
      </c>
      <c r="M87" s="15"/>
      <c r="N87" s="36">
        <f>IF(H87=0,0,L87/H87)</f>
        <v>-0.62555594646241153</v>
      </c>
      <c r="O87" s="29"/>
      <c r="P87" s="35">
        <f>+P83-P85</f>
        <v>-79560.889999999985</v>
      </c>
      <c r="Q87" s="14"/>
      <c r="R87" s="36">
        <f>IF(P$12=0,0,P87/P$12)</f>
        <v>0</v>
      </c>
      <c r="S87" s="14"/>
      <c r="T87" s="35">
        <f>+T83-T85</f>
        <v>-184553.05</v>
      </c>
      <c r="U87" s="14"/>
      <c r="V87" s="36">
        <f>IF(T$12=0,0,T87/T$12)</f>
        <v>-0.25584693821363202</v>
      </c>
      <c r="W87" s="15"/>
      <c r="X87" s="35">
        <f>P87-T87</f>
        <v>104992.16</v>
      </c>
      <c r="Y87" s="15"/>
      <c r="Z87" s="36">
        <f>IF(T87=0,0,X87/T87)</f>
        <v>-0.56889961991958415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293</v>
      </c>
      <c r="C90" s="28"/>
      <c r="D90" s="30">
        <f>SUM(D87:D89)</f>
        <v>-7546.01</v>
      </c>
      <c r="E90" s="14"/>
      <c r="F90" s="31">
        <f>IF(D$12=0,0,D90/D$12)</f>
        <v>0</v>
      </c>
      <c r="G90" s="14"/>
      <c r="H90" s="30">
        <f>SUM(H87:H89)</f>
        <v>-20152.57</v>
      </c>
      <c r="I90" s="14"/>
      <c r="J90" s="31">
        <f>IF(H$12=0,0,H90/H$12)</f>
        <v>0</v>
      </c>
      <c r="K90" s="15"/>
      <c r="L90" s="30">
        <f>+D90-H90</f>
        <v>12606.56</v>
      </c>
      <c r="M90" s="15"/>
      <c r="N90" s="31">
        <f>IF(H90=0,0,L90/H90)</f>
        <v>-0.62555594646241153</v>
      </c>
      <c r="O90" s="29"/>
      <c r="P90" s="30">
        <f>SUM(P87:P89)</f>
        <v>-79560.889999999985</v>
      </c>
      <c r="Q90" s="14"/>
      <c r="R90" s="31">
        <f>IF(P$12=0,0,P90/P$12)</f>
        <v>0</v>
      </c>
      <c r="S90" s="14"/>
      <c r="T90" s="30">
        <f>SUM(T87:T89)</f>
        <v>-184553.05</v>
      </c>
      <c r="U90" s="14"/>
      <c r="V90" s="31">
        <f>IF(T$12=0,0,T90/T$12)</f>
        <v>-0.25584693821363202</v>
      </c>
      <c r="W90" s="15"/>
      <c r="X90" s="30">
        <f>+P90-T90</f>
        <v>104992.16</v>
      </c>
      <c r="Y90" s="15"/>
      <c r="Z90" s="31">
        <f>IF(T90=0,0,X90/T90)</f>
        <v>-0.56889961991958415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9">
        <v>44356.893348032405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2" t="s">
        <v>56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4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","406", " - ", "OPA! Greek")</f>
        <v>Department 406 - OPA! Greek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189965.58000000002</v>
      </c>
      <c r="U12" s="4"/>
      <c r="V12" s="13"/>
      <c r="W12" s="4"/>
      <c r="X12" s="4">
        <f t="shared" ref="X12:X14" si="2">+P12-T12</f>
        <v>-189965.58000000002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--43841.85</f>
        <v>43841.85</v>
      </c>
      <c r="U13" s="2"/>
      <c r="V13" s="19"/>
      <c r="W13" s="2"/>
      <c r="X13" s="2">
        <f t="shared" si="2"/>
        <v>-43841.85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--146123.73</f>
        <v>146123.73000000001</v>
      </c>
      <c r="U14" s="2"/>
      <c r="V14" s="19"/>
      <c r="W14" s="2"/>
      <c r="X14" s="2">
        <f t="shared" si="2"/>
        <v>-146123.73000000001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71171.56</v>
      </c>
      <c r="U16" s="4"/>
      <c r="V16" s="13">
        <f t="shared" ref="V16:V18" si="12">IF(T$12=0,0,T16/T$12)</f>
        <v>0.37465502961115371</v>
      </c>
      <c r="W16" s="4"/>
      <c r="X16" s="4">
        <f t="shared" ref="X16:X18" si="13">+P16-T16</f>
        <v>-71171.56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69616.179999999993</v>
      </c>
      <c r="U17" s="2"/>
      <c r="V17" s="19">
        <f t="shared" si="12"/>
        <v>0.36646733581946783</v>
      </c>
      <c r="W17" s="2"/>
      <c r="X17" s="2">
        <f t="shared" si="13"/>
        <v>-69616.179999999993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1555.38</v>
      </c>
      <c r="U18" s="2"/>
      <c r="V18" s="19">
        <f t="shared" si="12"/>
        <v>8.1876937916858412E-3</v>
      </c>
      <c r="W18" s="2"/>
      <c r="X18" s="2">
        <f t="shared" si="13"/>
        <v>-1555.38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118794.02000000002</v>
      </c>
      <c r="U20" s="14"/>
      <c r="V20" s="21">
        <f>IF(T$12=0,0,T20/T$12)</f>
        <v>0.62534497038884629</v>
      </c>
      <c r="W20" s="15"/>
      <c r="X20" s="20">
        <f>+P20-T20</f>
        <v>-118794.02000000002</v>
      </c>
      <c r="Y20" s="15"/>
      <c r="Z20" s="21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119.55</v>
      </c>
      <c r="E22" s="22"/>
      <c r="F22" s="32">
        <f t="shared" ref="F22:F31" si="15">IF(D$12=0,0,D22/D$12)</f>
        <v>0</v>
      </c>
      <c r="G22" s="22"/>
      <c r="H22" s="22">
        <f>SUM(OSRRefH22x_0)</f>
        <v>865.31999999999994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-745.77</v>
      </c>
      <c r="M22" s="4"/>
      <c r="N22" s="32">
        <f t="shared" ref="N22:N31" si="18">IF(H22=0,0,L22/H22)</f>
        <v>-0.86184301761198179</v>
      </c>
      <c r="O22" s="11"/>
      <c r="P22" s="22">
        <f>SUM(OSRRefP22x_0)</f>
        <v>2411.54</v>
      </c>
      <c r="Q22" s="22"/>
      <c r="R22" s="32">
        <f t="shared" ref="R22:R31" si="19">IF(P$12=0,0,P22/P$12)</f>
        <v>0</v>
      </c>
      <c r="S22" s="22"/>
      <c r="T22" s="22">
        <f>SUM(OSRRefT22x_0)</f>
        <v>185605.2600000001</v>
      </c>
      <c r="U22" s="22"/>
      <c r="V22" s="32">
        <f t="shared" ref="V22:V31" si="20">IF(T$12=0,0,T22/T$12)</f>
        <v>0.97704678921307786</v>
      </c>
      <c r="W22" s="4"/>
      <c r="X22" s="22">
        <f t="shared" ref="X22:X31" si="21">+P22-T22</f>
        <v>-183193.72000000009</v>
      </c>
      <c r="Y22" s="4"/>
      <c r="Z22" s="32">
        <f t="shared" ref="Z22:Z31" si="22">IF(T22=0,0,X22/T22)</f>
        <v>-0.98700715701699393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660.8</v>
      </c>
      <c r="I23" s="1"/>
      <c r="J23" s="5">
        <f t="shared" si="16"/>
        <v>0</v>
      </c>
      <c r="K23" s="1"/>
      <c r="L23" s="1">
        <f t="shared" si="17"/>
        <v>-660.8</v>
      </c>
      <c r="M23" s="1"/>
      <c r="N23" s="5">
        <f t="shared" si="18"/>
        <v>-1</v>
      </c>
      <c r="O23" s="12"/>
      <c r="P23" s="1">
        <f>SUM(OSRRefP22_0x_0)</f>
        <v>660.8</v>
      </c>
      <c r="Q23" s="1"/>
      <c r="R23" s="5">
        <f t="shared" si="19"/>
        <v>0</v>
      </c>
      <c r="S23" s="1"/>
      <c r="T23" s="1">
        <f>SUM(OSRRefT22_0x_0)</f>
        <v>20759.5</v>
      </c>
      <c r="U23" s="1"/>
      <c r="V23" s="5">
        <f t="shared" si="20"/>
        <v>0.1092803233090963</v>
      </c>
      <c r="W23" s="1"/>
      <c r="X23" s="1">
        <f t="shared" si="21"/>
        <v>-20098.7</v>
      </c>
      <c r="Y23" s="1"/>
      <c r="Z23" s="5">
        <f t="shared" si="22"/>
        <v>-0.96816879019244206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6831.57</v>
      </c>
      <c r="U24" s="2"/>
      <c r="V24" s="7">
        <f t="shared" si="20"/>
        <v>3.5962146405680434E-2</v>
      </c>
      <c r="W24" s="2"/>
      <c r="X24" s="6">
        <f t="shared" si="21"/>
        <v>-6831.57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4016.54</v>
      </c>
      <c r="U25" s="2"/>
      <c r="V25" s="7">
        <f t="shared" si="20"/>
        <v>2.1143514525105021E-2</v>
      </c>
      <c r="W25" s="2"/>
      <c r="X25" s="6">
        <f t="shared" si="21"/>
        <v>-4016.54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660.8</v>
      </c>
      <c r="I26" s="2"/>
      <c r="J26" s="7">
        <f t="shared" si="16"/>
        <v>0</v>
      </c>
      <c r="K26" s="2"/>
      <c r="L26" s="6">
        <f t="shared" si="17"/>
        <v>-660.8</v>
      </c>
      <c r="M26" s="2"/>
      <c r="N26" s="7">
        <f t="shared" si="18"/>
        <v>-1</v>
      </c>
      <c r="O26" s="10"/>
      <c r="P26" s="6">
        <v>660.8</v>
      </c>
      <c r="Q26" s="2"/>
      <c r="R26" s="7">
        <f t="shared" si="19"/>
        <v>0</v>
      </c>
      <c r="S26" s="2"/>
      <c r="T26" s="6">
        <v>1603.52</v>
      </c>
      <c r="U26" s="2"/>
      <c r="V26" s="7">
        <f t="shared" si="20"/>
        <v>8.4411081207448196E-3</v>
      </c>
      <c r="W26" s="2"/>
      <c r="X26" s="6">
        <f t="shared" si="21"/>
        <v>-942.72</v>
      </c>
      <c r="Y26" s="2"/>
      <c r="Z26" s="7">
        <f t="shared" si="22"/>
        <v>-0.58790660546797047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319.64</v>
      </c>
      <c r="U27" s="2"/>
      <c r="V27" s="7">
        <f t="shared" si="20"/>
        <v>1.6826206094809383E-3</v>
      </c>
      <c r="W27" s="2"/>
      <c r="X27" s="6">
        <f t="shared" si="21"/>
        <v>-319.64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2839.06</v>
      </c>
      <c r="U28" s="2"/>
      <c r="V28" s="7">
        <f t="shared" si="20"/>
        <v>1.4945128480643702E-2</v>
      </c>
      <c r="W28" s="2"/>
      <c r="X28" s="6">
        <f t="shared" si="21"/>
        <v>-2839.06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1634.87</v>
      </c>
      <c r="U29" s="2"/>
      <c r="V29" s="7">
        <f t="shared" si="20"/>
        <v>8.6061380172134331E-3</v>
      </c>
      <c r="W29" s="2"/>
      <c r="X29" s="6">
        <f t="shared" si="21"/>
        <v>-1634.87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1996.53</v>
      </c>
      <c r="U30" s="2"/>
      <c r="V30" s="7">
        <f t="shared" si="20"/>
        <v>1.0509956593189144E-2</v>
      </c>
      <c r="W30" s="2"/>
      <c r="X30" s="6">
        <f t="shared" si="21"/>
        <v>-1996.53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1517.77</v>
      </c>
      <c r="U31" s="2"/>
      <c r="V31" s="7">
        <f t="shared" si="20"/>
        <v>7.9897105570388063E-3</v>
      </c>
      <c r="W31" s="2"/>
      <c r="X31" s="6">
        <f t="shared" si="21"/>
        <v>-1517.77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0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0</v>
      </c>
      <c r="M32" s="1"/>
      <c r="N32" s="5">
        <f t="shared" ref="N32:N38" si="26">IF(H32=0,0,L32/H32)</f>
        <v>0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112168.78</v>
      </c>
      <c r="U32" s="1"/>
      <c r="V32" s="5">
        <f t="shared" ref="V32:V38" si="28">IF(T$12=0,0,T32/T$12)</f>
        <v>0.59046896811517113</v>
      </c>
      <c r="W32" s="1"/>
      <c r="X32" s="1">
        <f t="shared" ref="X32:X38" si="29">+P32-T32</f>
        <v>-112168.78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37546.44</v>
      </c>
      <c r="U33" s="2"/>
      <c r="V33" s="7">
        <f t="shared" si="28"/>
        <v>0.19764864771818136</v>
      </c>
      <c r="W33" s="2"/>
      <c r="X33" s="6">
        <f t="shared" si="29"/>
        <v>-37546.44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2484.31</v>
      </c>
      <c r="U34" s="2"/>
      <c r="V34" s="7">
        <f t="shared" si="28"/>
        <v>1.3077684915340978E-2</v>
      </c>
      <c r="W34" s="2"/>
      <c r="X34" s="6">
        <f t="shared" si="29"/>
        <v>-2484.31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40119.120000000003</v>
      </c>
      <c r="U35" s="2"/>
      <c r="V35" s="7">
        <f t="shared" si="28"/>
        <v>0.21119152216943721</v>
      </c>
      <c r="W35" s="2"/>
      <c r="X35" s="6">
        <f t="shared" si="29"/>
        <v>-40119.120000000003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1294.4100000000001</v>
      </c>
      <c r="U36" s="2"/>
      <c r="V36" s="7">
        <f t="shared" si="28"/>
        <v>6.8139186056758285E-3</v>
      </c>
      <c r="W36" s="2"/>
      <c r="X36" s="6">
        <f t="shared" si="29"/>
        <v>-1294.4100000000001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28126.86</v>
      </c>
      <c r="U37" s="2"/>
      <c r="V37" s="7">
        <f t="shared" si="28"/>
        <v>0.14806292803148866</v>
      </c>
      <c r="W37" s="2"/>
      <c r="X37" s="6">
        <f t="shared" si="29"/>
        <v>-28126.86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2597.64</v>
      </c>
      <c r="U38" s="2"/>
      <c r="V38" s="7">
        <f t="shared" si="28"/>
        <v>1.367426667504713E-2</v>
      </c>
      <c r="W38" s="2"/>
      <c r="X38" s="6">
        <f t="shared" si="29"/>
        <v>-2597.64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3228.7</v>
      </c>
      <c r="U39" s="1"/>
      <c r="V39" s="5">
        <f t="shared" ref="V39:V56" si="36">IF(T$12=0,0,T39/T$12)</f>
        <v>1.6996236897231592E-2</v>
      </c>
      <c r="W39" s="1"/>
      <c r="X39" s="1">
        <f t="shared" ref="X39:X56" si="37">+P39-T39</f>
        <v>-3228.7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3228.7</v>
      </c>
      <c r="U40" s="2"/>
      <c r="V40" s="7">
        <f t="shared" si="36"/>
        <v>1.6996236897231592E-2</v>
      </c>
      <c r="W40" s="2"/>
      <c r="X40" s="6">
        <f t="shared" si="37"/>
        <v>-3228.7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-42.37</v>
      </c>
      <c r="U41" s="1"/>
      <c r="V41" s="5">
        <f t="shared" si="36"/>
        <v>-2.2304040553030709E-4</v>
      </c>
      <c r="W41" s="1"/>
      <c r="X41" s="1">
        <f t="shared" si="37"/>
        <v>42.37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-42.37</v>
      </c>
      <c r="U42" s="2"/>
      <c r="V42" s="7">
        <f t="shared" si="36"/>
        <v>-2.2304040553030709E-4</v>
      </c>
      <c r="W42" s="2"/>
      <c r="X42" s="6">
        <f t="shared" si="37"/>
        <v>42.37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7084.51</v>
      </c>
      <c r="U43" s="1"/>
      <c r="V43" s="5">
        <f t="shared" si="36"/>
        <v>3.7293650776103755E-2</v>
      </c>
      <c r="W43" s="1"/>
      <c r="X43" s="1">
        <f t="shared" si="37"/>
        <v>-7084.51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7084.51</v>
      </c>
      <c r="U44" s="2"/>
      <c r="V44" s="7">
        <f t="shared" si="36"/>
        <v>3.7293650776103755E-2</v>
      </c>
      <c r="W44" s="2"/>
      <c r="X44" s="6">
        <f t="shared" si="37"/>
        <v>-7084.51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119.55</v>
      </c>
      <c r="E45" s="1"/>
      <c r="F45" s="5">
        <f t="shared" si="31"/>
        <v>0</v>
      </c>
      <c r="G45" s="1"/>
      <c r="H45" s="1">
        <f>SUM(OSRRefH22_5x_0)</f>
        <v>119.55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SUM(OSRRefP22_5x_0)</f>
        <v>1315.05</v>
      </c>
      <c r="Q45" s="1"/>
      <c r="R45" s="5">
        <f t="shared" si="35"/>
        <v>0</v>
      </c>
      <c r="S45" s="1"/>
      <c r="T45" s="1">
        <f>SUM(OSRRefT22_5x_0)</f>
        <v>25216.95</v>
      </c>
      <c r="U45" s="1"/>
      <c r="V45" s="5">
        <f t="shared" si="36"/>
        <v>0.1327448372489374</v>
      </c>
      <c r="W45" s="1"/>
      <c r="X45" s="1">
        <f t="shared" si="37"/>
        <v>-23901.9</v>
      </c>
      <c r="Y45" s="1"/>
      <c r="Z45" s="5">
        <f t="shared" si="38"/>
        <v>-0.94785055290191722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119.55</v>
      </c>
      <c r="E46" s="2"/>
      <c r="F46" s="7">
        <f t="shared" si="31"/>
        <v>0</v>
      </c>
      <c r="G46" s="2"/>
      <c r="H46" s="6">
        <v>119.55</v>
      </c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>
        <v>1315.05</v>
      </c>
      <c r="Q46" s="2"/>
      <c r="R46" s="7">
        <f t="shared" si="35"/>
        <v>0</v>
      </c>
      <c r="S46" s="2"/>
      <c r="T46" s="6">
        <v>25216.95</v>
      </c>
      <c r="U46" s="2"/>
      <c r="V46" s="7">
        <f t="shared" si="36"/>
        <v>0.1327448372489374</v>
      </c>
      <c r="W46" s="2"/>
      <c r="X46" s="6">
        <f t="shared" si="37"/>
        <v>-23901.9</v>
      </c>
      <c r="Y46" s="2"/>
      <c r="Z46" s="7">
        <f t="shared" si="38"/>
        <v>-0.94785055290191722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107.51</v>
      </c>
      <c r="U47" s="1"/>
      <c r="V47" s="5">
        <f t="shared" si="36"/>
        <v>5.6594463060097517E-4</v>
      </c>
      <c r="W47" s="1"/>
      <c r="X47" s="1">
        <f t="shared" si="37"/>
        <v>-107.51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107.51</v>
      </c>
      <c r="U48" s="2"/>
      <c r="V48" s="7">
        <f t="shared" si="36"/>
        <v>5.6594463060097517E-4</v>
      </c>
      <c r="W48" s="2"/>
      <c r="X48" s="6">
        <f t="shared" si="37"/>
        <v>-107.51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64.02</v>
      </c>
      <c r="I49" s="1"/>
      <c r="J49" s="5">
        <f t="shared" si="32"/>
        <v>0</v>
      </c>
      <c r="K49" s="1"/>
      <c r="L49" s="1">
        <f t="shared" si="33"/>
        <v>-64.02</v>
      </c>
      <c r="M49" s="1"/>
      <c r="N49" s="5">
        <f t="shared" si="34"/>
        <v>-1</v>
      </c>
      <c r="O49" s="12"/>
      <c r="P49" s="1">
        <f>SUM(OSRRefP22_7x_0)</f>
        <v>64.02</v>
      </c>
      <c r="Q49" s="1"/>
      <c r="R49" s="5">
        <f t="shared" si="35"/>
        <v>0</v>
      </c>
      <c r="S49" s="1"/>
      <c r="T49" s="1">
        <f>SUM(OSRRefT22_7x_0)</f>
        <v>1648.76</v>
      </c>
      <c r="U49" s="1"/>
      <c r="V49" s="5">
        <f t="shared" si="36"/>
        <v>8.6792565263665127E-3</v>
      </c>
      <c r="W49" s="1"/>
      <c r="X49" s="1">
        <f t="shared" si="37"/>
        <v>-1584.74</v>
      </c>
      <c r="Y49" s="1"/>
      <c r="Z49" s="5">
        <f t="shared" si="38"/>
        <v>-0.9611708192823698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64.02</v>
      </c>
      <c r="I50" s="2"/>
      <c r="J50" s="7">
        <f t="shared" si="32"/>
        <v>0</v>
      </c>
      <c r="K50" s="2"/>
      <c r="L50" s="6">
        <f t="shared" si="33"/>
        <v>-64.02</v>
      </c>
      <c r="M50" s="2"/>
      <c r="N50" s="7">
        <f t="shared" si="34"/>
        <v>-1</v>
      </c>
      <c r="O50" s="10"/>
      <c r="P50" s="6">
        <v>64.02</v>
      </c>
      <c r="Q50" s="2"/>
      <c r="R50" s="7">
        <f t="shared" si="35"/>
        <v>0</v>
      </c>
      <c r="S50" s="2"/>
      <c r="T50" s="6">
        <v>1648.76</v>
      </c>
      <c r="U50" s="2"/>
      <c r="V50" s="7">
        <f t="shared" si="36"/>
        <v>8.6792565263665127E-3</v>
      </c>
      <c r="W50" s="2"/>
      <c r="X50" s="6">
        <f t="shared" si="37"/>
        <v>-1584.74</v>
      </c>
      <c r="Y50" s="2"/>
      <c r="Z50" s="7">
        <f t="shared" si="38"/>
        <v>-0.9611708192823698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768.15</v>
      </c>
      <c r="U51" s="1"/>
      <c r="V51" s="5">
        <f t="shared" si="36"/>
        <v>4.0436272718457726E-3</v>
      </c>
      <c r="W51" s="1"/>
      <c r="X51" s="1">
        <f t="shared" si="37"/>
        <v>-768.15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768.15</v>
      </c>
      <c r="U52" s="2"/>
      <c r="V52" s="7">
        <f t="shared" si="36"/>
        <v>4.0436272718457726E-3</v>
      </c>
      <c r="W52" s="2"/>
      <c r="X52" s="6">
        <f t="shared" si="37"/>
        <v>-768.15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1"/>
        <v>0</v>
      </c>
      <c r="G53" s="1"/>
      <c r="H53" s="1">
        <f>SUM(OSRRefH22_9x_0)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SUM(OSRRefP22_9x_0)</f>
        <v>286.47000000000003</v>
      </c>
      <c r="Q53" s="1"/>
      <c r="R53" s="5">
        <f t="shared" si="35"/>
        <v>0</v>
      </c>
      <c r="S53" s="1"/>
      <c r="T53" s="1">
        <f>SUM(OSRRefT22_9x_0)</f>
        <v>5494.59</v>
      </c>
      <c r="U53" s="1"/>
      <c r="V53" s="5">
        <f t="shared" si="36"/>
        <v>2.8924134572168282E-2</v>
      </c>
      <c r="W53" s="1"/>
      <c r="X53" s="1">
        <f t="shared" si="37"/>
        <v>-5208.12</v>
      </c>
      <c r="Y53" s="1"/>
      <c r="Z53" s="5">
        <f t="shared" si="38"/>
        <v>-0.94786326186303249</v>
      </c>
    </row>
    <row r="54" spans="1:26" s="23" customFormat="1" hidden="1" outlineLevel="2" x14ac:dyDescent="0.25">
      <c r="A54" s="27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2186.54</v>
      </c>
      <c r="U54" s="2"/>
      <c r="V54" s="7">
        <f t="shared" si="36"/>
        <v>1.1510190425023312E-2</v>
      </c>
      <c r="W54" s="2"/>
      <c r="X54" s="6">
        <f t="shared" si="37"/>
        <v>-2186.54</v>
      </c>
      <c r="Y54" s="2"/>
      <c r="Z54" s="7">
        <f t="shared" si="38"/>
        <v>-1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286.47000000000003</v>
      </c>
      <c r="Q55" s="2"/>
      <c r="R55" s="7">
        <f t="shared" si="35"/>
        <v>0</v>
      </c>
      <c r="S55" s="2"/>
      <c r="T55" s="6">
        <v>909.57</v>
      </c>
      <c r="U55" s="2"/>
      <c r="V55" s="7">
        <f t="shared" si="36"/>
        <v>4.7880779244324151E-3</v>
      </c>
      <c r="W55" s="2"/>
      <c r="X55" s="6">
        <f t="shared" si="37"/>
        <v>-623.1</v>
      </c>
      <c r="Y55" s="2"/>
      <c r="Z55" s="7">
        <f t="shared" si="38"/>
        <v>-0.68504897918796792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/>
      <c r="Q56" s="2"/>
      <c r="R56" s="7">
        <f t="shared" si="35"/>
        <v>0</v>
      </c>
      <c r="S56" s="2"/>
      <c r="T56" s="6">
        <v>2398.48</v>
      </c>
      <c r="U56" s="2"/>
      <c r="V56" s="7">
        <f t="shared" si="36"/>
        <v>1.2625866222712556E-2</v>
      </c>
      <c r="W56" s="2"/>
      <c r="X56" s="6">
        <f t="shared" si="37"/>
        <v>-2398.48</v>
      </c>
      <c r="Y56" s="2"/>
      <c r="Z56" s="7">
        <f t="shared" si="38"/>
        <v>-1</v>
      </c>
    </row>
    <row r="57" spans="1:26" s="26" customFormat="1" outlineLevel="1" collapsed="1" x14ac:dyDescent="0.25">
      <c r="A57" s="25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59" si="39">IF(D$12=0,0,D57/D$12)</f>
        <v>0</v>
      </c>
      <c r="G57" s="1"/>
      <c r="H57" s="1">
        <f>SUM(OSRRefH22_10x_0)</f>
        <v>0</v>
      </c>
      <c r="I57" s="1"/>
      <c r="J57" s="5">
        <f t="shared" ref="J57:J59" si="40">IF(H$12=0,0,H57/H$12)</f>
        <v>0</v>
      </c>
      <c r="K57" s="1"/>
      <c r="L57" s="1">
        <f t="shared" ref="L57:L59" si="41">+D57-H57</f>
        <v>0</v>
      </c>
      <c r="M57" s="1"/>
      <c r="N57" s="5">
        <f t="shared" ref="N57:N59" si="42">IF(H57=0,0,L57/H57)</f>
        <v>0</v>
      </c>
      <c r="O57" s="12"/>
      <c r="P57" s="1">
        <f>SUM(OSRRefP22_10x_0)</f>
        <v>0</v>
      </c>
      <c r="Q57" s="1"/>
      <c r="R57" s="5">
        <f t="shared" ref="R57:R59" si="43">IF(P$12=0,0,P57/P$12)</f>
        <v>0</v>
      </c>
      <c r="S57" s="1"/>
      <c r="T57" s="1">
        <f>SUM(OSRRefT22_10x_0)</f>
        <v>1739.62</v>
      </c>
      <c r="U57" s="1"/>
      <c r="V57" s="5">
        <f t="shared" ref="V57:V59" si="44">IF(T$12=0,0,T57/T$12)</f>
        <v>9.1575536999913346E-3</v>
      </c>
      <c r="W57" s="1"/>
      <c r="X57" s="1">
        <f t="shared" ref="X57:X59" si="45">+P57-T57</f>
        <v>-1739.62</v>
      </c>
      <c r="Y57" s="1"/>
      <c r="Z57" s="5">
        <f t="shared" ref="Z57:Z59" si="46">IF(T57=0,0,X57/T57)</f>
        <v>-1</v>
      </c>
    </row>
    <row r="58" spans="1:26" s="23" customFormat="1" hidden="1" outlineLevel="2" x14ac:dyDescent="0.25">
      <c r="A58" s="27"/>
      <c r="B58" s="10" t="str">
        <f>CONCATENATE("          ", "6285", " - ", "JANITORIAL SERVICES")</f>
        <v xml:space="preserve">          6285 - JANITORIAL SERVICES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1305.25</v>
      </c>
      <c r="U58" s="2"/>
      <c r="V58" s="7">
        <f t="shared" si="44"/>
        <v>6.8709815746621043E-3</v>
      </c>
      <c r="W58" s="2"/>
      <c r="X58" s="6">
        <f t="shared" si="45"/>
        <v>-1305.25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434.37</v>
      </c>
      <c r="U59" s="2"/>
      <c r="V59" s="7">
        <f t="shared" si="44"/>
        <v>2.2865721253292307E-3</v>
      </c>
      <c r="W59" s="2"/>
      <c r="X59" s="6">
        <f t="shared" si="45"/>
        <v>-434.37</v>
      </c>
      <c r="Y59" s="2"/>
      <c r="Z59" s="7">
        <f t="shared" si="46"/>
        <v>-1</v>
      </c>
    </row>
    <row r="60" spans="1:26" s="26" customFormat="1" outlineLevel="1" collapsed="1" x14ac:dyDescent="0.25">
      <c r="A60" s="25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SUM(OSRRefD22_11x_0)</f>
        <v>0</v>
      </c>
      <c r="E60" s="1"/>
      <c r="F60" s="5">
        <f t="shared" ref="F60:F66" si="47">IF(D$12=0,0,D60/D$12)</f>
        <v>0</v>
      </c>
      <c r="G60" s="1"/>
      <c r="H60" s="1">
        <f>SUM(OSRRefH22_11x_0)</f>
        <v>-65.05</v>
      </c>
      <c r="I60" s="1"/>
      <c r="J60" s="5">
        <f t="shared" ref="J60:J66" si="48">IF(H$12=0,0,H60/H$12)</f>
        <v>0</v>
      </c>
      <c r="K60" s="1"/>
      <c r="L60" s="1">
        <f t="shared" ref="L60:L66" si="49">+D60-H60</f>
        <v>65.05</v>
      </c>
      <c r="M60" s="1"/>
      <c r="N60" s="5">
        <f t="shared" ref="N60:N66" si="50">IF(H60=0,0,L60/H60)</f>
        <v>-1</v>
      </c>
      <c r="O60" s="12"/>
      <c r="P60" s="1">
        <f>SUM(OSRRefP22_11x_0)</f>
        <v>0</v>
      </c>
      <c r="Q60" s="1"/>
      <c r="R60" s="5">
        <f t="shared" ref="R60:R66" si="51">IF(P$12=0,0,P60/P$12)</f>
        <v>0</v>
      </c>
      <c r="S60" s="1"/>
      <c r="T60" s="1">
        <f>SUM(OSRRefT22_11x_0)</f>
        <v>6296.61</v>
      </c>
      <c r="U60" s="1"/>
      <c r="V60" s="5">
        <f t="shared" ref="V60:V66" si="52">IF(T$12=0,0,T60/T$12)</f>
        <v>3.3146057301538516E-2</v>
      </c>
      <c r="W60" s="1"/>
      <c r="X60" s="1">
        <f t="shared" ref="X60:X66" si="53">+P60-T60</f>
        <v>-6296.61</v>
      </c>
      <c r="Y60" s="1"/>
      <c r="Z60" s="5">
        <f t="shared" ref="Z60:Z66" si="54">IF(T60=0,0,X60/T60)</f>
        <v>-1</v>
      </c>
    </row>
    <row r="61" spans="1:26" s="23" customFormat="1" hidden="1" outlineLevel="2" x14ac:dyDescent="0.25">
      <c r="A61" s="27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10.95</v>
      </c>
      <c r="U61" s="2"/>
      <c r="V61" s="7">
        <f t="shared" si="52"/>
        <v>5.7642021254587271E-5</v>
      </c>
      <c r="W61" s="2"/>
      <c r="X61" s="6">
        <f t="shared" si="53"/>
        <v>-10.95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"6239", " - ", "KITCHEN SUPPLIES")</f>
        <v xml:space="preserve">          6239 - KITCHEN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2898.22</v>
      </c>
      <c r="U62" s="2"/>
      <c r="V62" s="7">
        <f t="shared" si="52"/>
        <v>1.5256553318764375E-2</v>
      </c>
      <c r="W62" s="2"/>
      <c r="X62" s="6">
        <f t="shared" si="53"/>
        <v>-2898.22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"6241", " - ", "OFFICE EXPENSE")</f>
        <v xml:space="preserve">          6241 - OFFICE EXPENSE</v>
      </c>
      <c r="C63" s="10"/>
      <c r="D63" s="6"/>
      <c r="E63" s="2"/>
      <c r="F63" s="7">
        <f t="shared" si="47"/>
        <v>0</v>
      </c>
      <c r="G63" s="2"/>
      <c r="H63" s="6">
        <v>-65.05</v>
      </c>
      <c r="I63" s="2"/>
      <c r="J63" s="7">
        <f t="shared" si="48"/>
        <v>0</v>
      </c>
      <c r="K63" s="2"/>
      <c r="L63" s="6">
        <f t="shared" si="49"/>
        <v>65.05</v>
      </c>
      <c r="M63" s="2"/>
      <c r="N63" s="7">
        <f t="shared" si="50"/>
        <v>-1</v>
      </c>
      <c r="O63" s="10"/>
      <c r="P63" s="6"/>
      <c r="Q63" s="2"/>
      <c r="R63" s="7">
        <f t="shared" si="51"/>
        <v>0</v>
      </c>
      <c r="S63" s="2"/>
      <c r="T63" s="6">
        <v>788.91</v>
      </c>
      <c r="U63" s="2"/>
      <c r="V63" s="7">
        <f t="shared" si="52"/>
        <v>4.1529102272106341E-3</v>
      </c>
      <c r="W63" s="2"/>
      <c r="X63" s="6">
        <f t="shared" si="53"/>
        <v>-788.91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"6243", " - ", "PAPER SUPPLIES")</f>
        <v xml:space="preserve">          6243 - PAPER SUPPLIES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1858.86</v>
      </c>
      <c r="U64" s="2"/>
      <c r="V64" s="7">
        <f t="shared" si="52"/>
        <v>9.7852463588403733E-3</v>
      </c>
      <c r="W64" s="2"/>
      <c r="X64" s="6">
        <f t="shared" si="53"/>
        <v>-1858.86</v>
      </c>
      <c r="Y64" s="2"/>
      <c r="Z64" s="7">
        <f t="shared" si="54"/>
        <v>-1</v>
      </c>
    </row>
    <row r="65" spans="1:26" s="23" customFormat="1" hidden="1" outlineLevel="2" x14ac:dyDescent="0.25">
      <c r="A65" s="27"/>
      <c r="B65" s="10" t="str">
        <f>CONCATENATE("          ", "6247", " - ", "STORE SUPPLIES")</f>
        <v xml:space="preserve">          6247 - STORE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102.64</v>
      </c>
      <c r="U65" s="2"/>
      <c r="V65" s="7">
        <f t="shared" si="52"/>
        <v>5.4030840744939159E-4</v>
      </c>
      <c r="W65" s="2"/>
      <c r="X65" s="6">
        <f t="shared" si="53"/>
        <v>-102.64</v>
      </c>
      <c r="Y65" s="2"/>
      <c r="Z65" s="7">
        <f t="shared" si="54"/>
        <v>-1</v>
      </c>
    </row>
    <row r="66" spans="1:26" s="23" customFormat="1" hidden="1" outlineLevel="2" x14ac:dyDescent="0.25">
      <c r="A66" s="27"/>
      <c r="B66" s="10" t="str">
        <f>CONCATENATE("          ", "6248", " - ", "UNIFORMS")</f>
        <v xml:space="preserve">          6248 - UNIFORMS</v>
      </c>
      <c r="C66" s="10"/>
      <c r="D66" s="6"/>
      <c r="E66" s="2"/>
      <c r="F66" s="7">
        <f t="shared" si="47"/>
        <v>0</v>
      </c>
      <c r="G66" s="2"/>
      <c r="H66" s="6"/>
      <c r="I66" s="2"/>
      <c r="J66" s="7">
        <f t="shared" si="48"/>
        <v>0</v>
      </c>
      <c r="K66" s="2"/>
      <c r="L66" s="6">
        <f t="shared" si="49"/>
        <v>0</v>
      </c>
      <c r="M66" s="2"/>
      <c r="N66" s="7">
        <f t="shared" si="50"/>
        <v>0</v>
      </c>
      <c r="O66" s="10"/>
      <c r="P66" s="6"/>
      <c r="Q66" s="2"/>
      <c r="R66" s="7">
        <f t="shared" si="51"/>
        <v>0</v>
      </c>
      <c r="S66" s="2"/>
      <c r="T66" s="6">
        <v>637.03</v>
      </c>
      <c r="U66" s="2"/>
      <c r="V66" s="7">
        <f t="shared" si="52"/>
        <v>3.3533969680191534E-3</v>
      </c>
      <c r="W66" s="2"/>
      <c r="X66" s="6">
        <f t="shared" si="53"/>
        <v>-637.03</v>
      </c>
      <c r="Y66" s="2"/>
      <c r="Z66" s="7">
        <f t="shared" si="54"/>
        <v>-1</v>
      </c>
    </row>
    <row r="67" spans="1:26" s="26" customFormat="1" outlineLevel="1" collapsed="1" x14ac:dyDescent="0.25">
      <c r="A67" s="25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SUM(OSRRefD22_12x_0)</f>
        <v>0</v>
      </c>
      <c r="E67" s="1"/>
      <c r="F67" s="5">
        <f t="shared" ref="F67:F72" si="55">IF(D$12=0,0,D67/D$12)</f>
        <v>0</v>
      </c>
      <c r="G67" s="1"/>
      <c r="H67" s="1">
        <f>SUM(OSRRefH22_12x_0)</f>
        <v>86</v>
      </c>
      <c r="I67" s="1"/>
      <c r="J67" s="5">
        <f t="shared" ref="J67:J72" si="56">IF(H$12=0,0,H67/H$12)</f>
        <v>0</v>
      </c>
      <c r="K67" s="1"/>
      <c r="L67" s="1">
        <f t="shared" ref="L67:L72" si="57">+D67-H67</f>
        <v>-86</v>
      </c>
      <c r="M67" s="1"/>
      <c r="N67" s="5">
        <f t="shared" ref="N67:N72" si="58">IF(H67=0,0,L67/H67)</f>
        <v>-1</v>
      </c>
      <c r="O67" s="12"/>
      <c r="P67" s="1">
        <f>SUM(OSRRefP22_12x_0)</f>
        <v>85.2</v>
      </c>
      <c r="Q67" s="1"/>
      <c r="R67" s="5">
        <f t="shared" ref="R67:R72" si="59">IF(P$12=0,0,P67/P$12)</f>
        <v>0</v>
      </c>
      <c r="S67" s="1"/>
      <c r="T67" s="1">
        <f>SUM(OSRRefT22_12x_0)</f>
        <v>951.5</v>
      </c>
      <c r="U67" s="1"/>
      <c r="V67" s="5">
        <f t="shared" ref="V67:V72" si="60">IF(T$12=0,0,T67/T$12)</f>
        <v>5.0088021208894787E-3</v>
      </c>
      <c r="W67" s="1"/>
      <c r="X67" s="1">
        <f t="shared" ref="X67:X72" si="61">+P67-T67</f>
        <v>-866.3</v>
      </c>
      <c r="Y67" s="1"/>
      <c r="Z67" s="5">
        <f t="shared" ref="Z67:Z72" si="62">IF(T67=0,0,X67/T67)</f>
        <v>-0.91045717288491845</v>
      </c>
    </row>
    <row r="68" spans="1:26" s="23" customFormat="1" hidden="1" outlineLevel="2" x14ac:dyDescent="0.25">
      <c r="A68" s="27"/>
      <c r="B68" s="10" t="str">
        <f>CONCATENATE("          ", "6309", " - ", "TELEPHONE")</f>
        <v xml:space="preserve">          6309 - TELEPHONE</v>
      </c>
      <c r="C68" s="10"/>
      <c r="D68" s="6"/>
      <c r="E68" s="2"/>
      <c r="F68" s="7">
        <f t="shared" si="55"/>
        <v>0</v>
      </c>
      <c r="G68" s="2"/>
      <c r="H68" s="6">
        <v>86</v>
      </c>
      <c r="I68" s="2"/>
      <c r="J68" s="7">
        <f t="shared" si="56"/>
        <v>0</v>
      </c>
      <c r="K68" s="2"/>
      <c r="L68" s="6">
        <f t="shared" si="57"/>
        <v>-86</v>
      </c>
      <c r="M68" s="2"/>
      <c r="N68" s="7">
        <f t="shared" si="58"/>
        <v>-1</v>
      </c>
      <c r="O68" s="10"/>
      <c r="P68" s="6">
        <v>85.2</v>
      </c>
      <c r="Q68" s="2"/>
      <c r="R68" s="7">
        <f t="shared" si="59"/>
        <v>0</v>
      </c>
      <c r="S68" s="2"/>
      <c r="T68" s="6">
        <v>951.5</v>
      </c>
      <c r="U68" s="2"/>
      <c r="V68" s="7">
        <f t="shared" si="60"/>
        <v>5.0088021208894787E-3</v>
      </c>
      <c r="W68" s="2"/>
      <c r="X68" s="6">
        <f t="shared" si="61"/>
        <v>-866.3</v>
      </c>
      <c r="Y68" s="2"/>
      <c r="Z68" s="7">
        <f t="shared" si="62"/>
        <v>-0.91045717288491845</v>
      </c>
    </row>
    <row r="69" spans="1:26" s="26" customFormat="1" outlineLevel="1" collapsed="1" x14ac:dyDescent="0.25">
      <c r="A69" s="25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SUM(OSRRefD22_13x_0)</f>
        <v>0</v>
      </c>
      <c r="E69" s="1"/>
      <c r="F69" s="5">
        <f t="shared" si="55"/>
        <v>0</v>
      </c>
      <c r="G69" s="1"/>
      <c r="H69" s="1">
        <f>SUM(OSRRefH22_13x_0)</f>
        <v>0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2"/>
      <c r="P69" s="1">
        <f>SUM(OSRRefP22_13x_0)</f>
        <v>0</v>
      </c>
      <c r="Q69" s="1"/>
      <c r="R69" s="5">
        <f t="shared" si="59"/>
        <v>0</v>
      </c>
      <c r="S69" s="1"/>
      <c r="T69" s="1">
        <f>SUM(OSRRefT22_13x_0)</f>
        <v>170.95</v>
      </c>
      <c r="U69" s="1"/>
      <c r="V69" s="5">
        <f t="shared" si="60"/>
        <v>8.9989986607047435E-4</v>
      </c>
      <c r="W69" s="1"/>
      <c r="X69" s="1">
        <f t="shared" si="61"/>
        <v>-170.95</v>
      </c>
      <c r="Y69" s="1"/>
      <c r="Z69" s="5">
        <f t="shared" si="62"/>
        <v>-1</v>
      </c>
    </row>
    <row r="70" spans="1:26" s="23" customFormat="1" hidden="1" outlineLevel="2" x14ac:dyDescent="0.25">
      <c r="A70" s="27"/>
      <c r="B70" s="10" t="str">
        <f>CONCATENATE("          ", "6376", " - ", "TRAINING")</f>
        <v xml:space="preserve">          6376 - TRAINING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/>
      <c r="Q70" s="2"/>
      <c r="R70" s="7">
        <f t="shared" si="59"/>
        <v>0</v>
      </c>
      <c r="S70" s="2"/>
      <c r="T70" s="6">
        <v>170.95</v>
      </c>
      <c r="U70" s="2"/>
      <c r="V70" s="7">
        <f t="shared" si="60"/>
        <v>8.9989986607047435E-4</v>
      </c>
      <c r="W70" s="2"/>
      <c r="X70" s="6">
        <f t="shared" si="61"/>
        <v>-170.95</v>
      </c>
      <c r="Y70" s="2"/>
      <c r="Z70" s="7">
        <f t="shared" si="62"/>
        <v>-1</v>
      </c>
    </row>
    <row r="71" spans="1:26" s="26" customFormat="1" outlineLevel="1" collapsed="1" x14ac:dyDescent="0.25">
      <c r="A71" s="25"/>
      <c r="B71" s="12" t="str">
        <f>CONCATENATE("     ","Travel                                            ")</f>
        <v xml:space="preserve">     Travel                                            </v>
      </c>
      <c r="C71" s="12"/>
      <c r="D71" s="1">
        <f>SUM(OSRRefD22_14x_0)</f>
        <v>0</v>
      </c>
      <c r="E71" s="1"/>
      <c r="F71" s="5">
        <f t="shared" si="55"/>
        <v>0</v>
      </c>
      <c r="G71" s="1"/>
      <c r="H71" s="1">
        <f>SUM(OSRRefH22_14x_0)</f>
        <v>0</v>
      </c>
      <c r="I71" s="1"/>
      <c r="J71" s="5">
        <f t="shared" si="56"/>
        <v>0</v>
      </c>
      <c r="K71" s="1"/>
      <c r="L71" s="1">
        <f t="shared" si="57"/>
        <v>0</v>
      </c>
      <c r="M71" s="1"/>
      <c r="N71" s="5">
        <f t="shared" si="58"/>
        <v>0</v>
      </c>
      <c r="O71" s="12"/>
      <c r="P71" s="1">
        <f>SUM(OSRRefP22_14x_0)</f>
        <v>0</v>
      </c>
      <c r="Q71" s="1"/>
      <c r="R71" s="5">
        <f t="shared" si="59"/>
        <v>0</v>
      </c>
      <c r="S71" s="1"/>
      <c r="T71" s="1">
        <f>SUM(OSRRefT22_14x_0)</f>
        <v>11.5</v>
      </c>
      <c r="U71" s="1"/>
      <c r="V71" s="5">
        <f t="shared" si="60"/>
        <v>6.0537282596141888E-5</v>
      </c>
      <c r="W71" s="1"/>
      <c r="X71" s="1">
        <f t="shared" si="61"/>
        <v>-11.5</v>
      </c>
      <c r="Y71" s="1"/>
      <c r="Z71" s="5">
        <f t="shared" si="62"/>
        <v>-1</v>
      </c>
    </row>
    <row r="72" spans="1:26" s="23" customFormat="1" hidden="1" outlineLevel="2" x14ac:dyDescent="0.25">
      <c r="A72" s="27"/>
      <c r="B72" s="10" t="str">
        <f>CONCATENATE("          ", "6294", " - ", "TRAVEL OPERATIONAL")</f>
        <v xml:space="preserve">          6294 - TRAVEL OPERATIONAL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11.5</v>
      </c>
      <c r="U72" s="2"/>
      <c r="V72" s="7">
        <f t="shared" si="60"/>
        <v>6.0537282596141888E-5</v>
      </c>
      <c r="W72" s="2"/>
      <c r="X72" s="6">
        <f t="shared" si="61"/>
        <v>-11.5</v>
      </c>
      <c r="Y72" s="2"/>
      <c r="Z72" s="7">
        <f t="shared" si="62"/>
        <v>-1</v>
      </c>
    </row>
    <row r="73" spans="1:26" s="57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9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8" t="s">
        <v>276</v>
      </c>
      <c r="C76" s="28"/>
      <c r="D76" s="20">
        <f>+D20-D22+D74</f>
        <v>-119.55</v>
      </c>
      <c r="E76" s="14"/>
      <c r="F76" s="21">
        <f>IF(D$12=0,0,D76/D$12)</f>
        <v>0</v>
      </c>
      <c r="G76" s="14"/>
      <c r="H76" s="20">
        <f>+H20-H22+H74</f>
        <v>-865.31999999999994</v>
      </c>
      <c r="I76" s="14"/>
      <c r="J76" s="21">
        <f>IF(H$12=0,0,H76/H$12)</f>
        <v>0</v>
      </c>
      <c r="K76" s="15"/>
      <c r="L76" s="20">
        <f>+D76-H76</f>
        <v>745.77</v>
      </c>
      <c r="M76" s="15"/>
      <c r="N76" s="21">
        <f>IF(H76=0,0,L76/H76)</f>
        <v>-0.86184301761198179</v>
      </c>
      <c r="O76" s="29"/>
      <c r="P76" s="20">
        <f>+P20-P22+P74</f>
        <v>-2411.54</v>
      </c>
      <c r="Q76" s="14"/>
      <c r="R76" s="21">
        <f>IF(P$12=0,0,P76/P$12)</f>
        <v>0</v>
      </c>
      <c r="S76" s="14"/>
      <c r="T76" s="20">
        <f>+T20-T22+T74</f>
        <v>-66811.240000000078</v>
      </c>
      <c r="U76" s="14"/>
      <c r="V76" s="21">
        <f>IF(T$12=0,0,T76/T$12)</f>
        <v>-0.35170181882423157</v>
      </c>
      <c r="W76" s="15"/>
      <c r="X76" s="20">
        <f>+P76-T76</f>
        <v>64399.700000000077</v>
      </c>
      <c r="Y76" s="15"/>
      <c r="Z76" s="21">
        <f>IF(T76=0,0,X76/T76)</f>
        <v>-0.96390517523698116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926.6</v>
      </c>
      <c r="I78" s="4"/>
      <c r="J78" s="13">
        <f>IF(H$12=0,0,H78/H$12)</f>
        <v>0</v>
      </c>
      <c r="K78" s="4"/>
      <c r="L78" s="4">
        <f>+D78-H78</f>
        <v>-926.6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22495.83</v>
      </c>
      <c r="U78" s="4"/>
      <c r="V78" s="13">
        <f>IF(T$12=0,0,T78/T$12)</f>
        <v>0.11842055808215361</v>
      </c>
      <c r="W78" s="4"/>
      <c r="X78" s="4">
        <f>+P78-T78</f>
        <v>-22495.83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8" t="s">
        <v>125</v>
      </c>
      <c r="C80" s="28"/>
      <c r="D80" s="35">
        <f>+D76-D78</f>
        <v>-119.55</v>
      </c>
      <c r="E80" s="14"/>
      <c r="F80" s="36">
        <f>IF(D$12=0,0,D80/D$12)</f>
        <v>0</v>
      </c>
      <c r="G80" s="14"/>
      <c r="H80" s="35">
        <f>+H76-H78</f>
        <v>-1791.92</v>
      </c>
      <c r="I80" s="14"/>
      <c r="J80" s="36">
        <f>IF(H$12=0,0,H80/H$12)</f>
        <v>0</v>
      </c>
      <c r="K80" s="15"/>
      <c r="L80" s="35">
        <f>D80-H80</f>
        <v>1672.3700000000001</v>
      </c>
      <c r="M80" s="15"/>
      <c r="N80" s="36">
        <f>IF(H80=0,0,L80/H80)</f>
        <v>-0.93328385195767671</v>
      </c>
      <c r="O80" s="29"/>
      <c r="P80" s="35">
        <f>+P76-P78</f>
        <v>-2411.54</v>
      </c>
      <c r="Q80" s="14"/>
      <c r="R80" s="36">
        <f>IF(P$12=0,0,P80/P$12)</f>
        <v>0</v>
      </c>
      <c r="S80" s="14"/>
      <c r="T80" s="35">
        <f>+T76-T78</f>
        <v>-89307.07000000008</v>
      </c>
      <c r="U80" s="14"/>
      <c r="V80" s="36">
        <f>IF(T$12=0,0,T80/T$12)</f>
        <v>-0.4701223769063852</v>
      </c>
      <c r="W80" s="15"/>
      <c r="X80" s="35">
        <f>P80-T80</f>
        <v>86895.530000000086</v>
      </c>
      <c r="Y80" s="15"/>
      <c r="Z80" s="36">
        <f>IF(T80=0,0,X80/T80)</f>
        <v>-0.97299721063517153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8" t="s">
        <v>293</v>
      </c>
      <c r="C83" s="28"/>
      <c r="D83" s="30">
        <f>SUM(D80:D82)</f>
        <v>-119.55</v>
      </c>
      <c r="E83" s="14"/>
      <c r="F83" s="31">
        <f>IF(D$12=0,0,D83/D$12)</f>
        <v>0</v>
      </c>
      <c r="G83" s="14"/>
      <c r="H83" s="30">
        <f>SUM(H80:H82)</f>
        <v>-1791.92</v>
      </c>
      <c r="I83" s="14"/>
      <c r="J83" s="31">
        <f>IF(H$12=0,0,H83/H$12)</f>
        <v>0</v>
      </c>
      <c r="K83" s="15"/>
      <c r="L83" s="30">
        <f>+D83-H83</f>
        <v>1672.3700000000001</v>
      </c>
      <c r="M83" s="15"/>
      <c r="N83" s="31">
        <f>IF(H83=0,0,L83/H83)</f>
        <v>-0.93328385195767671</v>
      </c>
      <c r="O83" s="29"/>
      <c r="P83" s="30">
        <f>SUM(P80:P82)</f>
        <v>-2411.54</v>
      </c>
      <c r="Q83" s="14"/>
      <c r="R83" s="31">
        <f>IF(P$12=0,0,P83/P$12)</f>
        <v>0</v>
      </c>
      <c r="S83" s="14"/>
      <c r="T83" s="30">
        <f>SUM(T80:T82)</f>
        <v>-89307.07000000008</v>
      </c>
      <c r="U83" s="14"/>
      <c r="V83" s="31">
        <f>IF(T$12=0,0,T83/T$12)</f>
        <v>-0.4701223769063852</v>
      </c>
      <c r="W83" s="15"/>
      <c r="X83" s="30">
        <f>+P83-T83</f>
        <v>86895.530000000086</v>
      </c>
      <c r="Y83" s="15"/>
      <c r="Z83" s="31">
        <f>IF(T83=0,0,X83/T83)</f>
        <v>-0.97299721063517153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>
        <v>44356.893348032405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2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39528.89</v>
      </c>
      <c r="E18" s="22"/>
      <c r="F18" s="32">
        <f t="shared" ref="F18:F28" si="0">IF(D$12=0,0,D18/D$12)</f>
        <v>0</v>
      </c>
      <c r="G18" s="22"/>
      <c r="H18" s="22">
        <f>SUM(OSRRefH22x_0)</f>
        <v>41333.24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-1804.3499999999985</v>
      </c>
      <c r="M18" s="4"/>
      <c r="N18" s="32">
        <f t="shared" ref="N18:N28" si="3">IF(H18=0,0,L18/H18)</f>
        <v>-4.3653727605191331E-2</v>
      </c>
      <c r="O18" s="11"/>
      <c r="P18" s="22">
        <f>SUM(OSRRefP22x_0)</f>
        <v>330979.61</v>
      </c>
      <c r="Q18" s="22"/>
      <c r="R18" s="32">
        <f t="shared" ref="R18:R28" si="4">IF(P$12=0,0,P18/P$12)</f>
        <v>0</v>
      </c>
      <c r="S18" s="22"/>
      <c r="T18" s="22">
        <f>SUM(OSRRefT22x_0)</f>
        <v>971383.59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-640403.98</v>
      </c>
      <c r="Y18" s="4"/>
      <c r="Z18" s="32">
        <f t="shared" ref="Z18:Z28" si="7">IF(T18=0,0,X18/T18)</f>
        <v>-0.6592699182822308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5705.2699999999995</v>
      </c>
      <c r="E19" s="1"/>
      <c r="F19" s="5">
        <f t="shared" si="0"/>
        <v>0</v>
      </c>
      <c r="G19" s="1"/>
      <c r="H19" s="1">
        <f>SUM(OSRRefH22_0x_0)</f>
        <v>2582.0699999999997</v>
      </c>
      <c r="I19" s="1"/>
      <c r="J19" s="5">
        <f t="shared" si="1"/>
        <v>0</v>
      </c>
      <c r="K19" s="1"/>
      <c r="L19" s="1">
        <f t="shared" si="2"/>
        <v>3123.2</v>
      </c>
      <c r="M19" s="1"/>
      <c r="N19" s="5">
        <f t="shared" si="3"/>
        <v>1.2095721649684168</v>
      </c>
      <c r="O19" s="12"/>
      <c r="P19" s="1">
        <f>SUM(OSRRefP22_0x_0)</f>
        <v>66226.31</v>
      </c>
      <c r="Q19" s="1"/>
      <c r="R19" s="5">
        <f t="shared" si="4"/>
        <v>0</v>
      </c>
      <c r="S19" s="1"/>
      <c r="T19" s="1">
        <f>SUM(OSRRefT22_0x_0)</f>
        <v>71672.310000000012</v>
      </c>
      <c r="U19" s="1"/>
      <c r="V19" s="5">
        <f t="shared" si="5"/>
        <v>0</v>
      </c>
      <c r="W19" s="1"/>
      <c r="X19" s="1">
        <f t="shared" si="6"/>
        <v>-5446.0000000000146</v>
      </c>
      <c r="Y19" s="1"/>
      <c r="Z19" s="5">
        <f t="shared" si="7"/>
        <v>-7.5984714319937696E-2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852.54</v>
      </c>
      <c r="E20" s="2"/>
      <c r="F20" s="7">
        <f t="shared" si="0"/>
        <v>0</v>
      </c>
      <c r="G20" s="2"/>
      <c r="H20" s="6">
        <v>318.24</v>
      </c>
      <c r="I20" s="2"/>
      <c r="J20" s="7">
        <f t="shared" si="1"/>
        <v>0</v>
      </c>
      <c r="K20" s="2"/>
      <c r="L20" s="6">
        <f t="shared" si="2"/>
        <v>534.29999999999995</v>
      </c>
      <c r="M20" s="2"/>
      <c r="N20" s="7">
        <f t="shared" si="3"/>
        <v>1.6789215686274508</v>
      </c>
      <c r="O20" s="10"/>
      <c r="P20" s="6">
        <v>10027.93</v>
      </c>
      <c r="Q20" s="2"/>
      <c r="R20" s="7">
        <f t="shared" si="4"/>
        <v>0</v>
      </c>
      <c r="S20" s="2"/>
      <c r="T20" s="6">
        <v>23645.42</v>
      </c>
      <c r="U20" s="2"/>
      <c r="V20" s="7">
        <f t="shared" si="5"/>
        <v>0</v>
      </c>
      <c r="W20" s="2"/>
      <c r="X20" s="6">
        <f t="shared" si="6"/>
        <v>-13617.489999999998</v>
      </c>
      <c r="Y20" s="2"/>
      <c r="Z20" s="7">
        <f t="shared" si="7"/>
        <v>-0.57590391712221645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55.29</v>
      </c>
      <c r="E21" s="2"/>
      <c r="F21" s="7">
        <f t="shared" si="0"/>
        <v>0</v>
      </c>
      <c r="G21" s="2"/>
      <c r="H21" s="6">
        <v>252.56</v>
      </c>
      <c r="I21" s="2"/>
      <c r="J21" s="7">
        <f t="shared" si="1"/>
        <v>0</v>
      </c>
      <c r="K21" s="2"/>
      <c r="L21" s="6">
        <f t="shared" si="2"/>
        <v>-197.27</v>
      </c>
      <c r="M21" s="2"/>
      <c r="N21" s="7">
        <f t="shared" si="3"/>
        <v>-0.78108172315489388</v>
      </c>
      <c r="O21" s="10"/>
      <c r="P21" s="6">
        <v>569.15</v>
      </c>
      <c r="Q21" s="2"/>
      <c r="R21" s="7">
        <f t="shared" si="4"/>
        <v>0</v>
      </c>
      <c r="S21" s="2"/>
      <c r="T21" s="6">
        <v>8794.73</v>
      </c>
      <c r="U21" s="2"/>
      <c r="V21" s="7">
        <f t="shared" si="5"/>
        <v>0</v>
      </c>
      <c r="W21" s="2"/>
      <c r="X21" s="6">
        <f t="shared" si="6"/>
        <v>-8225.58</v>
      </c>
      <c r="Y21" s="2"/>
      <c r="Z21" s="7">
        <f t="shared" si="7"/>
        <v>-0.93528510824095801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1920.87</v>
      </c>
      <c r="E22" s="2"/>
      <c r="F22" s="7">
        <f t="shared" si="0"/>
        <v>0</v>
      </c>
      <c r="G22" s="2"/>
      <c r="H22" s="6">
        <v>734.13</v>
      </c>
      <c r="I22" s="2"/>
      <c r="J22" s="7">
        <f t="shared" si="1"/>
        <v>0</v>
      </c>
      <c r="K22" s="2"/>
      <c r="L22" s="6">
        <f t="shared" si="2"/>
        <v>1186.7399999999998</v>
      </c>
      <c r="M22" s="2"/>
      <c r="N22" s="7">
        <f t="shared" si="3"/>
        <v>1.6165256834620569</v>
      </c>
      <c r="O22" s="10"/>
      <c r="P22" s="6">
        <v>20174.82</v>
      </c>
      <c r="Q22" s="2"/>
      <c r="R22" s="7">
        <f t="shared" si="4"/>
        <v>0</v>
      </c>
      <c r="S22" s="2"/>
      <c r="T22" s="6">
        <v>33874.629999999997</v>
      </c>
      <c r="U22" s="2"/>
      <c r="V22" s="7">
        <f t="shared" si="5"/>
        <v>0</v>
      </c>
      <c r="W22" s="2"/>
      <c r="X22" s="6">
        <f t="shared" si="6"/>
        <v>-13699.809999999998</v>
      </c>
      <c r="Y22" s="2"/>
      <c r="Z22" s="7">
        <f t="shared" si="7"/>
        <v>-0.40442685278038459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43.56</v>
      </c>
      <c r="E23" s="2"/>
      <c r="F23" s="7">
        <f t="shared" si="0"/>
        <v>0</v>
      </c>
      <c r="G23" s="2"/>
      <c r="H23" s="6">
        <v>24.22</v>
      </c>
      <c r="I23" s="2"/>
      <c r="J23" s="7">
        <f t="shared" si="1"/>
        <v>0</v>
      </c>
      <c r="K23" s="2"/>
      <c r="L23" s="6">
        <f t="shared" si="2"/>
        <v>19.340000000000003</v>
      </c>
      <c r="M23" s="2"/>
      <c r="N23" s="7">
        <f t="shared" si="3"/>
        <v>0.79851362510322066</v>
      </c>
      <c r="O23" s="10"/>
      <c r="P23" s="6">
        <v>383.53</v>
      </c>
      <c r="Q23" s="2"/>
      <c r="R23" s="7">
        <f t="shared" si="4"/>
        <v>0</v>
      </c>
      <c r="S23" s="2"/>
      <c r="T23" s="6">
        <v>823.94</v>
      </c>
      <c r="U23" s="2"/>
      <c r="V23" s="7">
        <f t="shared" si="5"/>
        <v>0</v>
      </c>
      <c r="W23" s="2"/>
      <c r="X23" s="6">
        <f t="shared" si="6"/>
        <v>-440.41000000000008</v>
      </c>
      <c r="Y23" s="2"/>
      <c r="Z23" s="7">
        <f t="shared" si="7"/>
        <v>-0.53451707648615199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1221.05</v>
      </c>
      <c r="E24" s="2"/>
      <c r="F24" s="7">
        <f t="shared" si="0"/>
        <v>0</v>
      </c>
      <c r="G24" s="2"/>
      <c r="H24" s="6">
        <v>604.76</v>
      </c>
      <c r="I24" s="2"/>
      <c r="J24" s="7">
        <f t="shared" si="1"/>
        <v>0</v>
      </c>
      <c r="K24" s="2"/>
      <c r="L24" s="6">
        <f t="shared" si="2"/>
        <v>616.29</v>
      </c>
      <c r="M24" s="2"/>
      <c r="N24" s="7">
        <f t="shared" si="3"/>
        <v>1.0190654143792579</v>
      </c>
      <c r="O24" s="10"/>
      <c r="P24" s="6">
        <v>15702.99</v>
      </c>
      <c r="Q24" s="2"/>
      <c r="R24" s="7">
        <f t="shared" si="4"/>
        <v>0</v>
      </c>
      <c r="S24" s="2"/>
      <c r="T24" s="6">
        <v>16174.72</v>
      </c>
      <c r="U24" s="2"/>
      <c r="V24" s="7">
        <f t="shared" si="5"/>
        <v>0</v>
      </c>
      <c r="W24" s="2"/>
      <c r="X24" s="6">
        <f t="shared" si="6"/>
        <v>-471.72999999999956</v>
      </c>
      <c r="Y24" s="2"/>
      <c r="Z24" s="7">
        <f t="shared" si="7"/>
        <v>-2.9164647054168453E-2</v>
      </c>
    </row>
    <row r="25" spans="1:26" s="23" customFormat="1" hidden="1" outlineLevel="2" x14ac:dyDescent="0.25">
      <c r="A25" s="27"/>
      <c r="B25" s="10" t="str">
        <f>CONCATENATE("          ", "6117", " - ", "RETIREMENT STAFF HOURLY")</f>
        <v xml:space="preserve">          6117 - RETIREMENT STAFF HOURLY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588</v>
      </c>
      <c r="U25" s="2"/>
      <c r="V25" s="7">
        <f t="shared" si="5"/>
        <v>0</v>
      </c>
      <c r="W25" s="2"/>
      <c r="X25" s="6">
        <f t="shared" si="6"/>
        <v>-588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>
        <v>1022.52</v>
      </c>
      <c r="E26" s="2"/>
      <c r="F26" s="7">
        <f t="shared" si="0"/>
        <v>0</v>
      </c>
      <c r="G26" s="2"/>
      <c r="H26" s="6">
        <v>384.28</v>
      </c>
      <c r="I26" s="2"/>
      <c r="J26" s="7">
        <f t="shared" si="1"/>
        <v>0</v>
      </c>
      <c r="K26" s="2"/>
      <c r="L26" s="6">
        <f t="shared" si="2"/>
        <v>638.24</v>
      </c>
      <c r="M26" s="2"/>
      <c r="N26" s="7">
        <f t="shared" si="3"/>
        <v>1.6608722806287084</v>
      </c>
      <c r="O26" s="10"/>
      <c r="P26" s="6">
        <v>12462.38</v>
      </c>
      <c r="Q26" s="2"/>
      <c r="R26" s="7">
        <f t="shared" si="4"/>
        <v>0</v>
      </c>
      <c r="S26" s="2"/>
      <c r="T26" s="6">
        <v>15943.49</v>
      </c>
      <c r="U26" s="2"/>
      <c r="V26" s="7">
        <f t="shared" si="5"/>
        <v>0</v>
      </c>
      <c r="W26" s="2"/>
      <c r="X26" s="6">
        <f t="shared" si="6"/>
        <v>-3481.1100000000006</v>
      </c>
      <c r="Y26" s="2"/>
      <c r="Z26" s="7">
        <f t="shared" si="7"/>
        <v>-0.21834052644684449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>
        <v>510.58</v>
      </c>
      <c r="E27" s="2"/>
      <c r="F27" s="7">
        <f t="shared" si="0"/>
        <v>0</v>
      </c>
      <c r="G27" s="2"/>
      <c r="H27" s="6">
        <v>191.88</v>
      </c>
      <c r="I27" s="2"/>
      <c r="J27" s="7">
        <f t="shared" si="1"/>
        <v>0</v>
      </c>
      <c r="K27" s="2"/>
      <c r="L27" s="6">
        <f t="shared" si="2"/>
        <v>318.7</v>
      </c>
      <c r="M27" s="2"/>
      <c r="N27" s="7">
        <f t="shared" si="3"/>
        <v>1.6609339170314781</v>
      </c>
      <c r="O27" s="10"/>
      <c r="P27" s="6">
        <v>6222.9</v>
      </c>
      <c r="Q27" s="2"/>
      <c r="R27" s="7">
        <f t="shared" si="4"/>
        <v>0</v>
      </c>
      <c r="S27" s="2"/>
      <c r="T27" s="6">
        <v>-31748.79</v>
      </c>
      <c r="U27" s="2"/>
      <c r="V27" s="7">
        <f t="shared" si="5"/>
        <v>0</v>
      </c>
      <c r="W27" s="2"/>
      <c r="X27" s="6">
        <f t="shared" si="6"/>
        <v>37971.69</v>
      </c>
      <c r="Y27" s="2"/>
      <c r="Z27" s="7">
        <f t="shared" si="7"/>
        <v>-1.1960043201646426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>
        <v>78.86</v>
      </c>
      <c r="E28" s="2"/>
      <c r="F28" s="7">
        <f t="shared" si="0"/>
        <v>0</v>
      </c>
      <c r="G28" s="2"/>
      <c r="H28" s="6">
        <v>72</v>
      </c>
      <c r="I28" s="2"/>
      <c r="J28" s="7">
        <f t="shared" si="1"/>
        <v>0</v>
      </c>
      <c r="K28" s="2"/>
      <c r="L28" s="6">
        <f t="shared" si="2"/>
        <v>6.8599999999999994</v>
      </c>
      <c r="M28" s="2"/>
      <c r="N28" s="7">
        <f t="shared" si="3"/>
        <v>9.5277777777777767E-2</v>
      </c>
      <c r="O28" s="10"/>
      <c r="P28" s="6">
        <v>682.61</v>
      </c>
      <c r="Q28" s="2"/>
      <c r="R28" s="7">
        <f t="shared" si="4"/>
        <v>0</v>
      </c>
      <c r="S28" s="2"/>
      <c r="T28" s="6">
        <v>3576.17</v>
      </c>
      <c r="U28" s="2"/>
      <c r="V28" s="7">
        <f t="shared" si="5"/>
        <v>0</v>
      </c>
      <c r="W28" s="2"/>
      <c r="X28" s="6">
        <f t="shared" si="6"/>
        <v>-2893.56</v>
      </c>
      <c r="Y28" s="2"/>
      <c r="Z28" s="7">
        <f t="shared" si="7"/>
        <v>-0.80912260882452458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8301.9599999999991</v>
      </c>
      <c r="E29" s="1"/>
      <c r="F29" s="5">
        <f t="shared" ref="F29:F35" si="8">IF(D$12=0,0,D29/D$12)</f>
        <v>0</v>
      </c>
      <c r="G29" s="1"/>
      <c r="H29" s="1">
        <f>SUM(OSRRefH22_1x_0)</f>
        <v>2652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5649.9599999999991</v>
      </c>
      <c r="M29" s="1"/>
      <c r="N29" s="5">
        <f t="shared" ref="N29:N35" si="11">IF(H29=0,0,L29/H29)</f>
        <v>2.1304524886877827</v>
      </c>
      <c r="O29" s="12"/>
      <c r="P29" s="1">
        <f>SUM(OSRRefP22_1x_0)</f>
        <v>121813.13</v>
      </c>
      <c r="Q29" s="1"/>
      <c r="R29" s="5">
        <f t="shared" ref="R29:R35" si="12">IF(P$12=0,0,P29/P$12)</f>
        <v>0</v>
      </c>
      <c r="S29" s="1"/>
      <c r="T29" s="1">
        <f>SUM(OSRRefT22_1x_0)</f>
        <v>256205.05000000002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-134391.92000000001</v>
      </c>
      <c r="Y29" s="1"/>
      <c r="Z29" s="5">
        <f t="shared" ref="Z29:Z35" si="15">IF(T29=0,0,X29/T29)</f>
        <v>-0.52454828661652064</v>
      </c>
    </row>
    <row r="30" spans="1:26" s="23" customFormat="1" hidden="1" outlineLevel="2" x14ac:dyDescent="0.25">
      <c r="A30" s="27"/>
      <c r="B30" s="10" t="str">
        <f>CONCATENATE("          ", "6001", " - ", "ADMINISTRATIVE SALARIES")</f>
        <v xml:space="preserve">          6001 - ADMINISTRATIVE SALARIES</v>
      </c>
      <c r="C30" s="10"/>
      <c r="D30" s="6">
        <v>8301.9599999999991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8301.9599999999991</v>
      </c>
      <c r="M30" s="2"/>
      <c r="N30" s="7">
        <f t="shared" si="11"/>
        <v>0</v>
      </c>
      <c r="O30" s="10"/>
      <c r="P30" s="6">
        <v>119358.13</v>
      </c>
      <c r="Q30" s="2"/>
      <c r="R30" s="7">
        <f t="shared" si="12"/>
        <v>0</v>
      </c>
      <c r="S30" s="2"/>
      <c r="T30" s="6">
        <v>67427.61</v>
      </c>
      <c r="U30" s="2"/>
      <c r="V30" s="7">
        <f t="shared" si="13"/>
        <v>0</v>
      </c>
      <c r="W30" s="2"/>
      <c r="X30" s="6">
        <f t="shared" si="14"/>
        <v>51930.520000000004</v>
      </c>
      <c r="Y30" s="2"/>
      <c r="Z30" s="7">
        <f t="shared" si="15"/>
        <v>0.77016699835571811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8"/>
        <v>0</v>
      </c>
      <c r="G31" s="2"/>
      <c r="H31" s="6">
        <v>2652</v>
      </c>
      <c r="I31" s="2"/>
      <c r="J31" s="7">
        <f t="shared" si="9"/>
        <v>0</v>
      </c>
      <c r="K31" s="2"/>
      <c r="L31" s="6">
        <f t="shared" si="10"/>
        <v>-2652</v>
      </c>
      <c r="M31" s="2"/>
      <c r="N31" s="7">
        <f t="shared" si="11"/>
        <v>-1</v>
      </c>
      <c r="O31" s="10"/>
      <c r="P31" s="6">
        <v>2080</v>
      </c>
      <c r="Q31" s="2"/>
      <c r="R31" s="7">
        <f t="shared" si="12"/>
        <v>0</v>
      </c>
      <c r="S31" s="2"/>
      <c r="T31" s="6">
        <v>52504.86</v>
      </c>
      <c r="U31" s="2"/>
      <c r="V31" s="7">
        <f t="shared" si="13"/>
        <v>0</v>
      </c>
      <c r="W31" s="2"/>
      <c r="X31" s="6">
        <f t="shared" si="14"/>
        <v>-50424.86</v>
      </c>
      <c r="Y31" s="2"/>
      <c r="Z31" s="7">
        <f t="shared" si="15"/>
        <v>-0.96038461963330635</v>
      </c>
    </row>
    <row r="32" spans="1:26" s="23" customFormat="1" hidden="1" outlineLevel="2" x14ac:dyDescent="0.25">
      <c r="A32" s="27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>
        <v>70</v>
      </c>
      <c r="Q32" s="2"/>
      <c r="R32" s="7">
        <f t="shared" si="12"/>
        <v>0</v>
      </c>
      <c r="S32" s="2"/>
      <c r="T32" s="6">
        <v>23599.23</v>
      </c>
      <c r="U32" s="2"/>
      <c r="V32" s="7">
        <f t="shared" si="13"/>
        <v>0</v>
      </c>
      <c r="W32" s="2"/>
      <c r="X32" s="6">
        <f t="shared" si="14"/>
        <v>-23529.23</v>
      </c>
      <c r="Y32" s="2"/>
      <c r="Z32" s="7">
        <f t="shared" si="15"/>
        <v>-0.99703380152657528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>
        <v>305</v>
      </c>
      <c r="Q33" s="2"/>
      <c r="R33" s="7">
        <f t="shared" si="12"/>
        <v>0</v>
      </c>
      <c r="S33" s="2"/>
      <c r="T33" s="6">
        <v>94654.75</v>
      </c>
      <c r="U33" s="2"/>
      <c r="V33" s="7">
        <f t="shared" si="13"/>
        <v>0</v>
      </c>
      <c r="W33" s="2"/>
      <c r="X33" s="6">
        <f t="shared" si="14"/>
        <v>-94349.75</v>
      </c>
      <c r="Y33" s="2"/>
      <c r="Z33" s="7">
        <f t="shared" si="15"/>
        <v>-0.99677776339803337</v>
      </c>
    </row>
    <row r="34" spans="1:26" s="23" customFormat="1" hidden="1" outlineLevel="2" x14ac:dyDescent="0.25">
      <c r="A34" s="27"/>
      <c r="B34" s="10" t="str">
        <f>CONCATENATE("          ", "6006", " - ", "TEMPORARY PART TIME")</f>
        <v xml:space="preserve">          6006 - TEMPORARY PART TIME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16781.72</v>
      </c>
      <c r="U35" s="2"/>
      <c r="V35" s="7">
        <f t="shared" si="13"/>
        <v>0</v>
      </c>
      <c r="W35" s="2"/>
      <c r="X35" s="6">
        <f t="shared" si="14"/>
        <v>-16781.72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0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0</v>
      </c>
      <c r="M36" s="1"/>
      <c r="N36" s="5">
        <f t="shared" ref="N36:N43" si="19">IF(H36=0,0,L36/H36)</f>
        <v>0</v>
      </c>
      <c r="O36" s="12"/>
      <c r="P36" s="1">
        <f>SUM(OSRRefP22_2x_0)</f>
        <v>63.55</v>
      </c>
      <c r="Q36" s="1"/>
      <c r="R36" s="5">
        <f t="shared" ref="R36:R43" si="20">IF(P$12=0,0,P36/P$12)</f>
        <v>0</v>
      </c>
      <c r="S36" s="1"/>
      <c r="T36" s="1">
        <f>SUM(OSRRefT22_2x_0)</f>
        <v>3780.74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-3717.1899999999996</v>
      </c>
      <c r="Y36" s="1"/>
      <c r="Z36" s="5">
        <f t="shared" ref="Z36:Z43" si="23">IF(T36=0,0,X36/T36)</f>
        <v>-0.98319112131487485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63.55</v>
      </c>
      <c r="Q37" s="2"/>
      <c r="R37" s="7">
        <f t="shared" si="20"/>
        <v>0</v>
      </c>
      <c r="S37" s="2"/>
      <c r="T37" s="6">
        <v>3780.74</v>
      </c>
      <c r="U37" s="2"/>
      <c r="V37" s="7">
        <f t="shared" si="21"/>
        <v>0</v>
      </c>
      <c r="W37" s="2"/>
      <c r="X37" s="6">
        <f t="shared" si="22"/>
        <v>-3717.1899999999996</v>
      </c>
      <c r="Y37" s="2"/>
      <c r="Z37" s="7">
        <f t="shared" si="23"/>
        <v>-0.98319112131487485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245.91</v>
      </c>
      <c r="E38" s="1"/>
      <c r="F38" s="5">
        <f t="shared" si="16"/>
        <v>0</v>
      </c>
      <c r="G38" s="1"/>
      <c r="H38" s="1">
        <f>SUM(OSRRefH22_3x_0)</f>
        <v>252.5</v>
      </c>
      <c r="I38" s="1"/>
      <c r="J38" s="5">
        <f t="shared" si="17"/>
        <v>0</v>
      </c>
      <c r="K38" s="1"/>
      <c r="L38" s="1">
        <f t="shared" si="18"/>
        <v>-6.5900000000000034</v>
      </c>
      <c r="M38" s="1"/>
      <c r="N38" s="5">
        <f t="shared" si="19"/>
        <v>-2.6099009900990112E-2</v>
      </c>
      <c r="O38" s="12"/>
      <c r="P38" s="1">
        <f>SUM(OSRRefP22_3x_0)</f>
        <v>4619.22</v>
      </c>
      <c r="Q38" s="1"/>
      <c r="R38" s="5">
        <f t="shared" si="20"/>
        <v>0</v>
      </c>
      <c r="S38" s="1"/>
      <c r="T38" s="1">
        <f>SUM(OSRRefT22_3x_0)</f>
        <v>257.5</v>
      </c>
      <c r="U38" s="1"/>
      <c r="V38" s="5">
        <f t="shared" si="21"/>
        <v>0</v>
      </c>
      <c r="W38" s="1"/>
      <c r="X38" s="1">
        <f t="shared" si="22"/>
        <v>4361.72</v>
      </c>
      <c r="Y38" s="1"/>
      <c r="Z38" s="5">
        <f t="shared" si="23"/>
        <v>16.938718446601943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245.91</v>
      </c>
      <c r="E39" s="2"/>
      <c r="F39" s="7">
        <f t="shared" si="16"/>
        <v>0</v>
      </c>
      <c r="G39" s="2"/>
      <c r="H39" s="6">
        <v>252.5</v>
      </c>
      <c r="I39" s="2"/>
      <c r="J39" s="7">
        <f t="shared" si="17"/>
        <v>0</v>
      </c>
      <c r="K39" s="2"/>
      <c r="L39" s="6">
        <f t="shared" si="18"/>
        <v>-6.5900000000000034</v>
      </c>
      <c r="M39" s="2"/>
      <c r="N39" s="7">
        <f t="shared" si="19"/>
        <v>-2.6099009900990112E-2</v>
      </c>
      <c r="O39" s="10"/>
      <c r="P39" s="6">
        <v>4619.22</v>
      </c>
      <c r="Q39" s="2"/>
      <c r="R39" s="7">
        <f t="shared" si="20"/>
        <v>0</v>
      </c>
      <c r="S39" s="2"/>
      <c r="T39" s="6">
        <v>257.5</v>
      </c>
      <c r="U39" s="2"/>
      <c r="V39" s="7">
        <f t="shared" si="21"/>
        <v>0</v>
      </c>
      <c r="W39" s="2"/>
      <c r="X39" s="6">
        <f t="shared" si="22"/>
        <v>4361.72</v>
      </c>
      <c r="Y39" s="2"/>
      <c r="Z39" s="7">
        <f t="shared" si="23"/>
        <v>16.938718446601943</v>
      </c>
    </row>
    <row r="40" spans="1:26" s="26" customFormat="1" outlineLevel="1" collapsed="1" x14ac:dyDescent="0.25">
      <c r="A40" s="25"/>
      <c r="B40" s="12" t="str">
        <f>CONCATENATE("     ","Depreciation                                      ")</f>
        <v xml:space="preserve">     Depreciation                                      </v>
      </c>
      <c r="C40" s="12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7188.55</v>
      </c>
      <c r="I40" s="1"/>
      <c r="J40" s="5">
        <f t="shared" si="17"/>
        <v>0</v>
      </c>
      <c r="K40" s="1"/>
      <c r="L40" s="1">
        <f t="shared" si="18"/>
        <v>-408.6899999999996</v>
      </c>
      <c r="M40" s="1"/>
      <c r="N40" s="5">
        <f t="shared" si="19"/>
        <v>-5.6852911922432144E-2</v>
      </c>
      <c r="O40" s="12"/>
      <c r="P40" s="1">
        <f>SUM(OSRRefP22_4x_0)</f>
        <v>75362.649999999994</v>
      </c>
      <c r="Q40" s="1"/>
      <c r="R40" s="5">
        <f t="shared" si="20"/>
        <v>0</v>
      </c>
      <c r="S40" s="1"/>
      <c r="T40" s="1">
        <f>SUM(OSRRefT22_4x_0)</f>
        <v>78386.26999999999</v>
      </c>
      <c r="U40" s="1"/>
      <c r="V40" s="5">
        <f t="shared" si="21"/>
        <v>0</v>
      </c>
      <c r="W40" s="1"/>
      <c r="X40" s="1">
        <f t="shared" si="22"/>
        <v>-3023.6199999999953</v>
      </c>
      <c r="Y40" s="1"/>
      <c r="Z40" s="5">
        <f t="shared" si="23"/>
        <v>-3.8573336886676655E-2</v>
      </c>
    </row>
    <row r="41" spans="1:26" s="23" customFormat="1" hidden="1" outlineLevel="2" x14ac:dyDescent="0.25">
      <c r="A41" s="27"/>
      <c r="B41" s="10" t="str">
        <f>CONCATENATE("          ", "6321", " - ", "BUILDING DEPRECIATION")</f>
        <v xml:space="preserve">          6321 - BUILDING DEPRECIATION</v>
      </c>
      <c r="C41" s="10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0"/>
      <c r="P41" s="6">
        <v>20833.669999999998</v>
      </c>
      <c r="Q41" s="2"/>
      <c r="R41" s="7">
        <f t="shared" si="20"/>
        <v>0</v>
      </c>
      <c r="S41" s="2"/>
      <c r="T41" s="6">
        <v>24936.45</v>
      </c>
      <c r="U41" s="2"/>
      <c r="V41" s="7">
        <f t="shared" si="21"/>
        <v>0</v>
      </c>
      <c r="W41" s="2"/>
      <c r="X41" s="6">
        <f t="shared" si="22"/>
        <v>-4102.7800000000025</v>
      </c>
      <c r="Y41" s="2"/>
      <c r="Z41" s="7">
        <f t="shared" si="23"/>
        <v>-0.16452943382077251</v>
      </c>
    </row>
    <row r="42" spans="1:26" s="23" customFormat="1" hidden="1" outlineLevel="2" x14ac:dyDescent="0.25">
      <c r="A42" s="27"/>
      <c r="B42" s="10" t="str">
        <f>CONCATENATE("          ", "6322", " - ", "EQUIPMENT DEPRECIATION EXPENSE")</f>
        <v xml:space="preserve">          6322 - EQUIPMENT DEPRECIATION EXPENSE</v>
      </c>
      <c r="C42" s="10"/>
      <c r="D42" s="6">
        <v>4957.18</v>
      </c>
      <c r="E42" s="2"/>
      <c r="F42" s="7">
        <f t="shared" si="16"/>
        <v>0</v>
      </c>
      <c r="G42" s="2"/>
      <c r="H42" s="6">
        <v>4921.6000000000004</v>
      </c>
      <c r="I42" s="2"/>
      <c r="J42" s="7">
        <f t="shared" si="17"/>
        <v>0</v>
      </c>
      <c r="K42" s="2"/>
      <c r="L42" s="6">
        <f t="shared" si="18"/>
        <v>35.579999999999927</v>
      </c>
      <c r="M42" s="2"/>
      <c r="N42" s="7">
        <f t="shared" si="19"/>
        <v>7.2293563068920527E-3</v>
      </c>
      <c r="O42" s="10"/>
      <c r="P42" s="6">
        <v>54528.98</v>
      </c>
      <c r="Q42" s="2"/>
      <c r="R42" s="7">
        <f t="shared" si="20"/>
        <v>0</v>
      </c>
      <c r="S42" s="2"/>
      <c r="T42" s="6">
        <v>49207.34</v>
      </c>
      <c r="U42" s="2"/>
      <c r="V42" s="7">
        <f t="shared" si="21"/>
        <v>0</v>
      </c>
      <c r="W42" s="2"/>
      <c r="X42" s="6">
        <f t="shared" si="22"/>
        <v>5321.6400000000067</v>
      </c>
      <c r="Y42" s="2"/>
      <c r="Z42" s="7">
        <f t="shared" si="23"/>
        <v>0.10814728046669475</v>
      </c>
    </row>
    <row r="43" spans="1:26" s="23" customFormat="1" hidden="1" outlineLevel="2" x14ac:dyDescent="0.25">
      <c r="A43" s="27"/>
      <c r="B43" s="10" t="str">
        <f>CONCATENATE("          ", "6326", " - ", "VEHICLES DEPRECIATION EXPENSE")</f>
        <v xml:space="preserve">          6326 - VEHICLES DEPRECIATION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4242.4799999999996</v>
      </c>
      <c r="U43" s="2"/>
      <c r="V43" s="7">
        <f t="shared" si="21"/>
        <v>0</v>
      </c>
      <c r="W43" s="2"/>
      <c r="X43" s="6">
        <f t="shared" si="22"/>
        <v>-4242.4799999999996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2"/>
      <c r="P44" s="1">
        <f>SUM(OSRRefP22_5x_0)</f>
        <v>0</v>
      </c>
      <c r="Q44" s="1"/>
      <c r="R44" s="5">
        <f t="shared" ref="R44:R62" si="28">IF(P$12=0,0,P44/P$12)</f>
        <v>0</v>
      </c>
      <c r="S44" s="1"/>
      <c r="T44" s="1">
        <f>SUM(OSRRefT22_5x_0)</f>
        <v>163.68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-163.68</v>
      </c>
      <c r="Y44" s="1"/>
      <c r="Z44" s="5">
        <f t="shared" ref="Z44:Z62" si="31">IF(T44=0,0,X44/T44)</f>
        <v>-1</v>
      </c>
    </row>
    <row r="45" spans="1:26" s="23" customFormat="1" hidden="1" outlineLevel="2" x14ac:dyDescent="0.25">
      <c r="A45" s="27"/>
      <c r="B45" s="10" t="str">
        <f>CONCATENATE("          ", "6399", " - ", "DONATION-ON CAMPUS")</f>
        <v xml:space="preserve">          6399 - DONATION-ON CAMPUS</v>
      </c>
      <c r="C45" s="10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502.38</v>
      </c>
      <c r="U46" s="1"/>
      <c r="V46" s="5">
        <f t="shared" si="29"/>
        <v>0</v>
      </c>
      <c r="W46" s="1"/>
      <c r="X46" s="1">
        <f t="shared" si="30"/>
        <v>-502.38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502.38</v>
      </c>
      <c r="U47" s="2"/>
      <c r="V47" s="7">
        <f t="shared" si="29"/>
        <v>0</v>
      </c>
      <c r="W47" s="2"/>
      <c r="X47" s="6">
        <f t="shared" si="30"/>
        <v>-502.38</v>
      </c>
      <c r="Y47" s="2"/>
      <c r="Z47" s="7">
        <f t="shared" si="31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595.64</v>
      </c>
      <c r="E48" s="1"/>
      <c r="F48" s="5">
        <f t="shared" si="24"/>
        <v>0</v>
      </c>
      <c r="G48" s="1"/>
      <c r="H48" s="1">
        <f>SUM(OSRRefH22_7x_0)</f>
        <v>587.95000000000005</v>
      </c>
      <c r="I48" s="1"/>
      <c r="J48" s="5">
        <f t="shared" si="25"/>
        <v>0</v>
      </c>
      <c r="K48" s="1"/>
      <c r="L48" s="1">
        <f t="shared" si="26"/>
        <v>7.6899999999999409</v>
      </c>
      <c r="M48" s="1"/>
      <c r="N48" s="5">
        <f t="shared" si="27"/>
        <v>1.3079343481588469E-2</v>
      </c>
      <c r="O48" s="12"/>
      <c r="P48" s="1">
        <f>SUM(OSRRefP22_7x_0)</f>
        <v>3706.39</v>
      </c>
      <c r="Q48" s="1"/>
      <c r="R48" s="5">
        <f t="shared" si="28"/>
        <v>0</v>
      </c>
      <c r="S48" s="1"/>
      <c r="T48" s="1">
        <f>SUM(OSRRefT22_7x_0)</f>
        <v>11097.35</v>
      </c>
      <c r="U48" s="1"/>
      <c r="V48" s="5">
        <f t="shared" si="29"/>
        <v>0</v>
      </c>
      <c r="W48" s="1"/>
      <c r="X48" s="1">
        <f t="shared" si="30"/>
        <v>-7390.9600000000009</v>
      </c>
      <c r="Y48" s="1"/>
      <c r="Z48" s="5">
        <f t="shared" si="31"/>
        <v>-0.66601125493924229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>
        <v>595.64</v>
      </c>
      <c r="E49" s="2"/>
      <c r="F49" s="7">
        <f t="shared" si="24"/>
        <v>0</v>
      </c>
      <c r="G49" s="2"/>
      <c r="H49" s="6">
        <v>587.95000000000005</v>
      </c>
      <c r="I49" s="2"/>
      <c r="J49" s="7">
        <f t="shared" si="25"/>
        <v>0</v>
      </c>
      <c r="K49" s="2"/>
      <c r="L49" s="6">
        <f t="shared" si="26"/>
        <v>7.6899999999999409</v>
      </c>
      <c r="M49" s="2"/>
      <c r="N49" s="7">
        <f t="shared" si="27"/>
        <v>1.3079343481588469E-2</v>
      </c>
      <c r="O49" s="10"/>
      <c r="P49" s="6">
        <v>3706.39</v>
      </c>
      <c r="Q49" s="2"/>
      <c r="R49" s="7">
        <f t="shared" si="28"/>
        <v>0</v>
      </c>
      <c r="S49" s="2"/>
      <c r="T49" s="6">
        <v>11097.35</v>
      </c>
      <c r="U49" s="2"/>
      <c r="V49" s="7">
        <f t="shared" si="29"/>
        <v>0</v>
      </c>
      <c r="W49" s="2"/>
      <c r="X49" s="6">
        <f t="shared" si="30"/>
        <v>-7390.9600000000009</v>
      </c>
      <c r="Y49" s="2"/>
      <c r="Z49" s="7">
        <f t="shared" si="31"/>
        <v>-0.66601125493924229</v>
      </c>
    </row>
    <row r="50" spans="1:26" s="26" customFormat="1" outlineLevel="1" collapsed="1" x14ac:dyDescent="0.25">
      <c r="A50" s="25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0.57999999999999996</v>
      </c>
      <c r="I50" s="1"/>
      <c r="J50" s="5">
        <f t="shared" si="25"/>
        <v>0</v>
      </c>
      <c r="K50" s="1"/>
      <c r="L50" s="1">
        <f t="shared" si="26"/>
        <v>-0.57999999999999996</v>
      </c>
      <c r="M50" s="1"/>
      <c r="N50" s="5">
        <f t="shared" si="27"/>
        <v>-1</v>
      </c>
      <c r="O50" s="12"/>
      <c r="P50" s="1">
        <f>SUM(OSRRefP22_8x_0)</f>
        <v>-2.4500000000000002</v>
      </c>
      <c r="Q50" s="1"/>
      <c r="R50" s="5">
        <f t="shared" si="28"/>
        <v>0</v>
      </c>
      <c r="S50" s="1"/>
      <c r="T50" s="1">
        <f>SUM(OSRRefT22_8x_0)</f>
        <v>0.57999999999999996</v>
      </c>
      <c r="U50" s="1"/>
      <c r="V50" s="5">
        <f t="shared" si="29"/>
        <v>0</v>
      </c>
      <c r="W50" s="1"/>
      <c r="X50" s="1">
        <f t="shared" si="30"/>
        <v>-3.0300000000000002</v>
      </c>
      <c r="Y50" s="1"/>
      <c r="Z50" s="5">
        <f t="shared" si="31"/>
        <v>-5.224137931034484</v>
      </c>
    </row>
    <row r="51" spans="1:26" s="23" customFormat="1" hidden="1" outlineLevel="2" x14ac:dyDescent="0.25">
      <c r="A51" s="27"/>
      <c r="B51" s="10" t="str">
        <f>CONCATENATE("          ", "6307", " - ", "POSTAGE")</f>
        <v xml:space="preserve">          6307 - POSTAGE</v>
      </c>
      <c r="C51" s="10"/>
      <c r="D51" s="6"/>
      <c r="E51" s="2"/>
      <c r="F51" s="7">
        <f t="shared" si="24"/>
        <v>0</v>
      </c>
      <c r="G51" s="2"/>
      <c r="H51" s="6">
        <v>0.57999999999999996</v>
      </c>
      <c r="I51" s="2"/>
      <c r="J51" s="7">
        <f t="shared" si="25"/>
        <v>0</v>
      </c>
      <c r="K51" s="2"/>
      <c r="L51" s="6">
        <f t="shared" si="26"/>
        <v>-0.57999999999999996</v>
      </c>
      <c r="M51" s="2"/>
      <c r="N51" s="7">
        <f t="shared" si="27"/>
        <v>-1</v>
      </c>
      <c r="O51" s="10"/>
      <c r="P51" s="6">
        <v>-2.4500000000000002</v>
      </c>
      <c r="Q51" s="2"/>
      <c r="R51" s="7">
        <f t="shared" si="28"/>
        <v>0</v>
      </c>
      <c r="S51" s="2"/>
      <c r="T51" s="6">
        <v>0.57999999999999996</v>
      </c>
      <c r="U51" s="2"/>
      <c r="V51" s="7">
        <f t="shared" si="29"/>
        <v>0</v>
      </c>
      <c r="W51" s="2"/>
      <c r="X51" s="6">
        <f t="shared" si="30"/>
        <v>-3.0300000000000002</v>
      </c>
      <c r="Y51" s="2"/>
      <c r="Z51" s="7">
        <f t="shared" si="31"/>
        <v>-5.224137931034484</v>
      </c>
    </row>
    <row r="52" spans="1:26" s="26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2"/>
      <c r="P52" s="1">
        <f>SUM(OSRRefP22_9x_0)</f>
        <v>721.41</v>
      </c>
      <c r="Q52" s="1"/>
      <c r="R52" s="5">
        <f t="shared" si="28"/>
        <v>0</v>
      </c>
      <c r="S52" s="1"/>
      <c r="T52" s="1">
        <f>SUM(OSRRefT22_9x_0)</f>
        <v>23322.71</v>
      </c>
      <c r="U52" s="1"/>
      <c r="V52" s="5">
        <f t="shared" si="29"/>
        <v>0</v>
      </c>
      <c r="W52" s="1"/>
      <c r="X52" s="1">
        <f t="shared" si="30"/>
        <v>-22601.3</v>
      </c>
      <c r="Y52" s="1"/>
      <c r="Z52" s="5">
        <f t="shared" si="31"/>
        <v>-0.9690683458311663</v>
      </c>
    </row>
    <row r="53" spans="1:26" s="23" customFormat="1" hidden="1" outlineLevel="2" x14ac:dyDescent="0.25">
      <c r="A53" s="27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>
        <v>721.41</v>
      </c>
      <c r="Q53" s="2"/>
      <c r="R53" s="7">
        <f t="shared" si="28"/>
        <v>0</v>
      </c>
      <c r="S53" s="2"/>
      <c r="T53" s="6">
        <v>23322.71</v>
      </c>
      <c r="U53" s="2"/>
      <c r="V53" s="7">
        <f t="shared" si="29"/>
        <v>0</v>
      </c>
      <c r="W53" s="2"/>
      <c r="X53" s="6">
        <f t="shared" si="30"/>
        <v>-22601.3</v>
      </c>
      <c r="Y53" s="2"/>
      <c r="Z53" s="7">
        <f t="shared" si="31"/>
        <v>-0.9690683458311663</v>
      </c>
    </row>
    <row r="54" spans="1:26" s="26" customFormat="1" outlineLevel="1" collapsed="1" x14ac:dyDescent="0.25">
      <c r="A54" s="25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2"/>
      <c r="P54" s="1">
        <f>SUM(OSRRefP22_10x_0)</f>
        <v>45699.35</v>
      </c>
      <c r="Q54" s="1"/>
      <c r="R54" s="5">
        <f t="shared" si="28"/>
        <v>0</v>
      </c>
      <c r="S54" s="1"/>
      <c r="T54" s="1">
        <f>SUM(OSRRefT22_10x_0)</f>
        <v>45348.35</v>
      </c>
      <c r="U54" s="1"/>
      <c r="V54" s="5">
        <f t="shared" si="29"/>
        <v>0</v>
      </c>
      <c r="W54" s="1"/>
      <c r="X54" s="1">
        <f t="shared" si="30"/>
        <v>351</v>
      </c>
      <c r="Y54" s="1"/>
      <c r="Z54" s="5">
        <f t="shared" si="31"/>
        <v>7.7400831562780123E-3</v>
      </c>
    </row>
    <row r="55" spans="1:26" s="23" customFormat="1" hidden="1" outlineLevel="2" x14ac:dyDescent="0.25">
      <c r="A55" s="27"/>
      <c r="B55" s="10" t="str">
        <f>CONCATENATE("          ", "6314", " - ", "LIABILITY INSURANCE")</f>
        <v xml:space="preserve">          6314 - LIABILITY INSURANCE</v>
      </c>
      <c r="C55" s="10"/>
      <c r="D55" s="6">
        <v>3598.85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0"/>
      <c r="P55" s="6">
        <v>45699.35</v>
      </c>
      <c r="Q55" s="2"/>
      <c r="R55" s="7">
        <f t="shared" si="28"/>
        <v>0</v>
      </c>
      <c r="S55" s="2"/>
      <c r="T55" s="6">
        <v>45348.35</v>
      </c>
      <c r="U55" s="2"/>
      <c r="V55" s="7">
        <f t="shared" si="29"/>
        <v>0</v>
      </c>
      <c r="W55" s="2"/>
      <c r="X55" s="6">
        <f t="shared" si="30"/>
        <v>351</v>
      </c>
      <c r="Y55" s="2"/>
      <c r="Z55" s="7">
        <f t="shared" si="31"/>
        <v>7.7400831562780123E-3</v>
      </c>
    </row>
    <row r="56" spans="1:26" s="26" customFormat="1" outlineLevel="1" collapsed="1" x14ac:dyDescent="0.25">
      <c r="A56" s="25"/>
      <c r="B56" s="12" t="str">
        <f>CONCATENATE("     ","Professional Services                             ")</f>
        <v xml:space="preserve">     Professional Services                             </v>
      </c>
      <c r="C56" s="12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3" customFormat="1" hidden="1" outlineLevel="2" x14ac:dyDescent="0.25">
      <c r="A57" s="27"/>
      <c r="B57" s="10" t="str">
        <f>CONCATENATE("          ", "6336", " - ", "PROFESSIONAL SERVICES")</f>
        <v xml:space="preserve">          6336 - PROFESSIONAL SERVICES</v>
      </c>
      <c r="C57" s="10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0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6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SUM(OSRRefD22_12x_0)</f>
        <v>8257.2000000000007</v>
      </c>
      <c r="E58" s="1"/>
      <c r="F58" s="5">
        <f t="shared" si="24"/>
        <v>0</v>
      </c>
      <c r="G58" s="1"/>
      <c r="H58" s="1">
        <f>SUM(OSRRefH22_12x_0)</f>
        <v>5713.66</v>
      </c>
      <c r="I58" s="1"/>
      <c r="J58" s="5">
        <f t="shared" si="25"/>
        <v>0</v>
      </c>
      <c r="K58" s="1"/>
      <c r="L58" s="1">
        <f t="shared" si="26"/>
        <v>2543.5400000000009</v>
      </c>
      <c r="M58" s="1"/>
      <c r="N58" s="5">
        <f t="shared" si="27"/>
        <v>0.44516824592292875</v>
      </c>
      <c r="O58" s="12"/>
      <c r="P58" s="1">
        <f>SUM(OSRRefP22_12x_0)</f>
        <v>16571.04</v>
      </c>
      <c r="Q58" s="1"/>
      <c r="R58" s="5">
        <f t="shared" si="28"/>
        <v>0</v>
      </c>
      <c r="S58" s="1"/>
      <c r="T58" s="1">
        <f>SUM(OSRRefT22_12x_0)</f>
        <v>118641.34</v>
      </c>
      <c r="U58" s="1"/>
      <c r="V58" s="5">
        <f t="shared" si="29"/>
        <v>0</v>
      </c>
      <c r="W58" s="1"/>
      <c r="X58" s="1">
        <f t="shared" si="30"/>
        <v>-102070.29999999999</v>
      </c>
      <c r="Y58" s="1"/>
      <c r="Z58" s="5">
        <f t="shared" si="31"/>
        <v>-0.86032659442315795</v>
      </c>
    </row>
    <row r="59" spans="1:26" s="23" customFormat="1" hidden="1" outlineLevel="2" x14ac:dyDescent="0.25">
      <c r="A59" s="27"/>
      <c r="B59" s="10" t="str">
        <f>CONCATENATE("          ", "6371", " - ", "COMPUTER SOFTWARE MAINTENANCE")</f>
        <v xml:space="preserve">          6371 - COMPUTER SOFTWARE MAINTENANCE</v>
      </c>
      <c r="C59" s="10"/>
      <c r="D59" s="6">
        <v>8257.2000000000007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8257.2000000000007</v>
      </c>
      <c r="M59" s="2"/>
      <c r="N59" s="7">
        <f t="shared" si="27"/>
        <v>0</v>
      </c>
      <c r="O59" s="10"/>
      <c r="P59" s="6">
        <v>8959.4699999999993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8959.4699999999993</v>
      </c>
      <c r="Y59" s="2"/>
      <c r="Z59" s="7">
        <f t="shared" si="31"/>
        <v>0</v>
      </c>
    </row>
    <row r="60" spans="1:26" s="23" customFormat="1" hidden="1" outlineLevel="2" x14ac:dyDescent="0.25">
      <c r="A60" s="27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0"/>
      <c r="P60" s="6">
        <v>100</v>
      </c>
      <c r="Q60" s="2"/>
      <c r="R60" s="7">
        <f t="shared" si="28"/>
        <v>0</v>
      </c>
      <c r="S60" s="2"/>
      <c r="T60" s="6">
        <v>8142.88</v>
      </c>
      <c r="U60" s="2"/>
      <c r="V60" s="7">
        <f t="shared" si="29"/>
        <v>0</v>
      </c>
      <c r="W60" s="2"/>
      <c r="X60" s="6">
        <f t="shared" si="30"/>
        <v>-8042.88</v>
      </c>
      <c r="Y60" s="2"/>
      <c r="Z60" s="7">
        <f t="shared" si="31"/>
        <v>-0.98771933271766255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24"/>
        <v>0</v>
      </c>
      <c r="G61" s="2"/>
      <c r="H61" s="6">
        <v>5002.32</v>
      </c>
      <c r="I61" s="2"/>
      <c r="J61" s="7">
        <f t="shared" si="25"/>
        <v>0</v>
      </c>
      <c r="K61" s="2"/>
      <c r="L61" s="6">
        <f t="shared" si="26"/>
        <v>-5002.32</v>
      </c>
      <c r="M61" s="2"/>
      <c r="N61" s="7">
        <f t="shared" si="27"/>
        <v>-1</v>
      </c>
      <c r="O61" s="10"/>
      <c r="P61" s="6">
        <v>2215.61</v>
      </c>
      <c r="Q61" s="2"/>
      <c r="R61" s="7">
        <f t="shared" si="28"/>
        <v>0</v>
      </c>
      <c r="S61" s="2"/>
      <c r="T61" s="6">
        <v>63636.24</v>
      </c>
      <c r="U61" s="2"/>
      <c r="V61" s="7">
        <f t="shared" si="29"/>
        <v>0</v>
      </c>
      <c r="W61" s="2"/>
      <c r="X61" s="6">
        <f t="shared" si="30"/>
        <v>-61420.63</v>
      </c>
      <c r="Y61" s="2"/>
      <c r="Z61" s="7">
        <f t="shared" si="31"/>
        <v>-0.96518320378451017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24"/>
        <v>0</v>
      </c>
      <c r="G62" s="2"/>
      <c r="H62" s="6">
        <v>711.34</v>
      </c>
      <c r="I62" s="2"/>
      <c r="J62" s="7">
        <f t="shared" si="25"/>
        <v>0</v>
      </c>
      <c r="K62" s="2"/>
      <c r="L62" s="6">
        <f t="shared" si="26"/>
        <v>-711.34</v>
      </c>
      <c r="M62" s="2"/>
      <c r="N62" s="7">
        <f t="shared" si="27"/>
        <v>-1</v>
      </c>
      <c r="O62" s="10"/>
      <c r="P62" s="6">
        <v>5295.96</v>
      </c>
      <c r="Q62" s="2"/>
      <c r="R62" s="7">
        <f t="shared" si="28"/>
        <v>0</v>
      </c>
      <c r="S62" s="2"/>
      <c r="T62" s="6">
        <v>46862.22</v>
      </c>
      <c r="U62" s="2"/>
      <c r="V62" s="7">
        <f t="shared" si="29"/>
        <v>0</v>
      </c>
      <c r="W62" s="2"/>
      <c r="X62" s="6">
        <f t="shared" si="30"/>
        <v>-41566.26</v>
      </c>
      <c r="Y62" s="2"/>
      <c r="Z62" s="7">
        <f t="shared" si="31"/>
        <v>-0.88698870860151313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SUM(OSRRefD22_13x_0)</f>
        <v>4904.1000000000004</v>
      </c>
      <c r="E63" s="1"/>
      <c r="F63" s="5">
        <f t="shared" ref="F63:F68" si="32">IF(D$12=0,0,D63/D$12)</f>
        <v>0</v>
      </c>
      <c r="G63" s="1"/>
      <c r="H63" s="1">
        <f>SUM(OSRRefH22_13x_0)</f>
        <v>4254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650.10000000000036</v>
      </c>
      <c r="M63" s="1"/>
      <c r="N63" s="5">
        <f t="shared" ref="N63:N68" si="35">IF(H63=0,0,L63/H63)</f>
        <v>0.15282087447108611</v>
      </c>
      <c r="O63" s="12"/>
      <c r="P63" s="1">
        <f>SUM(OSRRefP22_13x_0)</f>
        <v>31956.28</v>
      </c>
      <c r="Q63" s="1"/>
      <c r="R63" s="5">
        <f t="shared" ref="R63:R68" si="36">IF(P$12=0,0,P63/P$12)</f>
        <v>0</v>
      </c>
      <c r="S63" s="1"/>
      <c r="T63" s="1">
        <f>SUM(OSRRefT22_13x_0)</f>
        <v>139480.26999999999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-107523.98999999999</v>
      </c>
      <c r="Y63" s="1"/>
      <c r="Z63" s="5">
        <f t="shared" ref="Z63:Z68" si="39">IF(T63=0,0,X63/T63)</f>
        <v>-0.77089032018650383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650.1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650.1</v>
      </c>
      <c r="M64" s="2"/>
      <c r="N64" s="7">
        <f t="shared" si="35"/>
        <v>0</v>
      </c>
      <c r="O64" s="10"/>
      <c r="P64" s="6">
        <v>6330.28</v>
      </c>
      <c r="Q64" s="2"/>
      <c r="R64" s="7">
        <f t="shared" si="36"/>
        <v>0</v>
      </c>
      <c r="S64" s="2"/>
      <c r="T64" s="6">
        <v>6262.6</v>
      </c>
      <c r="U64" s="2"/>
      <c r="V64" s="7">
        <f t="shared" si="37"/>
        <v>0</v>
      </c>
      <c r="W64" s="2"/>
      <c r="X64" s="6">
        <f t="shared" si="38"/>
        <v>67.679999999999382</v>
      </c>
      <c r="Y64" s="2"/>
      <c r="Z64" s="7">
        <f t="shared" si="39"/>
        <v>1.0807013061667578E-2</v>
      </c>
    </row>
    <row r="65" spans="1:26" s="23" customFormat="1" hidden="1" outlineLevel="2" x14ac:dyDescent="0.25">
      <c r="A65" s="27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0"/>
      <c r="P65" s="6"/>
      <c r="Q65" s="2"/>
      <c r="R65" s="7">
        <f t="shared" si="36"/>
        <v>0</v>
      </c>
      <c r="S65" s="2"/>
      <c r="T65" s="6">
        <v>319.77</v>
      </c>
      <c r="U65" s="2"/>
      <c r="V65" s="7">
        <f t="shared" si="37"/>
        <v>0</v>
      </c>
      <c r="W65" s="2"/>
      <c r="X65" s="6">
        <f t="shared" si="38"/>
        <v>-319.77</v>
      </c>
      <c r="Y65" s="2"/>
      <c r="Z65" s="7">
        <f t="shared" si="39"/>
        <v>-1</v>
      </c>
    </row>
    <row r="66" spans="1:26" s="23" customFormat="1" hidden="1" outlineLevel="2" x14ac:dyDescent="0.25">
      <c r="A66" s="27"/>
      <c r="B66" s="10" t="str">
        <f>CONCATENATE("          ", "6284", " - ", "TRASH REMOVAL EXPENSE")</f>
        <v xml:space="preserve">          6284 - TRASH REMOVAL EXPENSE</v>
      </c>
      <c r="C66" s="10"/>
      <c r="D66" s="6">
        <v>4254</v>
      </c>
      <c r="E66" s="2"/>
      <c r="F66" s="7">
        <f t="shared" si="32"/>
        <v>0</v>
      </c>
      <c r="G66" s="2"/>
      <c r="H66" s="6">
        <v>4254</v>
      </c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0"/>
      <c r="P66" s="6">
        <v>25626</v>
      </c>
      <c r="Q66" s="2"/>
      <c r="R66" s="7">
        <f t="shared" si="36"/>
        <v>0</v>
      </c>
      <c r="S66" s="2"/>
      <c r="T66" s="6">
        <v>39009</v>
      </c>
      <c r="U66" s="2"/>
      <c r="V66" s="7">
        <f t="shared" si="37"/>
        <v>0</v>
      </c>
      <c r="W66" s="2"/>
      <c r="X66" s="6">
        <f t="shared" si="38"/>
        <v>-13383</v>
      </c>
      <c r="Y66" s="2"/>
      <c r="Z66" s="7">
        <f t="shared" si="39"/>
        <v>-0.34307467507498268</v>
      </c>
    </row>
    <row r="67" spans="1:26" s="23" customFormat="1" hidden="1" outlineLevel="2" x14ac:dyDescent="0.25">
      <c r="A67" s="27"/>
      <c r="B67" s="10" t="str">
        <f>CONCATENATE("          ", "6285", " - ", "JANITORIAL SERVICES")</f>
        <v xml:space="preserve">          6285 - JANITORIAL SERVICES</v>
      </c>
      <c r="C67" s="10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0"/>
      <c r="P67" s="6"/>
      <c r="Q67" s="2"/>
      <c r="R67" s="7">
        <f t="shared" si="36"/>
        <v>0</v>
      </c>
      <c r="S67" s="2"/>
      <c r="T67" s="6">
        <v>93144.07</v>
      </c>
      <c r="U67" s="2"/>
      <c r="V67" s="7">
        <f t="shared" si="37"/>
        <v>0</v>
      </c>
      <c r="W67" s="2"/>
      <c r="X67" s="6">
        <f t="shared" si="38"/>
        <v>-93144.07</v>
      </c>
      <c r="Y67" s="2"/>
      <c r="Z67" s="7">
        <f t="shared" si="39"/>
        <v>-1</v>
      </c>
    </row>
    <row r="68" spans="1:26" s="23" customFormat="1" hidden="1" outlineLevel="2" x14ac:dyDescent="0.25">
      <c r="A68" s="27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0"/>
      <c r="P68" s="6"/>
      <c r="Q68" s="2"/>
      <c r="R68" s="7">
        <f t="shared" si="36"/>
        <v>0</v>
      </c>
      <c r="S68" s="2"/>
      <c r="T68" s="6">
        <v>744.83</v>
      </c>
      <c r="U68" s="2"/>
      <c r="V68" s="7">
        <f t="shared" si="37"/>
        <v>0</v>
      </c>
      <c r="W68" s="2"/>
      <c r="X68" s="6">
        <f t="shared" si="38"/>
        <v>-744.83</v>
      </c>
      <c r="Y68" s="2"/>
      <c r="Z68" s="7">
        <f t="shared" si="39"/>
        <v>-1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2"/>
      <c r="P69" s="1">
        <f>SUM(OSRRefP22_14x_0)</f>
        <v>119.07</v>
      </c>
      <c r="Q69" s="1"/>
      <c r="R69" s="5">
        <f t="shared" ref="R69:R71" si="44">IF(P$12=0,0,P69/P$12)</f>
        <v>0</v>
      </c>
      <c r="S69" s="1"/>
      <c r="T69" s="1">
        <f>SUM(OSRRefT22_14x_0)</f>
        <v>795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-675.93000000000006</v>
      </c>
      <c r="Y69" s="1"/>
      <c r="Z69" s="5">
        <f t="shared" ref="Z69:Z71" si="47">IF(T69=0,0,X69/T69)</f>
        <v>-0.85022641509433972</v>
      </c>
    </row>
    <row r="70" spans="1:26" s="23" customFormat="1" hidden="1" outlineLevel="2" x14ac:dyDescent="0.25">
      <c r="A70" s="27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/>
      <c r="Q70" s="2"/>
      <c r="R70" s="7">
        <f t="shared" si="44"/>
        <v>0</v>
      </c>
      <c r="S70" s="2"/>
      <c r="T70" s="6">
        <v>795</v>
      </c>
      <c r="U70" s="2"/>
      <c r="V70" s="7">
        <f t="shared" si="45"/>
        <v>0</v>
      </c>
      <c r="W70" s="2"/>
      <c r="X70" s="6">
        <f t="shared" si="46"/>
        <v>-795</v>
      </c>
      <c r="Y70" s="2"/>
      <c r="Z70" s="7">
        <f t="shared" si="47"/>
        <v>-1</v>
      </c>
    </row>
    <row r="71" spans="1:26" s="23" customFormat="1" hidden="1" outlineLevel="2" x14ac:dyDescent="0.25">
      <c r="A71" s="27"/>
      <c r="B71" s="10" t="str">
        <f>CONCATENATE("          ", "6275", " - ", "SUBSCRIPTIONS")</f>
        <v xml:space="preserve">          6275 - SUBSCRIPTIONS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>
        <v>119.07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119.07</v>
      </c>
      <c r="Y71" s="2"/>
      <c r="Z71" s="7">
        <f t="shared" si="47"/>
        <v>0</v>
      </c>
    </row>
    <row r="72" spans="1:26" s="26" customFormat="1" outlineLevel="1" collapsed="1" x14ac:dyDescent="0.25">
      <c r="A72" s="25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-30</v>
      </c>
      <c r="E72" s="1"/>
      <c r="F72" s="5">
        <f t="shared" ref="F72:F81" si="48">IF(D$12=0,0,D72/D$12)</f>
        <v>0</v>
      </c>
      <c r="G72" s="1"/>
      <c r="H72" s="1">
        <f>SUM(OSRRefH22_15x_0)</f>
        <v>1095.08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-1125.08</v>
      </c>
      <c r="M72" s="1"/>
      <c r="N72" s="5">
        <f t="shared" ref="N72:N81" si="51">IF(H72=0,0,L72/H72)</f>
        <v>-1.0273952587938782</v>
      </c>
      <c r="O72" s="12"/>
      <c r="P72" s="1">
        <f>SUM(OSRRefP22_15x_0)</f>
        <v>-29102.880000000001</v>
      </c>
      <c r="Q72" s="1"/>
      <c r="R72" s="5">
        <f t="shared" ref="R72:R81" si="52">IF(P$12=0,0,P72/P$12)</f>
        <v>0</v>
      </c>
      <c r="S72" s="1"/>
      <c r="T72" s="1">
        <f>SUM(OSRRefT22_15x_0)</f>
        <v>67950.259999999995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-97053.14</v>
      </c>
      <c r="Y72" s="1"/>
      <c r="Z72" s="5">
        <f t="shared" ref="Z72:Z81" si="55">IF(T72=0,0,X72/T72)</f>
        <v>-1.4282968159356566</v>
      </c>
    </row>
    <row r="73" spans="1:26" s="23" customFormat="1" hidden="1" outlineLevel="2" x14ac:dyDescent="0.25">
      <c r="A73" s="27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0"/>
      <c r="P73" s="6"/>
      <c r="Q73" s="2"/>
      <c r="R73" s="7">
        <f t="shared" si="52"/>
        <v>0</v>
      </c>
      <c r="S73" s="2"/>
      <c r="T73" s="6">
        <v>8480.18</v>
      </c>
      <c r="U73" s="2"/>
      <c r="V73" s="7">
        <f t="shared" si="53"/>
        <v>0</v>
      </c>
      <c r="W73" s="2"/>
      <c r="X73" s="6">
        <f t="shared" si="54"/>
        <v>-8480.18</v>
      </c>
      <c r="Y73" s="2"/>
      <c r="Z73" s="7">
        <f t="shared" si="55"/>
        <v>-1</v>
      </c>
    </row>
    <row r="74" spans="1:26" s="23" customFormat="1" hidden="1" outlineLevel="2" x14ac:dyDescent="0.25">
      <c r="A74" s="27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48"/>
        <v>0</v>
      </c>
      <c r="G74" s="2"/>
      <c r="H74" s="6">
        <v>1095.08</v>
      </c>
      <c r="I74" s="2"/>
      <c r="J74" s="7">
        <f t="shared" si="49"/>
        <v>0</v>
      </c>
      <c r="K74" s="2"/>
      <c r="L74" s="6">
        <f t="shared" si="50"/>
        <v>-1095.08</v>
      </c>
      <c r="M74" s="2"/>
      <c r="N74" s="7">
        <f t="shared" si="51"/>
        <v>-1</v>
      </c>
      <c r="O74" s="10"/>
      <c r="P74" s="6">
        <v>127.89</v>
      </c>
      <c r="Q74" s="2"/>
      <c r="R74" s="7">
        <f t="shared" si="52"/>
        <v>0</v>
      </c>
      <c r="S74" s="2"/>
      <c r="T74" s="6">
        <v>1095.08</v>
      </c>
      <c r="U74" s="2"/>
      <c r="V74" s="7">
        <f t="shared" si="53"/>
        <v>0</v>
      </c>
      <c r="W74" s="2"/>
      <c r="X74" s="6">
        <f t="shared" si="54"/>
        <v>-967.18999999999994</v>
      </c>
      <c r="Y74" s="2"/>
      <c r="Z74" s="7">
        <f t="shared" si="55"/>
        <v>-0.88321401176169778</v>
      </c>
    </row>
    <row r="75" spans="1:26" s="23" customFormat="1" hidden="1" outlineLevel="2" x14ac:dyDescent="0.25">
      <c r="A75" s="27"/>
      <c r="B75" s="10" t="str">
        <f>CONCATENATE("          ", "6237", " - ", "JANITORIAL SUPPLIES")</f>
        <v xml:space="preserve">          6237 - JANITORIAL SUPPLIES</v>
      </c>
      <c r="C75" s="10"/>
      <c r="D75" s="6">
        <v>-30</v>
      </c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-30</v>
      </c>
      <c r="M75" s="2"/>
      <c r="N75" s="7">
        <f t="shared" si="51"/>
        <v>0</v>
      </c>
      <c r="O75" s="10"/>
      <c r="P75" s="6">
        <v>-30</v>
      </c>
      <c r="Q75" s="2"/>
      <c r="R75" s="7">
        <f t="shared" si="52"/>
        <v>0</v>
      </c>
      <c r="S75" s="2"/>
      <c r="T75" s="6">
        <v>35461.51</v>
      </c>
      <c r="U75" s="2"/>
      <c r="V75" s="7">
        <f t="shared" si="53"/>
        <v>0</v>
      </c>
      <c r="W75" s="2"/>
      <c r="X75" s="6">
        <f t="shared" si="54"/>
        <v>-35491.51</v>
      </c>
      <c r="Y75" s="2"/>
      <c r="Z75" s="7">
        <f t="shared" si="55"/>
        <v>-1.0008459876638078</v>
      </c>
    </row>
    <row r="76" spans="1:26" s="23" customFormat="1" hidden="1" outlineLevel="2" x14ac:dyDescent="0.25">
      <c r="A76" s="27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0"/>
      <c r="P76" s="6"/>
      <c r="Q76" s="2"/>
      <c r="R76" s="7">
        <f t="shared" si="52"/>
        <v>0</v>
      </c>
      <c r="S76" s="2"/>
      <c r="T76" s="6">
        <v>18397.89</v>
      </c>
      <c r="U76" s="2"/>
      <c r="V76" s="7">
        <f t="shared" si="53"/>
        <v>0</v>
      </c>
      <c r="W76" s="2"/>
      <c r="X76" s="6">
        <f t="shared" si="54"/>
        <v>-18397.89</v>
      </c>
      <c r="Y76" s="2"/>
      <c r="Z76" s="7">
        <f t="shared" si="55"/>
        <v>-1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0"/>
      <c r="P77" s="6">
        <v>-29200.77</v>
      </c>
      <c r="Q77" s="2"/>
      <c r="R77" s="7">
        <f t="shared" si="52"/>
        <v>0</v>
      </c>
      <c r="S77" s="2"/>
      <c r="T77" s="6">
        <v>2858.28</v>
      </c>
      <c r="U77" s="2"/>
      <c r="V77" s="7">
        <f t="shared" si="53"/>
        <v>0</v>
      </c>
      <c r="W77" s="2"/>
      <c r="X77" s="6">
        <f t="shared" si="54"/>
        <v>-32059.05</v>
      </c>
      <c r="Y77" s="2"/>
      <c r="Z77" s="7">
        <f t="shared" si="55"/>
        <v>-11.216203451026491</v>
      </c>
    </row>
    <row r="78" spans="1:26" s="23" customFormat="1" hidden="1" outlineLevel="2" x14ac:dyDescent="0.25">
      <c r="A78" s="27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0"/>
      <c r="P78" s="6"/>
      <c r="Q78" s="2"/>
      <c r="R78" s="7">
        <f t="shared" si="52"/>
        <v>0</v>
      </c>
      <c r="S78" s="2"/>
      <c r="T78" s="6">
        <v>1027.17</v>
      </c>
      <c r="U78" s="2"/>
      <c r="V78" s="7">
        <f t="shared" si="53"/>
        <v>0</v>
      </c>
      <c r="W78" s="2"/>
      <c r="X78" s="6">
        <f t="shared" si="54"/>
        <v>-1027.17</v>
      </c>
      <c r="Y78" s="2"/>
      <c r="Z78" s="7">
        <f t="shared" si="55"/>
        <v>-1</v>
      </c>
    </row>
    <row r="79" spans="1:26" s="23" customFormat="1" hidden="1" outlineLevel="2" x14ac:dyDescent="0.25">
      <c r="A79" s="27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15.99</v>
      </c>
      <c r="U79" s="2"/>
      <c r="V79" s="7">
        <f t="shared" si="53"/>
        <v>0</v>
      </c>
      <c r="W79" s="2"/>
      <c r="X79" s="6">
        <f t="shared" si="54"/>
        <v>-15.99</v>
      </c>
      <c r="Y79" s="2"/>
      <c r="Z79" s="7">
        <f t="shared" si="55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0"/>
      <c r="P80" s="6"/>
      <c r="Q80" s="2"/>
      <c r="R80" s="7">
        <f t="shared" si="52"/>
        <v>0</v>
      </c>
      <c r="S80" s="2"/>
      <c r="T80" s="6">
        <v>123.68</v>
      </c>
      <c r="U80" s="2"/>
      <c r="V80" s="7">
        <f t="shared" si="53"/>
        <v>0</v>
      </c>
      <c r="W80" s="2"/>
      <c r="X80" s="6">
        <f t="shared" si="54"/>
        <v>-123.68</v>
      </c>
      <c r="Y80" s="2"/>
      <c r="Z80" s="7">
        <f t="shared" si="55"/>
        <v>-1</v>
      </c>
    </row>
    <row r="81" spans="1:26" s="23" customFormat="1" hidden="1" outlineLevel="2" x14ac:dyDescent="0.25">
      <c r="A81" s="27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0"/>
      <c r="P81" s="6"/>
      <c r="Q81" s="2"/>
      <c r="R81" s="7">
        <f t="shared" si="52"/>
        <v>0</v>
      </c>
      <c r="S81" s="2"/>
      <c r="T81" s="6">
        <v>490.48</v>
      </c>
      <c r="U81" s="2"/>
      <c r="V81" s="7">
        <f t="shared" si="53"/>
        <v>0</v>
      </c>
      <c r="W81" s="2"/>
      <c r="X81" s="6">
        <f t="shared" si="54"/>
        <v>-490.48</v>
      </c>
      <c r="Y81" s="2"/>
      <c r="Z81" s="7">
        <f t="shared" si="55"/>
        <v>-1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SUM(OSRRefD22_16x_0)</f>
        <v>170.1</v>
      </c>
      <c r="E82" s="1"/>
      <c r="F82" s="5">
        <f t="shared" ref="F82:F89" si="56">IF(D$12=0,0,D82/D$12)</f>
        <v>0</v>
      </c>
      <c r="G82" s="1"/>
      <c r="H82" s="1">
        <f>SUM(OSRRefH22_16x_0)</f>
        <v>485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-314.89999999999998</v>
      </c>
      <c r="M82" s="1"/>
      <c r="N82" s="5">
        <f t="shared" ref="N82:N89" si="59">IF(H82=0,0,L82/H82)</f>
        <v>-0.6492783505154639</v>
      </c>
      <c r="O82" s="12"/>
      <c r="P82" s="1">
        <f>SUM(OSRRefP22_16x_0)</f>
        <v>1933.33</v>
      </c>
      <c r="Q82" s="1"/>
      <c r="R82" s="5">
        <f t="shared" ref="R82:R89" si="60">IF(P$12=0,0,P82/P$12)</f>
        <v>0</v>
      </c>
      <c r="S82" s="1"/>
      <c r="T82" s="1">
        <f>SUM(OSRRefT22_16x_0)</f>
        <v>4907.9399999999996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-2974.6099999999997</v>
      </c>
      <c r="Y82" s="1"/>
      <c r="Z82" s="5">
        <f t="shared" ref="Z82:Z89" si="63">IF(T82=0,0,X82/T82)</f>
        <v>-0.60608116643642751</v>
      </c>
    </row>
    <row r="83" spans="1:26" s="23" customFormat="1" hidden="1" outlineLevel="2" x14ac:dyDescent="0.25">
      <c r="A83" s="27"/>
      <c r="B83" s="10" t="str">
        <f>CONCATENATE("          ", "6309", " - ", "TELEPHONE")</f>
        <v xml:space="preserve">          6309 - TELEPHONE</v>
      </c>
      <c r="C83" s="10"/>
      <c r="D83" s="6">
        <v>170.1</v>
      </c>
      <c r="E83" s="2"/>
      <c r="F83" s="7">
        <f t="shared" si="56"/>
        <v>0</v>
      </c>
      <c r="G83" s="2"/>
      <c r="H83" s="6">
        <v>485</v>
      </c>
      <c r="I83" s="2"/>
      <c r="J83" s="7">
        <f t="shared" si="57"/>
        <v>0</v>
      </c>
      <c r="K83" s="2"/>
      <c r="L83" s="6">
        <f t="shared" si="58"/>
        <v>-314.89999999999998</v>
      </c>
      <c r="M83" s="2"/>
      <c r="N83" s="7">
        <f t="shared" si="59"/>
        <v>-0.6492783505154639</v>
      </c>
      <c r="O83" s="10"/>
      <c r="P83" s="6">
        <v>1933.33</v>
      </c>
      <c r="Q83" s="2"/>
      <c r="R83" s="7">
        <f t="shared" si="60"/>
        <v>0</v>
      </c>
      <c r="S83" s="2"/>
      <c r="T83" s="6">
        <v>4907.9399999999996</v>
      </c>
      <c r="U83" s="2"/>
      <c r="V83" s="7">
        <f t="shared" si="61"/>
        <v>0</v>
      </c>
      <c r="W83" s="2"/>
      <c r="X83" s="6">
        <f t="shared" si="62"/>
        <v>-2974.6099999999997</v>
      </c>
      <c r="Y83" s="2"/>
      <c r="Z83" s="7">
        <f t="shared" si="63"/>
        <v>-0.60608116643642751</v>
      </c>
    </row>
    <row r="84" spans="1:26" s="26" customFormat="1" outlineLevel="1" collapsed="1" x14ac:dyDescent="0.25">
      <c r="A84" s="25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SUM(OSRRefD22_17x_0)</f>
        <v>0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2"/>
      <c r="P84" s="1">
        <f>SUM(OSRRefP22_17x_0)</f>
        <v>0</v>
      </c>
      <c r="Q84" s="1"/>
      <c r="R84" s="5">
        <f t="shared" si="60"/>
        <v>0</v>
      </c>
      <c r="S84" s="1"/>
      <c r="T84" s="1">
        <f>SUM(OSRRefT22_17x_0)</f>
        <v>240</v>
      </c>
      <c r="U84" s="1"/>
      <c r="V84" s="5">
        <f t="shared" si="61"/>
        <v>0</v>
      </c>
      <c r="W84" s="1"/>
      <c r="X84" s="1">
        <f t="shared" si="62"/>
        <v>-240</v>
      </c>
      <c r="Y84" s="1"/>
      <c r="Z84" s="5">
        <f t="shared" si="63"/>
        <v>-1</v>
      </c>
    </row>
    <row r="85" spans="1:26" s="23" customFormat="1" hidden="1" outlineLevel="2" x14ac:dyDescent="0.25">
      <c r="A85" s="27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0"/>
      <c r="P85" s="6"/>
      <c r="Q85" s="2"/>
      <c r="R85" s="7">
        <f t="shared" si="60"/>
        <v>0</v>
      </c>
      <c r="S85" s="2"/>
      <c r="T85" s="6">
        <v>240</v>
      </c>
      <c r="U85" s="2"/>
      <c r="V85" s="7">
        <f t="shared" si="61"/>
        <v>0</v>
      </c>
      <c r="W85" s="2"/>
      <c r="X85" s="6">
        <f t="shared" si="62"/>
        <v>-240</v>
      </c>
      <c r="Y85" s="2"/>
      <c r="Z85" s="7">
        <f t="shared" si="63"/>
        <v>-1</v>
      </c>
    </row>
    <row r="86" spans="1:26" s="26" customFormat="1" outlineLevel="1" collapsed="1" x14ac:dyDescent="0.25">
      <c r="A86" s="25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0</v>
      </c>
      <c r="I86" s="1"/>
      <c r="J86" s="5">
        <f t="shared" si="57"/>
        <v>0</v>
      </c>
      <c r="K86" s="1"/>
      <c r="L86" s="1">
        <f t="shared" si="58"/>
        <v>0</v>
      </c>
      <c r="M86" s="1"/>
      <c r="N86" s="5">
        <f t="shared" si="59"/>
        <v>0</v>
      </c>
      <c r="O86" s="12"/>
      <c r="P86" s="1">
        <f>SUM(OSRRefP22_18x_0)</f>
        <v>332.21</v>
      </c>
      <c r="Q86" s="1"/>
      <c r="R86" s="5">
        <f t="shared" si="60"/>
        <v>0</v>
      </c>
      <c r="S86" s="1"/>
      <c r="T86" s="1">
        <f>SUM(OSRRefT22_18x_0)</f>
        <v>2300.86</v>
      </c>
      <c r="U86" s="1"/>
      <c r="V86" s="5">
        <f t="shared" si="61"/>
        <v>0</v>
      </c>
      <c r="W86" s="1"/>
      <c r="X86" s="1">
        <f t="shared" si="62"/>
        <v>-1968.65</v>
      </c>
      <c r="Y86" s="1"/>
      <c r="Z86" s="5">
        <f t="shared" si="63"/>
        <v>-0.85561485705344953</v>
      </c>
    </row>
    <row r="87" spans="1:26" s="23" customFormat="1" hidden="1" outlineLevel="2" x14ac:dyDescent="0.25">
      <c r="A87" s="27"/>
      <c r="B87" s="10" t="str">
        <f>CONCATENATE("          ", "6292", " - ", "TRAVEL/CONFERENCE")</f>
        <v xml:space="preserve">          6292 - TRAVEL/CONFERENCE</v>
      </c>
      <c r="C87" s="10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0"/>
      <c r="P87" s="6"/>
      <c r="Q87" s="2"/>
      <c r="R87" s="7">
        <f t="shared" si="60"/>
        <v>0</v>
      </c>
      <c r="S87" s="2"/>
      <c r="T87" s="6">
        <v>966.72</v>
      </c>
      <c r="U87" s="2"/>
      <c r="V87" s="7">
        <f t="shared" si="61"/>
        <v>0</v>
      </c>
      <c r="W87" s="2"/>
      <c r="X87" s="6">
        <f t="shared" si="62"/>
        <v>-966.72</v>
      </c>
      <c r="Y87" s="2"/>
      <c r="Z87" s="7">
        <f t="shared" si="63"/>
        <v>-1</v>
      </c>
    </row>
    <row r="88" spans="1:26" s="23" customFormat="1" hidden="1" outlineLevel="2" x14ac:dyDescent="0.25">
      <c r="A88" s="27"/>
      <c r="B88" s="10" t="str">
        <f>CONCATENATE("          ", "6294", " - ", "TRAVEL OPERATIONAL")</f>
        <v xml:space="preserve">          6294 - TRAVEL OPERATIONAL</v>
      </c>
      <c r="C88" s="10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0"/>
      <c r="P88" s="6"/>
      <c r="Q88" s="2"/>
      <c r="R88" s="7">
        <f t="shared" si="60"/>
        <v>0</v>
      </c>
      <c r="S88" s="2"/>
      <c r="T88" s="6">
        <v>45.49</v>
      </c>
      <c r="U88" s="2"/>
      <c r="V88" s="7">
        <f t="shared" si="61"/>
        <v>0</v>
      </c>
      <c r="W88" s="2"/>
      <c r="X88" s="6">
        <f t="shared" si="62"/>
        <v>-45.49</v>
      </c>
      <c r="Y88" s="2"/>
      <c r="Z88" s="7">
        <f t="shared" si="63"/>
        <v>-1</v>
      </c>
    </row>
    <row r="89" spans="1:26" s="23" customFormat="1" hidden="1" outlineLevel="2" x14ac:dyDescent="0.25">
      <c r="A89" s="27"/>
      <c r="B89" s="10" t="str">
        <f>CONCATENATE("          ", "6298", " - ", "VEHICLE MILEAGE")</f>
        <v xml:space="preserve">          6298 - VEHICLE MILEAGE</v>
      </c>
      <c r="C89" s="10"/>
      <c r="D89" s="6"/>
      <c r="E89" s="2"/>
      <c r="F89" s="7">
        <f t="shared" si="56"/>
        <v>0</v>
      </c>
      <c r="G89" s="2"/>
      <c r="H89" s="6"/>
      <c r="I89" s="2"/>
      <c r="J89" s="7">
        <f t="shared" si="57"/>
        <v>0</v>
      </c>
      <c r="K89" s="2"/>
      <c r="L89" s="6">
        <f t="shared" si="58"/>
        <v>0</v>
      </c>
      <c r="M89" s="2"/>
      <c r="N89" s="7">
        <f t="shared" si="59"/>
        <v>0</v>
      </c>
      <c r="O89" s="10"/>
      <c r="P89" s="6">
        <v>332.21</v>
      </c>
      <c r="Q89" s="2"/>
      <c r="R89" s="7">
        <f t="shared" si="60"/>
        <v>0</v>
      </c>
      <c r="S89" s="2"/>
      <c r="T89" s="6">
        <v>1288.6500000000001</v>
      </c>
      <c r="U89" s="2"/>
      <c r="V89" s="7">
        <f t="shared" si="61"/>
        <v>0</v>
      </c>
      <c r="W89" s="2"/>
      <c r="X89" s="6">
        <f t="shared" si="62"/>
        <v>-956.44</v>
      </c>
      <c r="Y89" s="2"/>
      <c r="Z89" s="7">
        <f t="shared" si="63"/>
        <v>-0.74220308074341368</v>
      </c>
    </row>
    <row r="90" spans="1:26" s="26" customFormat="1" outlineLevel="1" collapsed="1" x14ac:dyDescent="0.25">
      <c r="A90" s="25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SUM(OSRRefD22_19x_0)</f>
        <v>1000</v>
      </c>
      <c r="E90" s="1"/>
      <c r="F90" s="5">
        <f t="shared" ref="F90:F91" si="64">IF(D$12=0,0,D90/D$12)</f>
        <v>0</v>
      </c>
      <c r="G90" s="1"/>
      <c r="H90" s="1">
        <f>SUM(OSRRefH22_19x_0)</f>
        <v>12923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-11923</v>
      </c>
      <c r="M90" s="1"/>
      <c r="N90" s="5">
        <f t="shared" ref="N90:N91" si="67">IF(H90=0,0,L90/H90)</f>
        <v>-0.92261858701539889</v>
      </c>
      <c r="O90" s="12"/>
      <c r="P90" s="1">
        <f>SUM(OSRRefP22_19x_0)</f>
        <v>-9039</v>
      </c>
      <c r="Q90" s="1"/>
      <c r="R90" s="5">
        <f t="shared" ref="R90:R91" si="68">IF(P$12=0,0,P90/P$12)</f>
        <v>0</v>
      </c>
      <c r="S90" s="1"/>
      <c r="T90" s="1">
        <f>SUM(OSRRefT22_19x_0)</f>
        <v>146206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-155245</v>
      </c>
      <c r="Y90" s="1"/>
      <c r="Z90" s="5">
        <f t="shared" ref="Z90:Z91" si="71">IF(T90=0,0,X90/T90)</f>
        <v>-1.0618237281643708</v>
      </c>
    </row>
    <row r="91" spans="1:26" s="23" customFormat="1" hidden="1" outlineLevel="2" x14ac:dyDescent="0.25">
      <c r="A91" s="27"/>
      <c r="B91" s="10" t="str">
        <f>CONCATENATE("          ", "6274", " - ", "UTILITIES")</f>
        <v xml:space="preserve">          6274 - UTILITIES</v>
      </c>
      <c r="C91" s="10"/>
      <c r="D91" s="6">
        <v>1000</v>
      </c>
      <c r="E91" s="2"/>
      <c r="F91" s="7">
        <f t="shared" si="64"/>
        <v>0</v>
      </c>
      <c r="G91" s="2"/>
      <c r="H91" s="6">
        <v>12923</v>
      </c>
      <c r="I91" s="2"/>
      <c r="J91" s="7">
        <f t="shared" si="65"/>
        <v>0</v>
      </c>
      <c r="K91" s="2"/>
      <c r="L91" s="6">
        <f t="shared" si="66"/>
        <v>-11923</v>
      </c>
      <c r="M91" s="2"/>
      <c r="N91" s="7">
        <f t="shared" si="67"/>
        <v>-0.92261858701539889</v>
      </c>
      <c r="O91" s="10"/>
      <c r="P91" s="6">
        <v>-9039</v>
      </c>
      <c r="Q91" s="2"/>
      <c r="R91" s="7">
        <f t="shared" si="68"/>
        <v>0</v>
      </c>
      <c r="S91" s="2"/>
      <c r="T91" s="6">
        <v>146206</v>
      </c>
      <c r="U91" s="2"/>
      <c r="V91" s="7">
        <f t="shared" si="69"/>
        <v>0</v>
      </c>
      <c r="W91" s="2"/>
      <c r="X91" s="6">
        <f t="shared" si="70"/>
        <v>-155245</v>
      </c>
      <c r="Y91" s="2"/>
      <c r="Z91" s="7">
        <f t="shared" si="71"/>
        <v>-1.0618237281643708</v>
      </c>
    </row>
    <row r="92" spans="1:26" s="57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9" t="s">
        <v>292</v>
      </c>
      <c r="C93" s="11"/>
      <c r="D93" s="4">
        <f>SUM(OSRRefD25x_0)</f>
        <v>8.44</v>
      </c>
      <c r="E93" s="4"/>
      <c r="F93" s="13">
        <f t="shared" ref="F93:F95" si="72">IF(D$12=0,0,D93/D$12)</f>
        <v>0</v>
      </c>
      <c r="G93" s="4"/>
      <c r="H93" s="4">
        <f>SUM(OSRRefH25x_0)</f>
        <v>0</v>
      </c>
      <c r="I93" s="4"/>
      <c r="J93" s="13">
        <f t="shared" ref="J93:J95" si="73">IF(H$12=0,0,H93/H$12)</f>
        <v>0</v>
      </c>
      <c r="K93" s="4"/>
      <c r="L93" s="4">
        <f t="shared" ref="L93:L95" si="74">+D93-H93</f>
        <v>8.44</v>
      </c>
      <c r="M93" s="4"/>
      <c r="N93" s="13">
        <f t="shared" ref="N93:N95" si="75">IF(H93=0,0,L93/H93)</f>
        <v>0</v>
      </c>
      <c r="O93" s="11"/>
      <c r="P93" s="4">
        <f>SUM(OSRRefP25x_0)</f>
        <v>6054.85</v>
      </c>
      <c r="Q93" s="4"/>
      <c r="R93" s="13">
        <f t="shared" ref="R93:R95" si="76">IF(P$12=0,0,P93/P$12)</f>
        <v>0</v>
      </c>
      <c r="S93" s="4"/>
      <c r="T93" s="4">
        <f>SUM(OSRRefT25x_0)</f>
        <v>111740.72</v>
      </c>
      <c r="U93" s="4"/>
      <c r="V93" s="13">
        <f t="shared" ref="V93:V95" si="77">IF(T$12=0,0,T93/T$12)</f>
        <v>0</v>
      </c>
      <c r="W93" s="4"/>
      <c r="X93" s="4">
        <f t="shared" ref="X93:X95" si="78">+P93-T93</f>
        <v>-105685.87</v>
      </c>
      <c r="Y93" s="4"/>
      <c r="Z93" s="13">
        <f t="shared" ref="Z93:Z95" si="79">IF(T93=0,0,X93/T93)</f>
        <v>-0.94581339730046476</v>
      </c>
    </row>
    <row r="94" spans="1:26" s="23" customFormat="1" hidden="1" outlineLevel="1" x14ac:dyDescent="0.25">
      <c r="A94" s="44"/>
      <c r="B94" s="10" t="str">
        <f>CONCATENATE("          ", "9150", " - ", "MISC. INCOME")</f>
        <v xml:space="preserve">          9150 - MISC. INCOME</v>
      </c>
      <c r="C94" s="10"/>
      <c r="D94" s="2">
        <f>--8.44</f>
        <v>8.44</v>
      </c>
      <c r="E94" s="2"/>
      <c r="F94" s="19">
        <f t="shared" si="72"/>
        <v>0</v>
      </c>
      <c r="G94" s="2"/>
      <c r="H94" s="2">
        <f t="shared" ref="H94:H95" si="80">0</f>
        <v>0</v>
      </c>
      <c r="I94" s="2"/>
      <c r="J94" s="19">
        <f t="shared" si="73"/>
        <v>0</v>
      </c>
      <c r="K94" s="2"/>
      <c r="L94" s="2">
        <f t="shared" si="74"/>
        <v>8.44</v>
      </c>
      <c r="M94" s="2"/>
      <c r="N94" s="19">
        <f t="shared" si="75"/>
        <v>0</v>
      </c>
      <c r="O94" s="10"/>
      <c r="P94" s="2">
        <f>--5238.5</f>
        <v>5238.5</v>
      </c>
      <c r="Q94" s="2"/>
      <c r="R94" s="19">
        <f t="shared" si="76"/>
        <v>0</v>
      </c>
      <c r="S94" s="2"/>
      <c r="T94" s="2">
        <f>--109690.69</f>
        <v>109690.69</v>
      </c>
      <c r="U94" s="2"/>
      <c r="V94" s="19">
        <f t="shared" si="77"/>
        <v>0</v>
      </c>
      <c r="W94" s="2"/>
      <c r="X94" s="2">
        <f t="shared" si="78"/>
        <v>-104452.19</v>
      </c>
      <c r="Y94" s="2"/>
      <c r="Z94" s="19">
        <f t="shared" si="79"/>
        <v>-0.95224298434078591</v>
      </c>
    </row>
    <row r="95" spans="1:26" s="23" customFormat="1" hidden="1" outlineLevel="1" x14ac:dyDescent="0.25">
      <c r="A95" s="44"/>
      <c r="B95" s="10" t="str">
        <f>CONCATENATE("          ", "9160", " - ", "MISC. INCOME")</f>
        <v xml:space="preserve">          9160 - MISC. INCOME</v>
      </c>
      <c r="C95" s="10"/>
      <c r="D95" s="2">
        <f>0</f>
        <v>0</v>
      </c>
      <c r="E95" s="2"/>
      <c r="F95" s="19">
        <f t="shared" si="72"/>
        <v>0</v>
      </c>
      <c r="G95" s="2"/>
      <c r="H95" s="2">
        <f t="shared" si="80"/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0"/>
      <c r="P95" s="2">
        <f>--816.35</f>
        <v>816.35</v>
      </c>
      <c r="Q95" s="2"/>
      <c r="R95" s="19">
        <f t="shared" si="76"/>
        <v>0</v>
      </c>
      <c r="S95" s="2"/>
      <c r="T95" s="2">
        <f>--2050.03</f>
        <v>2050.0300000000002</v>
      </c>
      <c r="U95" s="2"/>
      <c r="V95" s="19">
        <f t="shared" si="77"/>
        <v>0</v>
      </c>
      <c r="W95" s="2"/>
      <c r="X95" s="2">
        <f t="shared" si="78"/>
        <v>-1233.6800000000003</v>
      </c>
      <c r="Y95" s="2"/>
      <c r="Z95" s="19">
        <f t="shared" si="79"/>
        <v>-0.60178631532221483</v>
      </c>
    </row>
    <row r="96" spans="1:26" x14ac:dyDescent="0.25">
      <c r="A96" s="9"/>
      <c r="B96" s="11"/>
      <c r="C96" s="11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1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x14ac:dyDescent="0.25">
      <c r="A97" s="11"/>
      <c r="B97" s="28" t="s">
        <v>276</v>
      </c>
      <c r="C97" s="28"/>
      <c r="D97" s="20">
        <f>+D16-D18+D93</f>
        <v>-39520.449999999997</v>
      </c>
      <c r="E97" s="14"/>
      <c r="F97" s="21">
        <f>IF(D$12=0,0,D97/D$12)</f>
        <v>0</v>
      </c>
      <c r="G97" s="14"/>
      <c r="H97" s="20">
        <f>+H16-H18+H93</f>
        <v>-41333.24</v>
      </c>
      <c r="I97" s="14"/>
      <c r="J97" s="21">
        <f>IF(H$12=0,0,H97/H$12)</f>
        <v>0</v>
      </c>
      <c r="K97" s="15"/>
      <c r="L97" s="20">
        <f>+D97-H97</f>
        <v>1812.7900000000009</v>
      </c>
      <c r="M97" s="15"/>
      <c r="N97" s="21">
        <f>IF(H97=0,0,L97/H97)</f>
        <v>-4.3857921614661732E-2</v>
      </c>
      <c r="O97" s="29"/>
      <c r="P97" s="20">
        <f>+P16-P18+P93</f>
        <v>-324924.76</v>
      </c>
      <c r="Q97" s="14"/>
      <c r="R97" s="21">
        <f>IF(P$12=0,0,P97/P$12)</f>
        <v>0</v>
      </c>
      <c r="S97" s="14"/>
      <c r="T97" s="20">
        <f>+T16-T18+T93</f>
        <v>-859642.87</v>
      </c>
      <c r="U97" s="14"/>
      <c r="V97" s="21">
        <f>IF(T$12=0,0,T97/T$12)</f>
        <v>0</v>
      </c>
      <c r="W97" s="15"/>
      <c r="X97" s="20">
        <f>+P97-T97</f>
        <v>534718.11</v>
      </c>
      <c r="Y97" s="15"/>
      <c r="Z97" s="21">
        <f>IF(T97=0,0,X97/T97)</f>
        <v>-0.62202355031456258</v>
      </c>
    </row>
    <row r="98" spans="1:26" x14ac:dyDescent="0.25">
      <c r="A98" s="9"/>
      <c r="B98" s="11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x14ac:dyDescent="0.25">
      <c r="A99" s="51"/>
      <c r="B99" s="11" t="s">
        <v>127</v>
      </c>
      <c r="C99" s="11"/>
      <c r="D99" s="4"/>
      <c r="E99" s="4"/>
      <c r="F99" s="13">
        <f>IF(D$12=0,0,D99/D$12)</f>
        <v>0</v>
      </c>
      <c r="G99" s="4"/>
      <c r="H99" s="4"/>
      <c r="I99" s="4"/>
      <c r="J99" s="13">
        <f>IF(H$12=0,0,H99/H$12)</f>
        <v>0</v>
      </c>
      <c r="K99" s="4"/>
      <c r="L99" s="4">
        <f>+D99-H99</f>
        <v>0</v>
      </c>
      <c r="M99" s="4"/>
      <c r="N99" s="13">
        <f>IF(H99=0,0,L99/H99)</f>
        <v>0</v>
      </c>
      <c r="O99" s="11"/>
      <c r="P99" s="4"/>
      <c r="Q99" s="4"/>
      <c r="R99" s="13">
        <f>IF(P$12=0,0,P99/P$12)</f>
        <v>0</v>
      </c>
      <c r="S99" s="4"/>
      <c r="T99" s="4"/>
      <c r="U99" s="4"/>
      <c r="V99" s="13">
        <f>IF(T$12=0,0,T99/T$12)</f>
        <v>0</v>
      </c>
      <c r="W99" s="4"/>
      <c r="X99" s="4">
        <f>+P99-T99</f>
        <v>0</v>
      </c>
      <c r="Y99" s="4"/>
      <c r="Z99" s="13">
        <f>IF(T99=0,0,X99/T99)</f>
        <v>0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ht="15.75" thickBot="1" x14ac:dyDescent="0.3">
      <c r="A101" s="11"/>
      <c r="B101" s="28" t="s">
        <v>125</v>
      </c>
      <c r="C101" s="28"/>
      <c r="D101" s="35">
        <f>+D97-D99</f>
        <v>-39520.449999999997</v>
      </c>
      <c r="E101" s="14"/>
      <c r="F101" s="36">
        <f>IF(D$12=0,0,D101/D$12)</f>
        <v>0</v>
      </c>
      <c r="G101" s="14"/>
      <c r="H101" s="35">
        <f>+H97-H99</f>
        <v>-41333.24</v>
      </c>
      <c r="I101" s="14"/>
      <c r="J101" s="36">
        <f>IF(H$12=0,0,H101/H$12)</f>
        <v>0</v>
      </c>
      <c r="K101" s="15"/>
      <c r="L101" s="35">
        <f>D101-H101</f>
        <v>1812.7900000000009</v>
      </c>
      <c r="M101" s="15"/>
      <c r="N101" s="36">
        <f>IF(H101=0,0,L101/H101)</f>
        <v>-4.3857921614661732E-2</v>
      </c>
      <c r="O101" s="29"/>
      <c r="P101" s="35">
        <f>+P97-P99</f>
        <v>-324924.76</v>
      </c>
      <c r="Q101" s="14"/>
      <c r="R101" s="36">
        <f>IF(P$12=0,0,P101/P$12)</f>
        <v>0</v>
      </c>
      <c r="S101" s="14"/>
      <c r="T101" s="35">
        <f>+T97-T99</f>
        <v>-859642.87</v>
      </c>
      <c r="U101" s="14"/>
      <c r="V101" s="36">
        <f>IF(T$12=0,0,T101/T$12)</f>
        <v>0</v>
      </c>
      <c r="W101" s="15"/>
      <c r="X101" s="35">
        <f>P101-T101</f>
        <v>534718.11</v>
      </c>
      <c r="Y101" s="15"/>
      <c r="Z101" s="36">
        <f>IF(T101=0,0,X101/T101)</f>
        <v>-0.62202355031456258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4" customFormat="1" ht="15.75" thickBot="1" x14ac:dyDescent="0.3">
      <c r="A104" s="11"/>
      <c r="B104" s="28" t="s">
        <v>293</v>
      </c>
      <c r="C104" s="28"/>
      <c r="D104" s="30">
        <f>SUM(D101:D103)</f>
        <v>-39520.449999999997</v>
      </c>
      <c r="E104" s="14"/>
      <c r="F104" s="31">
        <f>IF(D$12=0,0,D104/D$12)</f>
        <v>0</v>
      </c>
      <c r="G104" s="14"/>
      <c r="H104" s="30">
        <f>SUM(H101:H103)</f>
        <v>-41333.24</v>
      </c>
      <c r="I104" s="14"/>
      <c r="J104" s="31">
        <f>IF(H$12=0,0,H104/H$12)</f>
        <v>0</v>
      </c>
      <c r="K104" s="15"/>
      <c r="L104" s="30">
        <f>+D104-H104</f>
        <v>1812.7900000000009</v>
      </c>
      <c r="M104" s="15"/>
      <c r="N104" s="31">
        <f>IF(H104=0,0,L104/H104)</f>
        <v>-4.3857921614661732E-2</v>
      </c>
      <c r="O104" s="29"/>
      <c r="P104" s="30">
        <f>SUM(P101:P103)</f>
        <v>-324924.76</v>
      </c>
      <c r="Q104" s="14"/>
      <c r="R104" s="31">
        <f>IF(P$12=0,0,P104/P$12)</f>
        <v>0</v>
      </c>
      <c r="S104" s="14"/>
      <c r="T104" s="30">
        <f>SUM(T101:T103)</f>
        <v>-859642.87</v>
      </c>
      <c r="U104" s="14"/>
      <c r="V104" s="31">
        <f>IF(T$12=0,0,T104/T$12)</f>
        <v>0</v>
      </c>
      <c r="W104" s="15"/>
      <c r="X104" s="30">
        <f>+P104-T104</f>
        <v>534718.11</v>
      </c>
      <c r="Y104" s="15"/>
      <c r="Z104" s="31">
        <f>IF(T104=0,0,X104/T104)</f>
        <v>-0.62202355031456258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9">
        <v>44356.893348032405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2" t="s">
        <v>56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4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","412", " - ", "Chartroom")</f>
        <v>Department 412 - Chartroom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379973.86</v>
      </c>
      <c r="U12" s="4"/>
      <c r="V12" s="13"/>
      <c r="W12" s="4"/>
      <c r="X12" s="4">
        <f t="shared" ref="X12:X14" si="2">+P12-T12</f>
        <v>-379973.86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--329896.47</f>
        <v>329896.46999999997</v>
      </c>
      <c r="U13" s="2"/>
      <c r="V13" s="19"/>
      <c r="W13" s="2"/>
      <c r="X13" s="2">
        <f t="shared" si="2"/>
        <v>-329896.46999999997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--50077.39</f>
        <v>50077.39</v>
      </c>
      <c r="U14" s="2"/>
      <c r="V14" s="19"/>
      <c r="W14" s="2"/>
      <c r="X14" s="2">
        <f t="shared" si="2"/>
        <v>-50077.39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202331.49</v>
      </c>
      <c r="U16" s="4"/>
      <c r="V16" s="13">
        <f t="shared" ref="V16:V18" si="12">IF(T$12=0,0,T16/T$12)</f>
        <v>0.53248791903737802</v>
      </c>
      <c r="W16" s="4"/>
      <c r="X16" s="4">
        <f t="shared" ref="X16:X18" si="13">+P16-T16</f>
        <v>-202331.49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216281.49</v>
      </c>
      <c r="U17" s="2"/>
      <c r="V17" s="19">
        <f t="shared" si="12"/>
        <v>0.56920097082467724</v>
      </c>
      <c r="W17" s="2"/>
      <c r="X17" s="2">
        <f t="shared" si="13"/>
        <v>-216281.49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-13950</v>
      </c>
      <c r="U18" s="2"/>
      <c r="V18" s="19">
        <f t="shared" si="12"/>
        <v>-3.6713051787299264E-2</v>
      </c>
      <c r="W18" s="2"/>
      <c r="X18" s="2">
        <f t="shared" si="13"/>
        <v>13950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177642.37</v>
      </c>
      <c r="U20" s="14"/>
      <c r="V20" s="21">
        <f>IF(T$12=0,0,T20/T$12)</f>
        <v>0.46751208096262203</v>
      </c>
      <c r="W20" s="15"/>
      <c r="X20" s="20">
        <f>+P20-T20</f>
        <v>-177642.37</v>
      </c>
      <c r="Y20" s="15"/>
      <c r="Z20" s="21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613.36</v>
      </c>
      <c r="E22" s="22"/>
      <c r="F22" s="32">
        <f t="shared" ref="F22:F31" si="15">IF(D$12=0,0,D22/D$12)</f>
        <v>0</v>
      </c>
      <c r="G22" s="22"/>
      <c r="H22" s="22">
        <f>SUM(OSRRefH22x_0)</f>
        <v>379.28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234.08000000000004</v>
      </c>
      <c r="M22" s="4"/>
      <c r="N22" s="32">
        <f t="shared" ref="N22:N31" si="18">IF(H22=0,0,L22/H22)</f>
        <v>0.6171693735498841</v>
      </c>
      <c r="O22" s="11"/>
      <c r="P22" s="22">
        <f>SUM(OSRRefP22x_0)</f>
        <v>9176.93</v>
      </c>
      <c r="Q22" s="22"/>
      <c r="R22" s="32">
        <f t="shared" ref="R22:R31" si="19">IF(P$12=0,0,P22/P$12)</f>
        <v>0</v>
      </c>
      <c r="S22" s="22"/>
      <c r="T22" s="22">
        <f>SUM(OSRRefT22x_0)</f>
        <v>340200.53999999992</v>
      </c>
      <c r="U22" s="22"/>
      <c r="V22" s="32">
        <f t="shared" ref="V22:V31" si="20">IF(T$12=0,0,T22/T$12)</f>
        <v>0.89532616796323816</v>
      </c>
      <c r="W22" s="4"/>
      <c r="X22" s="22">
        <f t="shared" ref="X22:X31" si="21">+P22-T22</f>
        <v>-331023.60999999993</v>
      </c>
      <c r="Y22" s="4"/>
      <c r="Z22" s="32">
        <f t="shared" ref="Z22:Z31" si="22">IF(T22=0,0,X22/T22)</f>
        <v>-0.9730249399368972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77499.010000000009</v>
      </c>
      <c r="U23" s="1"/>
      <c r="V23" s="5">
        <f t="shared" si="20"/>
        <v>0.20395879337594436</v>
      </c>
      <c r="W23" s="1"/>
      <c r="X23" s="1">
        <f t="shared" si="21"/>
        <v>-77499.010000000009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14871.7</v>
      </c>
      <c r="U24" s="2"/>
      <c r="V24" s="7">
        <f t="shared" si="20"/>
        <v>3.9138744965245768E-2</v>
      </c>
      <c r="W24" s="2"/>
      <c r="X24" s="6">
        <f t="shared" si="21"/>
        <v>-14871.7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5449.61</v>
      </c>
      <c r="U25" s="2"/>
      <c r="V25" s="7">
        <f t="shared" si="20"/>
        <v>1.4342065530507809E-2</v>
      </c>
      <c r="W25" s="2"/>
      <c r="X25" s="6">
        <f t="shared" si="21"/>
        <v>-5449.61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36209.82</v>
      </c>
      <c r="U26" s="2"/>
      <c r="V26" s="7">
        <f t="shared" si="20"/>
        <v>9.5295555331095669E-2</v>
      </c>
      <c r="W26" s="2"/>
      <c r="X26" s="6">
        <f t="shared" si="21"/>
        <v>-36209.82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552.04999999999995</v>
      </c>
      <c r="U27" s="2"/>
      <c r="V27" s="7">
        <f t="shared" si="20"/>
        <v>1.4528630995826923E-3</v>
      </c>
      <c r="W27" s="2"/>
      <c r="X27" s="6">
        <f t="shared" si="21"/>
        <v>-552.04999999999995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6215.55</v>
      </c>
      <c r="U28" s="2"/>
      <c r="V28" s="7">
        <f t="shared" si="20"/>
        <v>1.6357835773229242E-2</v>
      </c>
      <c r="W28" s="2"/>
      <c r="X28" s="6">
        <f t="shared" si="21"/>
        <v>-6215.55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7805.68</v>
      </c>
      <c r="U29" s="2"/>
      <c r="V29" s="7">
        <f t="shared" si="20"/>
        <v>2.0542676277783951E-2</v>
      </c>
      <c r="W29" s="2"/>
      <c r="X29" s="6">
        <f t="shared" si="21"/>
        <v>-7805.68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2660.64</v>
      </c>
      <c r="U30" s="2"/>
      <c r="V30" s="7">
        <f t="shared" si="20"/>
        <v>7.0021658858322516E-3</v>
      </c>
      <c r="W30" s="2"/>
      <c r="X30" s="6">
        <f t="shared" si="21"/>
        <v>-2660.64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3733.96</v>
      </c>
      <c r="U31" s="2"/>
      <c r="V31" s="7">
        <f t="shared" si="20"/>
        <v>9.8268865126669505E-3</v>
      </c>
      <c r="W31" s="2"/>
      <c r="X31" s="6">
        <f t="shared" si="21"/>
        <v>-3733.96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0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0</v>
      </c>
      <c r="M32" s="1"/>
      <c r="N32" s="5">
        <f t="shared" ref="N32:N38" si="26">IF(H32=0,0,L32/H32)</f>
        <v>0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208564.34</v>
      </c>
      <c r="U32" s="1"/>
      <c r="V32" s="5">
        <f t="shared" ref="V32:V38" si="28">IF(T$12=0,0,T32/T$12)</f>
        <v>0.54889128425834344</v>
      </c>
      <c r="W32" s="1"/>
      <c r="X32" s="1">
        <f t="shared" ref="X32:X38" si="29">+P32-T32</f>
        <v>-208564.34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60376.42</v>
      </c>
      <c r="U33" s="2"/>
      <c r="V33" s="7">
        <f t="shared" si="28"/>
        <v>0.15889624617861872</v>
      </c>
      <c r="W33" s="2"/>
      <c r="X33" s="6">
        <f t="shared" si="29"/>
        <v>-60376.42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54540.13</v>
      </c>
      <c r="U34" s="2"/>
      <c r="V34" s="7">
        <f t="shared" si="28"/>
        <v>0.14353653169720676</v>
      </c>
      <c r="W34" s="2"/>
      <c r="X34" s="6">
        <f t="shared" si="29"/>
        <v>-54540.13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47656.53</v>
      </c>
      <c r="U35" s="2"/>
      <c r="V35" s="7">
        <f t="shared" si="28"/>
        <v>0.12542054866616351</v>
      </c>
      <c r="W35" s="2"/>
      <c r="X35" s="6">
        <f t="shared" si="29"/>
        <v>-47656.53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1299.6300000000001</v>
      </c>
      <c r="U36" s="2"/>
      <c r="V36" s="7">
        <f t="shared" si="28"/>
        <v>3.4203142289840681E-3</v>
      </c>
      <c r="W36" s="2"/>
      <c r="X36" s="6">
        <f t="shared" si="29"/>
        <v>-1299.6300000000001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41286.410000000003</v>
      </c>
      <c r="U37" s="2"/>
      <c r="V37" s="7">
        <f t="shared" si="28"/>
        <v>0.10865592175209106</v>
      </c>
      <c r="W37" s="2"/>
      <c r="X37" s="6">
        <f t="shared" si="29"/>
        <v>-41286.410000000003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3405.22</v>
      </c>
      <c r="U38" s="2"/>
      <c r="V38" s="7">
        <f t="shared" si="28"/>
        <v>8.9617217352793693E-3</v>
      </c>
      <c r="W38" s="2"/>
      <c r="X38" s="6">
        <f t="shared" si="29"/>
        <v>-3405.22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462.48</v>
      </c>
      <c r="U39" s="1"/>
      <c r="V39" s="5">
        <f t="shared" ref="V39:V56" si="36">IF(T$12=0,0,T39/T$12)</f>
        <v>1.2171363577483988E-3</v>
      </c>
      <c r="W39" s="1"/>
      <c r="X39" s="1">
        <f t="shared" ref="X39:X56" si="37">+P39-T39</f>
        <v>-462.48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462.48</v>
      </c>
      <c r="U40" s="2"/>
      <c r="V40" s="7">
        <f t="shared" si="36"/>
        <v>1.2171363577483988E-3</v>
      </c>
      <c r="W40" s="2"/>
      <c r="X40" s="6">
        <f t="shared" si="37"/>
        <v>-462.48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-0.24</v>
      </c>
      <c r="U41" s="1"/>
      <c r="V41" s="5">
        <f t="shared" si="36"/>
        <v>-6.3162239634063244E-7</v>
      </c>
      <c r="W41" s="1"/>
      <c r="X41" s="1">
        <f t="shared" si="37"/>
        <v>0.24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-0.24</v>
      </c>
      <c r="U42" s="2"/>
      <c r="V42" s="7">
        <f t="shared" si="36"/>
        <v>-6.3162239634063244E-7</v>
      </c>
      <c r="W42" s="2"/>
      <c r="X42" s="6">
        <f t="shared" si="37"/>
        <v>0.24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5691.38</v>
      </c>
      <c r="U43" s="1"/>
      <c r="V43" s="5">
        <f t="shared" si="36"/>
        <v>1.4978346142021455E-2</v>
      </c>
      <c r="W43" s="1"/>
      <c r="X43" s="1">
        <f t="shared" si="37"/>
        <v>-5691.38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5691.38</v>
      </c>
      <c r="U44" s="2"/>
      <c r="V44" s="7">
        <f t="shared" si="36"/>
        <v>1.4978346142021455E-2</v>
      </c>
      <c r="W44" s="2"/>
      <c r="X44" s="6">
        <f t="shared" si="37"/>
        <v>-5691.38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577.36</v>
      </c>
      <c r="E45" s="1"/>
      <c r="F45" s="5">
        <f t="shared" si="31"/>
        <v>0</v>
      </c>
      <c r="G45" s="1"/>
      <c r="H45" s="1">
        <f>SUM(OSRRefH22_5x_0)</f>
        <v>689.04</v>
      </c>
      <c r="I45" s="1"/>
      <c r="J45" s="5">
        <f t="shared" si="32"/>
        <v>0</v>
      </c>
      <c r="K45" s="1"/>
      <c r="L45" s="1">
        <f t="shared" si="33"/>
        <v>-111.67999999999995</v>
      </c>
      <c r="M45" s="1"/>
      <c r="N45" s="5">
        <f t="shared" si="34"/>
        <v>-0.16208057587367924</v>
      </c>
      <c r="O45" s="12"/>
      <c r="P45" s="1">
        <f>SUM(OSRRefP22_5x_0)</f>
        <v>6689.95</v>
      </c>
      <c r="Q45" s="1"/>
      <c r="R45" s="5">
        <f t="shared" si="35"/>
        <v>0</v>
      </c>
      <c r="S45" s="1"/>
      <c r="T45" s="1">
        <f>SUM(OSRRefT22_5x_0)</f>
        <v>4688.9399999999996</v>
      </c>
      <c r="U45" s="1"/>
      <c r="V45" s="5">
        <f t="shared" si="36"/>
        <v>1.2340164662906021E-2</v>
      </c>
      <c r="W45" s="1"/>
      <c r="X45" s="1">
        <f t="shared" si="37"/>
        <v>2001.0100000000002</v>
      </c>
      <c r="Y45" s="1"/>
      <c r="Z45" s="5">
        <f t="shared" si="38"/>
        <v>0.42675103541525383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577.36</v>
      </c>
      <c r="E46" s="2"/>
      <c r="F46" s="7">
        <f t="shared" si="31"/>
        <v>0</v>
      </c>
      <c r="G46" s="2"/>
      <c r="H46" s="6">
        <v>689.04</v>
      </c>
      <c r="I46" s="2"/>
      <c r="J46" s="7">
        <f t="shared" si="32"/>
        <v>0</v>
      </c>
      <c r="K46" s="2"/>
      <c r="L46" s="6">
        <f t="shared" si="33"/>
        <v>-111.67999999999995</v>
      </c>
      <c r="M46" s="2"/>
      <c r="N46" s="7">
        <f t="shared" si="34"/>
        <v>-0.16208057587367924</v>
      </c>
      <c r="O46" s="10"/>
      <c r="P46" s="6">
        <v>6689.95</v>
      </c>
      <c r="Q46" s="2"/>
      <c r="R46" s="7">
        <f t="shared" si="35"/>
        <v>0</v>
      </c>
      <c r="S46" s="2"/>
      <c r="T46" s="6">
        <v>4688.9399999999996</v>
      </c>
      <c r="U46" s="2"/>
      <c r="V46" s="7">
        <f t="shared" si="36"/>
        <v>1.2340164662906021E-2</v>
      </c>
      <c r="W46" s="2"/>
      <c r="X46" s="6">
        <f t="shared" si="37"/>
        <v>2001.0100000000002</v>
      </c>
      <c r="Y46" s="2"/>
      <c r="Z46" s="7">
        <f t="shared" si="38"/>
        <v>0.42675103541525383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60</v>
      </c>
      <c r="U47" s="1"/>
      <c r="V47" s="5">
        <f t="shared" si="36"/>
        <v>1.5790559908515812E-4</v>
      </c>
      <c r="W47" s="1"/>
      <c r="X47" s="1">
        <f t="shared" si="37"/>
        <v>-60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60</v>
      </c>
      <c r="U48" s="2"/>
      <c r="V48" s="7">
        <f t="shared" si="36"/>
        <v>1.5790559908515812E-4</v>
      </c>
      <c r="W48" s="2"/>
      <c r="X48" s="6">
        <f t="shared" si="37"/>
        <v>-60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16.239999999999998</v>
      </c>
      <c r="I49" s="1"/>
      <c r="J49" s="5">
        <f t="shared" si="32"/>
        <v>0</v>
      </c>
      <c r="K49" s="1"/>
      <c r="L49" s="1">
        <f t="shared" si="33"/>
        <v>-16.239999999999998</v>
      </c>
      <c r="M49" s="1"/>
      <c r="N49" s="5">
        <f t="shared" si="34"/>
        <v>-1</v>
      </c>
      <c r="O49" s="12"/>
      <c r="P49" s="1">
        <f>SUM(OSRRefP22_7x_0)</f>
        <v>16.239999999999998</v>
      </c>
      <c r="Q49" s="1"/>
      <c r="R49" s="5">
        <f t="shared" si="35"/>
        <v>0</v>
      </c>
      <c r="S49" s="1"/>
      <c r="T49" s="1">
        <f>SUM(OSRRefT22_7x_0)</f>
        <v>837.76</v>
      </c>
      <c r="U49" s="1"/>
      <c r="V49" s="5">
        <f t="shared" si="36"/>
        <v>2.204783244826368E-3</v>
      </c>
      <c r="W49" s="1"/>
      <c r="X49" s="1">
        <f t="shared" si="37"/>
        <v>-821.52</v>
      </c>
      <c r="Y49" s="1"/>
      <c r="Z49" s="5">
        <f t="shared" si="38"/>
        <v>-0.98061497326203206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16.239999999999998</v>
      </c>
      <c r="I50" s="2"/>
      <c r="J50" s="7">
        <f t="shared" si="32"/>
        <v>0</v>
      </c>
      <c r="K50" s="2"/>
      <c r="L50" s="6">
        <f t="shared" si="33"/>
        <v>-16.239999999999998</v>
      </c>
      <c r="M50" s="2"/>
      <c r="N50" s="7">
        <f t="shared" si="34"/>
        <v>-1</v>
      </c>
      <c r="O50" s="10"/>
      <c r="P50" s="6">
        <v>16.239999999999998</v>
      </c>
      <c r="Q50" s="2"/>
      <c r="R50" s="7">
        <f t="shared" si="35"/>
        <v>0</v>
      </c>
      <c r="S50" s="2"/>
      <c r="T50" s="6">
        <v>837.76</v>
      </c>
      <c r="U50" s="2"/>
      <c r="V50" s="7">
        <f t="shared" si="36"/>
        <v>2.204783244826368E-3</v>
      </c>
      <c r="W50" s="2"/>
      <c r="X50" s="6">
        <f t="shared" si="37"/>
        <v>-821.52</v>
      </c>
      <c r="Y50" s="2"/>
      <c r="Z50" s="7">
        <f t="shared" si="38"/>
        <v>-0.98061497326203206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-400</v>
      </c>
      <c r="I51" s="1"/>
      <c r="J51" s="5">
        <f t="shared" si="32"/>
        <v>0</v>
      </c>
      <c r="K51" s="1"/>
      <c r="L51" s="1">
        <f t="shared" si="33"/>
        <v>400</v>
      </c>
      <c r="M51" s="1"/>
      <c r="N51" s="5">
        <f t="shared" si="34"/>
        <v>-1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2498.7399999999998</v>
      </c>
      <c r="U51" s="1"/>
      <c r="V51" s="5">
        <f t="shared" si="36"/>
        <v>6.5760839443007998E-3</v>
      </c>
      <c r="W51" s="1"/>
      <c r="X51" s="1">
        <f t="shared" si="37"/>
        <v>-2498.7399999999998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>
        <v>-400</v>
      </c>
      <c r="I52" s="2"/>
      <c r="J52" s="7">
        <f t="shared" si="32"/>
        <v>0</v>
      </c>
      <c r="K52" s="2"/>
      <c r="L52" s="6">
        <f t="shared" si="33"/>
        <v>400</v>
      </c>
      <c r="M52" s="2"/>
      <c r="N52" s="7">
        <f t="shared" si="34"/>
        <v>-1</v>
      </c>
      <c r="O52" s="10"/>
      <c r="P52" s="6"/>
      <c r="Q52" s="2"/>
      <c r="R52" s="7">
        <f t="shared" si="35"/>
        <v>0</v>
      </c>
      <c r="S52" s="2"/>
      <c r="T52" s="6">
        <v>2498.7399999999998</v>
      </c>
      <c r="U52" s="2"/>
      <c r="V52" s="7">
        <f t="shared" si="36"/>
        <v>6.5760839443007998E-3</v>
      </c>
      <c r="W52" s="2"/>
      <c r="X52" s="6">
        <f t="shared" si="37"/>
        <v>-2498.7399999999998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1"/>
        <v>0</v>
      </c>
      <c r="G53" s="1"/>
      <c r="H53" s="1">
        <f>SUM(OSRRefH22_9x_0)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SUM(OSRRefP22_9x_0)</f>
        <v>1677.13</v>
      </c>
      <c r="Q53" s="1"/>
      <c r="R53" s="5">
        <f t="shared" si="35"/>
        <v>0</v>
      </c>
      <c r="S53" s="1"/>
      <c r="T53" s="1">
        <f>SUM(OSRRefT22_9x_0)</f>
        <v>5456.32</v>
      </c>
      <c r="U53" s="1"/>
      <c r="V53" s="5">
        <f t="shared" si="36"/>
        <v>1.4359724640005499E-2</v>
      </c>
      <c r="W53" s="1"/>
      <c r="X53" s="1">
        <f t="shared" si="37"/>
        <v>-3779.1899999999996</v>
      </c>
      <c r="Y53" s="1"/>
      <c r="Z53" s="5">
        <f t="shared" si="38"/>
        <v>-0.69262616562078472</v>
      </c>
    </row>
    <row r="54" spans="1:26" s="23" customFormat="1" hidden="1" outlineLevel="2" x14ac:dyDescent="0.25">
      <c r="A54" s="27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0</v>
      </c>
      <c r="U54" s="2"/>
      <c r="V54" s="7">
        <f t="shared" si="36"/>
        <v>0</v>
      </c>
      <c r="W54" s="2"/>
      <c r="X54" s="6">
        <f t="shared" si="37"/>
        <v>0</v>
      </c>
      <c r="Y54" s="2"/>
      <c r="Z54" s="7">
        <f t="shared" si="38"/>
        <v>0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339</v>
      </c>
      <c r="Q55" s="2"/>
      <c r="R55" s="7">
        <f t="shared" si="35"/>
        <v>0</v>
      </c>
      <c r="S55" s="2"/>
      <c r="T55" s="6">
        <v>1131.8800000000001</v>
      </c>
      <c r="U55" s="2"/>
      <c r="V55" s="7">
        <f t="shared" si="36"/>
        <v>2.9788364915418132E-3</v>
      </c>
      <c r="W55" s="2"/>
      <c r="X55" s="6">
        <f t="shared" si="37"/>
        <v>-792.88000000000011</v>
      </c>
      <c r="Y55" s="2"/>
      <c r="Z55" s="7">
        <f t="shared" si="38"/>
        <v>-0.70049828603738917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1338.13</v>
      </c>
      <c r="Q56" s="2"/>
      <c r="R56" s="7">
        <f t="shared" si="35"/>
        <v>0</v>
      </c>
      <c r="S56" s="2"/>
      <c r="T56" s="6">
        <v>4324.4399999999996</v>
      </c>
      <c r="U56" s="2"/>
      <c r="V56" s="7">
        <f t="shared" si="36"/>
        <v>1.1380888148463686E-2</v>
      </c>
      <c r="W56" s="2"/>
      <c r="X56" s="6">
        <f t="shared" si="37"/>
        <v>-2986.3099999999995</v>
      </c>
      <c r="Y56" s="2"/>
      <c r="Z56" s="7">
        <f t="shared" si="38"/>
        <v>-0.69056571486712726</v>
      </c>
    </row>
    <row r="57" spans="1:26" s="26" customFormat="1" outlineLevel="1" collapsed="1" x14ac:dyDescent="0.25">
      <c r="A57" s="25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60" si="39">IF(D$12=0,0,D57/D$12)</f>
        <v>0</v>
      </c>
      <c r="G57" s="1"/>
      <c r="H57" s="1">
        <f>SUM(OSRRefH22_10x_0)</f>
        <v>0</v>
      </c>
      <c r="I57" s="1"/>
      <c r="J57" s="5">
        <f t="shared" ref="J57:J60" si="40">IF(H$12=0,0,H57/H$12)</f>
        <v>0</v>
      </c>
      <c r="K57" s="1"/>
      <c r="L57" s="1">
        <f t="shared" ref="L57:L60" si="41">+D57-H57</f>
        <v>0</v>
      </c>
      <c r="M57" s="1"/>
      <c r="N57" s="5">
        <f t="shared" ref="N57:N60" si="42">IF(H57=0,0,L57/H57)</f>
        <v>0</v>
      </c>
      <c r="O57" s="12"/>
      <c r="P57" s="1">
        <f>SUM(OSRRefP22_10x_0)</f>
        <v>320.58</v>
      </c>
      <c r="Q57" s="1"/>
      <c r="R57" s="5">
        <f t="shared" ref="R57:R60" si="43">IF(P$12=0,0,P57/P$12)</f>
        <v>0</v>
      </c>
      <c r="S57" s="1"/>
      <c r="T57" s="1">
        <f>SUM(OSRRefT22_10x_0)</f>
        <v>19714.809999999998</v>
      </c>
      <c r="U57" s="1"/>
      <c r="V57" s="5">
        <f t="shared" ref="V57:V60" si="44">IF(T$12=0,0,T57/T$12)</f>
        <v>5.18846480650011E-2</v>
      </c>
      <c r="W57" s="1"/>
      <c r="X57" s="1">
        <f t="shared" ref="X57:X60" si="45">+P57-T57</f>
        <v>-19394.229999999996</v>
      </c>
      <c r="Y57" s="1"/>
      <c r="Z57" s="5">
        <f t="shared" ref="Z57:Z60" si="46">IF(T57=0,0,X57/T57)</f>
        <v>-0.98373912809710051</v>
      </c>
    </row>
    <row r="58" spans="1:26" s="23" customFormat="1" hidden="1" outlineLevel="2" x14ac:dyDescent="0.25">
      <c r="A58" s="27"/>
      <c r="B58" s="10" t="str">
        <f>CONCATENATE("          ", "6283", " - ", "PLANT SERVICE")</f>
        <v xml:space="preserve">          6283 - PLANT SERVICE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566.54999999999995</v>
      </c>
      <c r="U58" s="2"/>
      <c r="V58" s="7">
        <f t="shared" si="44"/>
        <v>1.4910236193616056E-3</v>
      </c>
      <c r="W58" s="2"/>
      <c r="X58" s="6">
        <f t="shared" si="45"/>
        <v>-566.54999999999995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"6285", " - ", "JANITORIAL SERVICES")</f>
        <v xml:space="preserve">          6285 - JANITORIAL SERVICES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517.04999999999995</v>
      </c>
      <c r="U59" s="2"/>
      <c r="V59" s="7">
        <f t="shared" si="44"/>
        <v>1.3607515001163501E-3</v>
      </c>
      <c r="W59" s="2"/>
      <c r="X59" s="6">
        <f t="shared" si="45"/>
        <v>-517.04999999999995</v>
      </c>
      <c r="Y59" s="2"/>
      <c r="Z59" s="7">
        <f t="shared" si="46"/>
        <v>-1</v>
      </c>
    </row>
    <row r="60" spans="1:26" s="23" customFormat="1" hidden="1" outlineLevel="2" x14ac:dyDescent="0.25">
      <c r="A60" s="27"/>
      <c r="B60" s="10" t="str">
        <f>CONCATENATE("          ", "6286", " - ", "LAUNDRY EXPENSE")</f>
        <v xml:space="preserve">          6286 - LAUNDRY EXPENSE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>
        <v>320.58</v>
      </c>
      <c r="Q60" s="2"/>
      <c r="R60" s="7">
        <f t="shared" si="43"/>
        <v>0</v>
      </c>
      <c r="S60" s="2"/>
      <c r="T60" s="6">
        <v>18631.21</v>
      </c>
      <c r="U60" s="2"/>
      <c r="V60" s="7">
        <f t="shared" si="44"/>
        <v>4.9032872945523144E-2</v>
      </c>
      <c r="W60" s="2"/>
      <c r="X60" s="6">
        <f t="shared" si="45"/>
        <v>-18310.629999999997</v>
      </c>
      <c r="Y60" s="2"/>
      <c r="Z60" s="7">
        <f t="shared" si="46"/>
        <v>-0.98279338808375827</v>
      </c>
    </row>
    <row r="61" spans="1:26" s="26" customFormat="1" outlineLevel="1" collapsed="1" x14ac:dyDescent="0.25">
      <c r="A61" s="25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SUM(OSRRefD22_11x_0)</f>
        <v>0</v>
      </c>
      <c r="E61" s="1"/>
      <c r="F61" s="5">
        <f t="shared" ref="F61:F67" si="47">IF(D$12=0,0,D61/D$12)</f>
        <v>0</v>
      </c>
      <c r="G61" s="1"/>
      <c r="H61" s="1">
        <f>SUM(OSRRefH22_11x_0)</f>
        <v>0</v>
      </c>
      <c r="I61" s="1"/>
      <c r="J61" s="5">
        <f t="shared" ref="J61:J67" si="48">IF(H$12=0,0,H61/H$12)</f>
        <v>0</v>
      </c>
      <c r="K61" s="1"/>
      <c r="L61" s="1">
        <f t="shared" ref="L61:L67" si="49">+D61-H61</f>
        <v>0</v>
      </c>
      <c r="M61" s="1"/>
      <c r="N61" s="5">
        <f t="shared" ref="N61:N67" si="50">IF(H61=0,0,L61/H61)</f>
        <v>0</v>
      </c>
      <c r="O61" s="12"/>
      <c r="P61" s="1">
        <f>SUM(OSRRefP22_11x_0)</f>
        <v>0</v>
      </c>
      <c r="Q61" s="1"/>
      <c r="R61" s="5">
        <f t="shared" ref="R61:R67" si="51">IF(P$12=0,0,P61/P$12)</f>
        <v>0</v>
      </c>
      <c r="S61" s="1"/>
      <c r="T61" s="1">
        <f>SUM(OSRRefT22_11x_0)</f>
        <v>12484.019999999999</v>
      </c>
      <c r="U61" s="1"/>
      <c r="V61" s="5">
        <f t="shared" ref="V61:V67" si="52">IF(T$12=0,0,T61/T$12)</f>
        <v>3.2854944284851591E-2</v>
      </c>
      <c r="W61" s="1"/>
      <c r="X61" s="1">
        <f t="shared" ref="X61:X67" si="53">+P61-T61</f>
        <v>-12484.019999999999</v>
      </c>
      <c r="Y61" s="1"/>
      <c r="Z61" s="5">
        <f t="shared" ref="Z61:Z67" si="54">IF(T61=0,0,X61/T61)</f>
        <v>-1</v>
      </c>
    </row>
    <row r="62" spans="1:26" s="23" customFormat="1" hidden="1" outlineLevel="2" x14ac:dyDescent="0.25">
      <c r="A62" s="27"/>
      <c r="B62" s="10" t="str">
        <f>CONCATENATE("          ", "6234", " - ", "EXPENDABLE SUPPLIES &amp; EQUIPMEN")</f>
        <v xml:space="preserve">          6234 - EXPENDABLE SUPPLIES &amp; EQUIPMEN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1025.0999999999999</v>
      </c>
      <c r="U62" s="2"/>
      <c r="V62" s="7">
        <f t="shared" si="52"/>
        <v>2.6978171603699265E-3</v>
      </c>
      <c r="W62" s="2"/>
      <c r="X62" s="6">
        <f t="shared" si="53"/>
        <v>-1025.0999999999999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"6239", " - ", "KITCHEN SUPPLIES")</f>
        <v xml:space="preserve">          6239 - KITCHEN SUPPLIES</v>
      </c>
      <c r="C63" s="10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/>
      <c r="Q63" s="2"/>
      <c r="R63" s="7">
        <f t="shared" si="51"/>
        <v>0</v>
      </c>
      <c r="S63" s="2"/>
      <c r="T63" s="6">
        <v>3652.68</v>
      </c>
      <c r="U63" s="2"/>
      <c r="V63" s="7">
        <f t="shared" si="52"/>
        <v>9.6129770611062555E-3</v>
      </c>
      <c r="W63" s="2"/>
      <c r="X63" s="6">
        <f t="shared" si="53"/>
        <v>-3652.68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"6241", " - ", "OFFICE EXPENSE")</f>
        <v xml:space="preserve">          6241 - OFFICE EXPENSE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786.78</v>
      </c>
      <c r="U64" s="2"/>
      <c r="V64" s="7">
        <f t="shared" si="52"/>
        <v>2.0706161208036786E-3</v>
      </c>
      <c r="W64" s="2"/>
      <c r="X64" s="6">
        <f t="shared" si="53"/>
        <v>-786.78</v>
      </c>
      <c r="Y64" s="2"/>
      <c r="Z64" s="7">
        <f t="shared" si="54"/>
        <v>-1</v>
      </c>
    </row>
    <row r="65" spans="1:26" s="23" customFormat="1" hidden="1" outlineLevel="2" x14ac:dyDescent="0.25">
      <c r="A65" s="27"/>
      <c r="B65" s="10" t="str">
        <f>CONCATENATE("          ", "6243", " - ", "PAPER SUPPLIES")</f>
        <v xml:space="preserve">          6243 - PAPER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5217.22</v>
      </c>
      <c r="U65" s="2"/>
      <c r="V65" s="7">
        <f t="shared" si="52"/>
        <v>1.3730470827651145E-2</v>
      </c>
      <c r="W65" s="2"/>
      <c r="X65" s="6">
        <f t="shared" si="53"/>
        <v>-5217.22</v>
      </c>
      <c r="Y65" s="2"/>
      <c r="Z65" s="7">
        <f t="shared" si="54"/>
        <v>-1</v>
      </c>
    </row>
    <row r="66" spans="1:26" s="23" customFormat="1" hidden="1" outlineLevel="2" x14ac:dyDescent="0.25">
      <c r="A66" s="27"/>
      <c r="B66" s="10" t="str">
        <f>CONCATENATE("          ", "6247", " - ", "STORE SUPPLIES")</f>
        <v xml:space="preserve">          6247 - STORE SUPPLIES</v>
      </c>
      <c r="C66" s="10"/>
      <c r="D66" s="6"/>
      <c r="E66" s="2"/>
      <c r="F66" s="7">
        <f t="shared" si="47"/>
        <v>0</v>
      </c>
      <c r="G66" s="2"/>
      <c r="H66" s="6"/>
      <c r="I66" s="2"/>
      <c r="J66" s="7">
        <f t="shared" si="48"/>
        <v>0</v>
      </c>
      <c r="K66" s="2"/>
      <c r="L66" s="6">
        <f t="shared" si="49"/>
        <v>0</v>
      </c>
      <c r="M66" s="2"/>
      <c r="N66" s="7">
        <f t="shared" si="50"/>
        <v>0</v>
      </c>
      <c r="O66" s="10"/>
      <c r="P66" s="6"/>
      <c r="Q66" s="2"/>
      <c r="R66" s="7">
        <f t="shared" si="51"/>
        <v>0</v>
      </c>
      <c r="S66" s="2"/>
      <c r="T66" s="6">
        <v>509.58</v>
      </c>
      <c r="U66" s="2"/>
      <c r="V66" s="7">
        <f t="shared" si="52"/>
        <v>1.3410922530302479E-3</v>
      </c>
      <c r="W66" s="2"/>
      <c r="X66" s="6">
        <f t="shared" si="53"/>
        <v>-509.58</v>
      </c>
      <c r="Y66" s="2"/>
      <c r="Z66" s="7">
        <f t="shared" si="54"/>
        <v>-1</v>
      </c>
    </row>
    <row r="67" spans="1:26" s="23" customFormat="1" hidden="1" outlineLevel="2" x14ac:dyDescent="0.25">
      <c r="A67" s="27"/>
      <c r="B67" s="10" t="str">
        <f>CONCATENATE("          ", "6248", " - ", "UNIFORMS")</f>
        <v xml:space="preserve">          6248 - UNIFORMS</v>
      </c>
      <c r="C67" s="10"/>
      <c r="D67" s="6"/>
      <c r="E67" s="2"/>
      <c r="F67" s="7">
        <f t="shared" si="47"/>
        <v>0</v>
      </c>
      <c r="G67" s="2"/>
      <c r="H67" s="6"/>
      <c r="I67" s="2"/>
      <c r="J67" s="7">
        <f t="shared" si="48"/>
        <v>0</v>
      </c>
      <c r="K67" s="2"/>
      <c r="L67" s="6">
        <f t="shared" si="49"/>
        <v>0</v>
      </c>
      <c r="M67" s="2"/>
      <c r="N67" s="7">
        <f t="shared" si="50"/>
        <v>0</v>
      </c>
      <c r="O67" s="10"/>
      <c r="P67" s="6"/>
      <c r="Q67" s="2"/>
      <c r="R67" s="7">
        <f t="shared" si="51"/>
        <v>0</v>
      </c>
      <c r="S67" s="2"/>
      <c r="T67" s="6">
        <v>1292.6600000000001</v>
      </c>
      <c r="U67" s="2"/>
      <c r="V67" s="7">
        <f t="shared" si="52"/>
        <v>3.4019708618903419E-3</v>
      </c>
      <c r="W67" s="2"/>
      <c r="X67" s="6">
        <f t="shared" si="53"/>
        <v>-1292.6600000000001</v>
      </c>
      <c r="Y67" s="2"/>
      <c r="Z67" s="7">
        <f t="shared" si="54"/>
        <v>-1</v>
      </c>
    </row>
    <row r="68" spans="1:26" s="26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SUM(OSRRefD22_12x_0)</f>
        <v>36</v>
      </c>
      <c r="E68" s="1"/>
      <c r="F68" s="5">
        <f t="shared" ref="F68:F71" si="55">IF(D$12=0,0,D68/D$12)</f>
        <v>0</v>
      </c>
      <c r="G68" s="1"/>
      <c r="H68" s="1">
        <f>SUM(OSRRefH22_12x_0)</f>
        <v>74</v>
      </c>
      <c r="I68" s="1"/>
      <c r="J68" s="5">
        <f t="shared" ref="J68:J71" si="56">IF(H$12=0,0,H68/H$12)</f>
        <v>0</v>
      </c>
      <c r="K68" s="1"/>
      <c r="L68" s="1">
        <f t="shared" ref="L68:L71" si="57">+D68-H68</f>
        <v>-38</v>
      </c>
      <c r="M68" s="1"/>
      <c r="N68" s="5">
        <f t="shared" ref="N68:N71" si="58">IF(H68=0,0,L68/H68)</f>
        <v>-0.51351351351351349</v>
      </c>
      <c r="O68" s="12"/>
      <c r="P68" s="1">
        <f>SUM(OSRRefP22_12x_0)</f>
        <v>473.03</v>
      </c>
      <c r="Q68" s="1"/>
      <c r="R68" s="5">
        <f t="shared" ref="R68:R71" si="59">IF(P$12=0,0,P68/P$12)</f>
        <v>0</v>
      </c>
      <c r="S68" s="1"/>
      <c r="T68" s="1">
        <f>SUM(OSRRefT22_12x_0)</f>
        <v>2067.98</v>
      </c>
      <c r="U68" s="1"/>
      <c r="V68" s="5">
        <f t="shared" ref="V68:V71" si="60">IF(T$12=0,0,T68/T$12)</f>
        <v>5.4424270132687547E-3</v>
      </c>
      <c r="W68" s="1"/>
      <c r="X68" s="1">
        <f t="shared" ref="X68:X71" si="61">+P68-T68</f>
        <v>-1594.95</v>
      </c>
      <c r="Y68" s="1"/>
      <c r="Z68" s="5">
        <f t="shared" ref="Z68:Z71" si="62">IF(T68=0,0,X68/T68)</f>
        <v>-0.77125987678797669</v>
      </c>
    </row>
    <row r="69" spans="1:26" s="23" customFormat="1" hidden="1" outlineLevel="2" x14ac:dyDescent="0.25">
      <c r="A69" s="27"/>
      <c r="B69" s="10" t="str">
        <f>CONCATENATE("          ", "6309", " - ", "TELEPHONE")</f>
        <v xml:space="preserve">          6309 - TELEPHONE</v>
      </c>
      <c r="C69" s="10"/>
      <c r="D69" s="6">
        <v>36</v>
      </c>
      <c r="E69" s="2"/>
      <c r="F69" s="7">
        <f t="shared" si="55"/>
        <v>0</v>
      </c>
      <c r="G69" s="2"/>
      <c r="H69" s="6">
        <v>74</v>
      </c>
      <c r="I69" s="2"/>
      <c r="J69" s="7">
        <f t="shared" si="56"/>
        <v>0</v>
      </c>
      <c r="K69" s="2"/>
      <c r="L69" s="6">
        <f t="shared" si="57"/>
        <v>-38</v>
      </c>
      <c r="M69" s="2"/>
      <c r="N69" s="7">
        <f t="shared" si="58"/>
        <v>-0.51351351351351349</v>
      </c>
      <c r="O69" s="10"/>
      <c r="P69" s="6">
        <v>473.03</v>
      </c>
      <c r="Q69" s="2"/>
      <c r="R69" s="7">
        <f t="shared" si="59"/>
        <v>0</v>
      </c>
      <c r="S69" s="2"/>
      <c r="T69" s="6">
        <v>2067.98</v>
      </c>
      <c r="U69" s="2"/>
      <c r="V69" s="7">
        <f t="shared" si="60"/>
        <v>5.4424270132687547E-3</v>
      </c>
      <c r="W69" s="2"/>
      <c r="X69" s="6">
        <f t="shared" si="61"/>
        <v>-1594.95</v>
      </c>
      <c r="Y69" s="2"/>
      <c r="Z69" s="7">
        <f t="shared" si="62"/>
        <v>-0.77125987678797669</v>
      </c>
    </row>
    <row r="70" spans="1:26" s="26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SUM(OSRRefD22_13x_0)</f>
        <v>0</v>
      </c>
      <c r="E70" s="1"/>
      <c r="F70" s="5">
        <f t="shared" si="55"/>
        <v>0</v>
      </c>
      <c r="G70" s="1"/>
      <c r="H70" s="1">
        <f>SUM(OSRRefH22_13x_0)</f>
        <v>0</v>
      </c>
      <c r="I70" s="1"/>
      <c r="J70" s="5">
        <f t="shared" si="56"/>
        <v>0</v>
      </c>
      <c r="K70" s="1"/>
      <c r="L70" s="1">
        <f t="shared" si="57"/>
        <v>0</v>
      </c>
      <c r="M70" s="1"/>
      <c r="N70" s="5">
        <f t="shared" si="58"/>
        <v>0</v>
      </c>
      <c r="O70" s="12"/>
      <c r="P70" s="1">
        <f>SUM(OSRRefP22_13x_0)</f>
        <v>0</v>
      </c>
      <c r="Q70" s="1"/>
      <c r="R70" s="5">
        <f t="shared" si="59"/>
        <v>0</v>
      </c>
      <c r="S70" s="1"/>
      <c r="T70" s="1">
        <f>SUM(OSRRefT22_13x_0)</f>
        <v>175</v>
      </c>
      <c r="U70" s="1"/>
      <c r="V70" s="5">
        <f t="shared" si="60"/>
        <v>4.605579973317112E-4</v>
      </c>
      <c r="W70" s="1"/>
      <c r="X70" s="1">
        <f t="shared" si="61"/>
        <v>-175</v>
      </c>
      <c r="Y70" s="1"/>
      <c r="Z70" s="5">
        <f t="shared" si="62"/>
        <v>-1</v>
      </c>
    </row>
    <row r="71" spans="1:26" s="23" customFormat="1" hidden="1" outlineLevel="2" x14ac:dyDescent="0.25">
      <c r="A71" s="27"/>
      <c r="B71" s="10" t="str">
        <f>CONCATENATE("          ", "6376", " - ", "TRAINING")</f>
        <v xml:space="preserve">          6376 - TRAINING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175</v>
      </c>
      <c r="U71" s="2"/>
      <c r="V71" s="7">
        <f t="shared" si="60"/>
        <v>4.605579973317112E-4</v>
      </c>
      <c r="W71" s="2"/>
      <c r="X71" s="6">
        <f t="shared" si="61"/>
        <v>-175</v>
      </c>
      <c r="Y71" s="2"/>
      <c r="Z71" s="7">
        <f t="shared" si="62"/>
        <v>-1</v>
      </c>
    </row>
    <row r="72" spans="1:26" s="57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4" customFormat="1" x14ac:dyDescent="0.25">
      <c r="A73" s="11"/>
      <c r="B73" s="29" t="s">
        <v>292</v>
      </c>
      <c r="C73" s="11"/>
      <c r="D73" s="4">
        <f>SUM(0)</f>
        <v>0</v>
      </c>
      <c r="E73" s="4"/>
      <c r="F73" s="13">
        <f>IF(D$12=0,0,D73/D$12)</f>
        <v>0</v>
      </c>
      <c r="G73" s="4"/>
      <c r="H73" s="4">
        <f>SUM(0)</f>
        <v>0</v>
      </c>
      <c r="I73" s="4"/>
      <c r="J73" s="13">
        <f>IF(H$12=0,0,H73/H$12)</f>
        <v>0</v>
      </c>
      <c r="K73" s="4"/>
      <c r="L73" s="4">
        <f>+D73-H73</f>
        <v>0</v>
      </c>
      <c r="M73" s="4"/>
      <c r="N73" s="13">
        <f>IF(H73=0,0,L73/H73)</f>
        <v>0</v>
      </c>
      <c r="O73" s="11"/>
      <c r="P73" s="4">
        <f>SUM(0)</f>
        <v>0</v>
      </c>
      <c r="Q73" s="4"/>
      <c r="R73" s="13">
        <f>IF(P$12=0,0,P73/P$12)</f>
        <v>0</v>
      </c>
      <c r="S73" s="4"/>
      <c r="T73" s="4">
        <f>SUM(0)</f>
        <v>0</v>
      </c>
      <c r="U73" s="4"/>
      <c r="V73" s="13">
        <f>IF(T$12=0,0,T73/T$12)</f>
        <v>0</v>
      </c>
      <c r="W73" s="4"/>
      <c r="X73" s="4">
        <f>+P73-T73</f>
        <v>0</v>
      </c>
      <c r="Y73" s="4"/>
      <c r="Z73" s="13">
        <f>IF(T73=0,0,X73/T73)</f>
        <v>0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8" t="s">
        <v>276</v>
      </c>
      <c r="C75" s="28"/>
      <c r="D75" s="20">
        <f>+D20-D22+D73</f>
        <v>-613.36</v>
      </c>
      <c r="E75" s="14"/>
      <c r="F75" s="21">
        <f>IF(D$12=0,0,D75/D$12)</f>
        <v>0</v>
      </c>
      <c r="G75" s="14"/>
      <c r="H75" s="20">
        <f>+H20-H22+H73</f>
        <v>-379.28</v>
      </c>
      <c r="I75" s="14"/>
      <c r="J75" s="21">
        <f>IF(H$12=0,0,H75/H$12)</f>
        <v>0</v>
      </c>
      <c r="K75" s="15"/>
      <c r="L75" s="20">
        <f>+D75-H75</f>
        <v>-234.08000000000004</v>
      </c>
      <c r="M75" s="15"/>
      <c r="N75" s="21">
        <f>IF(H75=0,0,L75/H75)</f>
        <v>0.6171693735498841</v>
      </c>
      <c r="O75" s="29"/>
      <c r="P75" s="20">
        <f>+P20-P22+P73</f>
        <v>-9176.93</v>
      </c>
      <c r="Q75" s="14"/>
      <c r="R75" s="21">
        <f>IF(P$12=0,0,P75/P$12)</f>
        <v>0</v>
      </c>
      <c r="S75" s="14"/>
      <c r="T75" s="20">
        <f>+T20-T22+T73</f>
        <v>-162558.16999999993</v>
      </c>
      <c r="U75" s="14"/>
      <c r="V75" s="21">
        <f>IF(T$12=0,0,T75/T$12)</f>
        <v>-0.42781408700061613</v>
      </c>
      <c r="W75" s="15"/>
      <c r="X75" s="20">
        <f>+P75-T75</f>
        <v>153381.23999999993</v>
      </c>
      <c r="Y75" s="15"/>
      <c r="Z75" s="21">
        <f>IF(T75=0,0,X75/T75)</f>
        <v>-0.94354679312642364</v>
      </c>
    </row>
    <row r="76" spans="1:26" x14ac:dyDescent="0.25">
      <c r="A76" s="9"/>
      <c r="B76" s="11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51"/>
      <c r="B77" s="11" t="s">
        <v>127</v>
      </c>
      <c r="C77" s="11"/>
      <c r="D77" s="4"/>
      <c r="E77" s="4"/>
      <c r="F77" s="13">
        <f>IF(D$12=0,0,D77/D$12)</f>
        <v>0</v>
      </c>
      <c r="G77" s="4"/>
      <c r="H77" s="4">
        <v>1853.41</v>
      </c>
      <c r="I77" s="4"/>
      <c r="J77" s="13">
        <f>IF(H$12=0,0,H77/H$12)</f>
        <v>0</v>
      </c>
      <c r="K77" s="4"/>
      <c r="L77" s="4">
        <f>+D77-H77</f>
        <v>-1853.41</v>
      </c>
      <c r="M77" s="4"/>
      <c r="N77" s="13">
        <f>IF(H77=0,0,L77/H77)</f>
        <v>-1</v>
      </c>
      <c r="O77" s="11"/>
      <c r="P77" s="4"/>
      <c r="Q77" s="4"/>
      <c r="R77" s="13">
        <f>IF(P$12=0,0,P77/P$12)</f>
        <v>0</v>
      </c>
      <c r="S77" s="4"/>
      <c r="T77" s="4">
        <v>44996.72</v>
      </c>
      <c r="U77" s="4"/>
      <c r="V77" s="13">
        <f>IF(T$12=0,0,T77/T$12)</f>
        <v>0.11842056714111861</v>
      </c>
      <c r="W77" s="4"/>
      <c r="X77" s="4">
        <f>+P77-T77</f>
        <v>-44996.72</v>
      </c>
      <c r="Y77" s="4"/>
      <c r="Z77" s="13">
        <f>IF(T77=0,0,X77/T77)</f>
        <v>-1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8" t="s">
        <v>125</v>
      </c>
      <c r="C79" s="28"/>
      <c r="D79" s="35">
        <f>+D75-D77</f>
        <v>-613.36</v>
      </c>
      <c r="E79" s="14"/>
      <c r="F79" s="36">
        <f>IF(D$12=0,0,D79/D$12)</f>
        <v>0</v>
      </c>
      <c r="G79" s="14"/>
      <c r="H79" s="35">
        <f>+H75-H77</f>
        <v>-2232.69</v>
      </c>
      <c r="I79" s="14"/>
      <c r="J79" s="36">
        <f>IF(H$12=0,0,H79/H$12)</f>
        <v>0</v>
      </c>
      <c r="K79" s="15"/>
      <c r="L79" s="35">
        <f>D79-H79</f>
        <v>1619.33</v>
      </c>
      <c r="M79" s="15"/>
      <c r="N79" s="36">
        <f>IF(H79=0,0,L79/H79)</f>
        <v>-0.7252820588617318</v>
      </c>
      <c r="O79" s="29"/>
      <c r="P79" s="35">
        <f>+P75-P77</f>
        <v>-9176.93</v>
      </c>
      <c r="Q79" s="14"/>
      <c r="R79" s="36">
        <f>IF(P$12=0,0,P79/P$12)</f>
        <v>0</v>
      </c>
      <c r="S79" s="14"/>
      <c r="T79" s="35">
        <f>+T75-T77</f>
        <v>-207554.88999999993</v>
      </c>
      <c r="U79" s="14"/>
      <c r="V79" s="36">
        <f>IF(T$12=0,0,T79/T$12)</f>
        <v>-0.54623465414173478</v>
      </c>
      <c r="W79" s="15"/>
      <c r="X79" s="35">
        <f>P79-T79</f>
        <v>198377.95999999993</v>
      </c>
      <c r="Y79" s="15"/>
      <c r="Z79" s="36">
        <f>IF(T79=0,0,X79/T79)</f>
        <v>-0.95578552738506906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ht="15.75" thickBot="1" x14ac:dyDescent="0.3">
      <c r="A82" s="11"/>
      <c r="B82" s="28" t="s">
        <v>293</v>
      </c>
      <c r="C82" s="28"/>
      <c r="D82" s="30">
        <f>SUM(D79:D81)</f>
        <v>-613.36</v>
      </c>
      <c r="E82" s="14"/>
      <c r="F82" s="31">
        <f>IF(D$12=0,0,D82/D$12)</f>
        <v>0</v>
      </c>
      <c r="G82" s="14"/>
      <c r="H82" s="30">
        <f>SUM(H79:H81)</f>
        <v>-2232.69</v>
      </c>
      <c r="I82" s="14"/>
      <c r="J82" s="31">
        <f>IF(H$12=0,0,H82/H$12)</f>
        <v>0</v>
      </c>
      <c r="K82" s="15"/>
      <c r="L82" s="30">
        <f>+D82-H82</f>
        <v>1619.33</v>
      </c>
      <c r="M82" s="15"/>
      <c r="N82" s="31">
        <f>IF(H82=0,0,L82/H82)</f>
        <v>-0.7252820588617318</v>
      </c>
      <c r="O82" s="29"/>
      <c r="P82" s="30">
        <f>SUM(P79:P81)</f>
        <v>-9176.93</v>
      </c>
      <c r="Q82" s="14"/>
      <c r="R82" s="31">
        <f>IF(P$12=0,0,P82/P$12)</f>
        <v>0</v>
      </c>
      <c r="S82" s="14"/>
      <c r="T82" s="30">
        <f>SUM(T79:T81)</f>
        <v>-207554.88999999993</v>
      </c>
      <c r="U82" s="14"/>
      <c r="V82" s="31">
        <f>IF(T$12=0,0,T82/T$12)</f>
        <v>-0.54623465414173478</v>
      </c>
      <c r="W82" s="15"/>
      <c r="X82" s="30">
        <f>+P82-T82</f>
        <v>198377.95999999993</v>
      </c>
      <c r="Y82" s="15"/>
      <c r="Z82" s="31">
        <f>IF(T82=0,0,X82/T82)</f>
        <v>-0.95578552738506906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9">
        <v>44356.893348032405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2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4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","413", " - ", "Beach Walk")</f>
        <v>Department 413 - Beach Walk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255048.55</v>
      </c>
      <c r="U12" s="4"/>
      <c r="V12" s="13"/>
      <c r="W12" s="4"/>
      <c r="X12" s="4">
        <f t="shared" ref="X12:X14" si="2">+P12-T12</f>
        <v>-255048.55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--57510.69</f>
        <v>57510.69</v>
      </c>
      <c r="U13" s="2"/>
      <c r="V13" s="19"/>
      <c r="W13" s="2"/>
      <c r="X13" s="2">
        <f t="shared" si="2"/>
        <v>-57510.69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--197537.86</f>
        <v>197537.86</v>
      </c>
      <c r="U14" s="2"/>
      <c r="V14" s="19"/>
      <c r="W14" s="2"/>
      <c r="X14" s="2">
        <f t="shared" si="2"/>
        <v>-197537.86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92282.46</v>
      </c>
      <c r="U16" s="4"/>
      <c r="V16" s="13">
        <f t="shared" ref="V16:V18" si="12">IF(T$12=0,0,T16/T$12)</f>
        <v>0.36182311171735737</v>
      </c>
      <c r="W16" s="4"/>
      <c r="X16" s="4">
        <f t="shared" ref="X16:X18" si="13">+P16-T16</f>
        <v>-92282.46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90960.52</v>
      </c>
      <c r="U17" s="2"/>
      <c r="V17" s="19">
        <f t="shared" si="12"/>
        <v>0.35664002010597595</v>
      </c>
      <c r="W17" s="2"/>
      <c r="X17" s="2">
        <f t="shared" si="13"/>
        <v>-90960.52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1321.94</v>
      </c>
      <c r="U18" s="2"/>
      <c r="V18" s="19">
        <f t="shared" si="12"/>
        <v>5.183091611381441E-3</v>
      </c>
      <c r="W18" s="2"/>
      <c r="X18" s="2">
        <f t="shared" si="13"/>
        <v>-1321.94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162766.08999999997</v>
      </c>
      <c r="U20" s="14"/>
      <c r="V20" s="21">
        <f>IF(T$12=0,0,T20/T$12)</f>
        <v>0.63817688828264252</v>
      </c>
      <c r="W20" s="15"/>
      <c r="X20" s="20">
        <f>+P20-T20</f>
        <v>-162766.08999999997</v>
      </c>
      <c r="Y20" s="15"/>
      <c r="Z20" s="21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58.03</v>
      </c>
      <c r="E22" s="22"/>
      <c r="F22" s="32">
        <f t="shared" ref="F22:F31" si="15">IF(D$12=0,0,D22/D$12)</f>
        <v>0</v>
      </c>
      <c r="G22" s="22"/>
      <c r="H22" s="22">
        <f>SUM(OSRRefH22x_0)</f>
        <v>7367.27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-7309.2400000000007</v>
      </c>
      <c r="M22" s="4"/>
      <c r="N22" s="32">
        <f t="shared" ref="N22:N31" si="18">IF(H22=0,0,L22/H22)</f>
        <v>-0.99212326954217778</v>
      </c>
      <c r="O22" s="11"/>
      <c r="P22" s="22">
        <f>SUM(OSRRefP22x_0)</f>
        <v>5303.41</v>
      </c>
      <c r="Q22" s="22"/>
      <c r="R22" s="32">
        <f t="shared" ref="R22:R31" si="19">IF(P$12=0,0,P22/P$12)</f>
        <v>0</v>
      </c>
      <c r="S22" s="22"/>
      <c r="T22" s="22">
        <f>SUM(OSRRefT22x_0)</f>
        <v>196210.80999999997</v>
      </c>
      <c r="U22" s="22"/>
      <c r="V22" s="32">
        <f t="shared" ref="V22:V31" si="20">IF(T$12=0,0,T22/T$12)</f>
        <v>0.76930768671298067</v>
      </c>
      <c r="W22" s="4"/>
      <c r="X22" s="22">
        <f t="shared" ref="X22:X31" si="21">+P22-T22</f>
        <v>-190907.39999999997</v>
      </c>
      <c r="Y22" s="4"/>
      <c r="Z22" s="32">
        <f t="shared" ref="Z22:Z31" si="22">IF(T22=0,0,X22/T22)</f>
        <v>-0.97297085721219945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2349.39</v>
      </c>
      <c r="I23" s="1"/>
      <c r="J23" s="5">
        <f t="shared" si="16"/>
        <v>0</v>
      </c>
      <c r="K23" s="1"/>
      <c r="L23" s="1">
        <f t="shared" si="17"/>
        <v>-2349.39</v>
      </c>
      <c r="M23" s="1"/>
      <c r="N23" s="5">
        <f t="shared" si="18"/>
        <v>-1</v>
      </c>
      <c r="O23" s="12"/>
      <c r="P23" s="1">
        <f>SUM(OSRRefP22_0x_0)</f>
        <v>1493.43</v>
      </c>
      <c r="Q23" s="1"/>
      <c r="R23" s="5">
        <f t="shared" si="19"/>
        <v>0</v>
      </c>
      <c r="S23" s="1"/>
      <c r="T23" s="1">
        <f>SUM(OSRRefT22_0x_0)</f>
        <v>37630.449999999997</v>
      </c>
      <c r="U23" s="1"/>
      <c r="V23" s="5">
        <f t="shared" si="20"/>
        <v>0.14754230125989737</v>
      </c>
      <c r="W23" s="1"/>
      <c r="X23" s="1">
        <f t="shared" si="21"/>
        <v>-36137.019999999997</v>
      </c>
      <c r="Y23" s="1"/>
      <c r="Z23" s="5">
        <f t="shared" si="22"/>
        <v>-0.96031325695015601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383.02</v>
      </c>
      <c r="I24" s="2"/>
      <c r="J24" s="7">
        <f t="shared" si="16"/>
        <v>0</v>
      </c>
      <c r="K24" s="2"/>
      <c r="L24" s="6">
        <f t="shared" si="17"/>
        <v>-383.02</v>
      </c>
      <c r="M24" s="2"/>
      <c r="N24" s="7">
        <f t="shared" si="18"/>
        <v>-1</v>
      </c>
      <c r="O24" s="10"/>
      <c r="P24" s="6">
        <v>191.51</v>
      </c>
      <c r="Q24" s="2"/>
      <c r="R24" s="7">
        <f t="shared" si="19"/>
        <v>0</v>
      </c>
      <c r="S24" s="2"/>
      <c r="T24" s="6">
        <v>7298.78</v>
      </c>
      <c r="U24" s="2"/>
      <c r="V24" s="7">
        <f t="shared" si="20"/>
        <v>2.8617218172775339E-2</v>
      </c>
      <c r="W24" s="2"/>
      <c r="X24" s="6">
        <f t="shared" si="21"/>
        <v>-7107.2699999999995</v>
      </c>
      <c r="Y24" s="2"/>
      <c r="Z24" s="7">
        <f t="shared" si="22"/>
        <v>-0.97376136833827021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291.39</v>
      </c>
      <c r="I25" s="2"/>
      <c r="J25" s="7">
        <f t="shared" si="16"/>
        <v>0</v>
      </c>
      <c r="K25" s="2"/>
      <c r="L25" s="6">
        <f t="shared" si="17"/>
        <v>-291.39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4578.57</v>
      </c>
      <c r="U25" s="2"/>
      <c r="V25" s="7">
        <f t="shared" si="20"/>
        <v>1.7951758596549558E-2</v>
      </c>
      <c r="W25" s="2"/>
      <c r="X25" s="6">
        <f t="shared" si="21"/>
        <v>-4578.57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801.06</v>
      </c>
      <c r="I26" s="2"/>
      <c r="J26" s="7">
        <f t="shared" si="16"/>
        <v>0</v>
      </c>
      <c r="K26" s="2"/>
      <c r="L26" s="6">
        <f t="shared" si="17"/>
        <v>-801.06</v>
      </c>
      <c r="M26" s="2"/>
      <c r="N26" s="7">
        <f t="shared" si="18"/>
        <v>-1</v>
      </c>
      <c r="O26" s="10"/>
      <c r="P26" s="6">
        <v>718.51</v>
      </c>
      <c r="Q26" s="2"/>
      <c r="R26" s="7">
        <f t="shared" si="19"/>
        <v>0</v>
      </c>
      <c r="S26" s="2"/>
      <c r="T26" s="6">
        <v>13382.42</v>
      </c>
      <c r="U26" s="2"/>
      <c r="V26" s="7">
        <f t="shared" si="20"/>
        <v>5.2470088538045016E-2</v>
      </c>
      <c r="W26" s="2"/>
      <c r="X26" s="6">
        <f t="shared" si="21"/>
        <v>-12663.91</v>
      </c>
      <c r="Y26" s="2"/>
      <c r="Z26" s="7">
        <f t="shared" si="22"/>
        <v>-0.94630941190008977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19.53</v>
      </c>
      <c r="I27" s="2"/>
      <c r="J27" s="7">
        <f t="shared" si="16"/>
        <v>0</v>
      </c>
      <c r="K27" s="2"/>
      <c r="L27" s="6">
        <f t="shared" si="17"/>
        <v>-19.53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356.65</v>
      </c>
      <c r="U27" s="2"/>
      <c r="V27" s="7">
        <f t="shared" si="20"/>
        <v>1.3983612139727907E-3</v>
      </c>
      <c r="W27" s="2"/>
      <c r="X27" s="6">
        <f t="shared" si="21"/>
        <v>-356.65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340.69</v>
      </c>
      <c r="I28" s="2"/>
      <c r="J28" s="7">
        <f t="shared" si="16"/>
        <v>0</v>
      </c>
      <c r="K28" s="2"/>
      <c r="L28" s="6">
        <f t="shared" si="17"/>
        <v>-340.69</v>
      </c>
      <c r="M28" s="2"/>
      <c r="N28" s="7">
        <f t="shared" si="18"/>
        <v>-1</v>
      </c>
      <c r="O28" s="10"/>
      <c r="P28" s="6">
        <v>377.03</v>
      </c>
      <c r="Q28" s="2"/>
      <c r="R28" s="7">
        <f t="shared" si="19"/>
        <v>0</v>
      </c>
      <c r="S28" s="2"/>
      <c r="T28" s="6">
        <v>3790.41</v>
      </c>
      <c r="U28" s="2"/>
      <c r="V28" s="7">
        <f t="shared" si="20"/>
        <v>1.486152342367757E-2</v>
      </c>
      <c r="W28" s="2"/>
      <c r="X28" s="6">
        <f t="shared" si="21"/>
        <v>-3413.38</v>
      </c>
      <c r="Y28" s="2"/>
      <c r="Z28" s="7">
        <f t="shared" si="22"/>
        <v>-0.90053054946562516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187.78</v>
      </c>
      <c r="I29" s="2"/>
      <c r="J29" s="7">
        <f t="shared" si="16"/>
        <v>0</v>
      </c>
      <c r="K29" s="2"/>
      <c r="L29" s="6">
        <f t="shared" si="17"/>
        <v>-187.78</v>
      </c>
      <c r="M29" s="2"/>
      <c r="N29" s="7">
        <f t="shared" si="18"/>
        <v>-1</v>
      </c>
      <c r="O29" s="10"/>
      <c r="P29" s="6">
        <v>93.89</v>
      </c>
      <c r="Q29" s="2"/>
      <c r="R29" s="7">
        <f t="shared" si="19"/>
        <v>0</v>
      </c>
      <c r="S29" s="2"/>
      <c r="T29" s="6">
        <v>3424.72</v>
      </c>
      <c r="U29" s="2"/>
      <c r="V29" s="7">
        <f t="shared" si="20"/>
        <v>1.3427717977616419E-2</v>
      </c>
      <c r="W29" s="2"/>
      <c r="X29" s="6">
        <f t="shared" si="21"/>
        <v>-3330.83</v>
      </c>
      <c r="Y29" s="2"/>
      <c r="Z29" s="7">
        <f t="shared" si="22"/>
        <v>-0.97258462005653024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224.98</v>
      </c>
      <c r="I30" s="2"/>
      <c r="J30" s="7">
        <f t="shared" si="16"/>
        <v>0</v>
      </c>
      <c r="K30" s="2"/>
      <c r="L30" s="6">
        <f t="shared" si="17"/>
        <v>-224.98</v>
      </c>
      <c r="M30" s="2"/>
      <c r="N30" s="7">
        <f t="shared" si="18"/>
        <v>-1</v>
      </c>
      <c r="O30" s="10"/>
      <c r="P30" s="6">
        <v>112.49</v>
      </c>
      <c r="Q30" s="2"/>
      <c r="R30" s="7">
        <f t="shared" si="19"/>
        <v>0</v>
      </c>
      <c r="S30" s="2"/>
      <c r="T30" s="6">
        <v>3517.84</v>
      </c>
      <c r="U30" s="2"/>
      <c r="V30" s="7">
        <f t="shared" si="20"/>
        <v>1.379282493470361E-2</v>
      </c>
      <c r="W30" s="2"/>
      <c r="X30" s="6">
        <f t="shared" si="21"/>
        <v>-3405.3500000000004</v>
      </c>
      <c r="Y30" s="2"/>
      <c r="Z30" s="7">
        <f t="shared" si="22"/>
        <v>-0.96802299138107484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100.94</v>
      </c>
      <c r="I31" s="2"/>
      <c r="J31" s="7">
        <f t="shared" si="16"/>
        <v>0</v>
      </c>
      <c r="K31" s="2"/>
      <c r="L31" s="6">
        <f t="shared" si="17"/>
        <v>-100.94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1281.06</v>
      </c>
      <c r="U31" s="2"/>
      <c r="V31" s="7">
        <f t="shared" si="20"/>
        <v>5.0228084025570816E-3</v>
      </c>
      <c r="W31" s="2"/>
      <c r="X31" s="6">
        <f t="shared" si="21"/>
        <v>-1281.06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4823.8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-4823.8</v>
      </c>
      <c r="M32" s="1"/>
      <c r="N32" s="5">
        <f t="shared" ref="N32:N37" si="26">IF(H32=0,0,L32/H32)</f>
        <v>-1</v>
      </c>
      <c r="O32" s="12"/>
      <c r="P32" s="1">
        <f>SUM(OSRRefP22_1x_0)</f>
        <v>2259.48</v>
      </c>
      <c r="Q32" s="1"/>
      <c r="R32" s="5">
        <f t="shared" ref="R32:R37" si="27">IF(P$12=0,0,P32/P$12)</f>
        <v>0</v>
      </c>
      <c r="S32" s="1"/>
      <c r="T32" s="1">
        <f>SUM(OSRRefT22_1x_0)</f>
        <v>123542.23999999999</v>
      </c>
      <c r="U32" s="1"/>
      <c r="V32" s="5">
        <f t="shared" ref="V32:V37" si="28">IF(T$12=0,0,T32/T$12)</f>
        <v>0.48438714903495822</v>
      </c>
      <c r="W32" s="1"/>
      <c r="X32" s="1">
        <f t="shared" ref="X32:X37" si="29">+P32-T32</f>
        <v>-121282.76</v>
      </c>
      <c r="Y32" s="1"/>
      <c r="Z32" s="5">
        <f t="shared" ref="Z32:Z37" si="30">IF(T32=0,0,X32/T32)</f>
        <v>-0.98171087071110252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4823.8</v>
      </c>
      <c r="I33" s="2"/>
      <c r="J33" s="7">
        <f t="shared" si="24"/>
        <v>0</v>
      </c>
      <c r="K33" s="2"/>
      <c r="L33" s="6">
        <f t="shared" si="25"/>
        <v>-4823.8</v>
      </c>
      <c r="M33" s="2"/>
      <c r="N33" s="7">
        <f t="shared" si="26"/>
        <v>-1</v>
      </c>
      <c r="O33" s="10"/>
      <c r="P33" s="6">
        <v>2259.48</v>
      </c>
      <c r="Q33" s="2"/>
      <c r="R33" s="7">
        <f t="shared" si="27"/>
        <v>0</v>
      </c>
      <c r="S33" s="2"/>
      <c r="T33" s="6">
        <v>50095.42</v>
      </c>
      <c r="U33" s="2"/>
      <c r="V33" s="7">
        <f t="shared" si="28"/>
        <v>0.19641523153140844</v>
      </c>
      <c r="W33" s="2"/>
      <c r="X33" s="6">
        <f t="shared" si="29"/>
        <v>-47835.939999999995</v>
      </c>
      <c r="Y33" s="2"/>
      <c r="Z33" s="7">
        <f t="shared" si="30"/>
        <v>-0.95489647556602975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2483.52</v>
      </c>
      <c r="U34" s="2"/>
      <c r="V34" s="7">
        <f t="shared" si="28"/>
        <v>9.7374401854078366E-3</v>
      </c>
      <c r="W34" s="2"/>
      <c r="X34" s="6">
        <f t="shared" si="29"/>
        <v>-2483.52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29725.46</v>
      </c>
      <c r="U35" s="2"/>
      <c r="V35" s="7">
        <f t="shared" si="28"/>
        <v>0.116548241501471</v>
      </c>
      <c r="W35" s="2"/>
      <c r="X35" s="6">
        <f t="shared" si="29"/>
        <v>-29725.46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36868.25</v>
      </c>
      <c r="U36" s="2"/>
      <c r="V36" s="7">
        <f t="shared" si="28"/>
        <v>0.14455385062961543</v>
      </c>
      <c r="W36" s="2"/>
      <c r="X36" s="6">
        <f t="shared" si="29"/>
        <v>-36868.25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4369.59</v>
      </c>
      <c r="U37" s="2"/>
      <c r="V37" s="7">
        <f t="shared" si="28"/>
        <v>1.7132385187055565E-2</v>
      </c>
      <c r="W37" s="2"/>
      <c r="X37" s="6">
        <f t="shared" si="29"/>
        <v>-4369.59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1">IF(D$12=0,0,D38/D$12)</f>
        <v>0</v>
      </c>
      <c r="G38" s="1"/>
      <c r="H38" s="1">
        <f>SUM(OSRRefH22_2x_0)</f>
        <v>0</v>
      </c>
      <c r="I38" s="1"/>
      <c r="J38" s="5">
        <f t="shared" ref="J38:J51" si="32">IF(H$12=0,0,H38/H$12)</f>
        <v>0</v>
      </c>
      <c r="K38" s="1"/>
      <c r="L38" s="1">
        <f t="shared" ref="L38:L51" si="33">+D38-H38</f>
        <v>0</v>
      </c>
      <c r="M38" s="1"/>
      <c r="N38" s="5">
        <f t="shared" ref="N38:N51" si="34">IF(H38=0,0,L38/H38)</f>
        <v>0</v>
      </c>
      <c r="O38" s="12"/>
      <c r="P38" s="1">
        <f>SUM(OSRRefP22_2x_0)</f>
        <v>0</v>
      </c>
      <c r="Q38" s="1"/>
      <c r="R38" s="5">
        <f t="shared" ref="R38:R51" si="35">IF(P$12=0,0,P38/P$12)</f>
        <v>0</v>
      </c>
      <c r="S38" s="1"/>
      <c r="T38" s="1">
        <f>SUM(OSRRefT22_2x_0)</f>
        <v>2599.63</v>
      </c>
      <c r="U38" s="1"/>
      <c r="V38" s="5">
        <f t="shared" ref="V38:V51" si="36">IF(T$12=0,0,T38/T$12)</f>
        <v>1.0192686843348061E-2</v>
      </c>
      <c r="W38" s="1"/>
      <c r="X38" s="1">
        <f t="shared" ref="X38:X51" si="37">+P38-T38</f>
        <v>-2599.63</v>
      </c>
      <c r="Y38" s="1"/>
      <c r="Z38" s="5">
        <f t="shared" ref="Z38:Z51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2599.63</v>
      </c>
      <c r="U39" s="2"/>
      <c r="V39" s="7">
        <f t="shared" si="36"/>
        <v>1.0192686843348061E-2</v>
      </c>
      <c r="W39" s="2"/>
      <c r="X39" s="6">
        <f t="shared" si="37"/>
        <v>-2599.63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-48.26</v>
      </c>
      <c r="U40" s="1"/>
      <c r="V40" s="5">
        <f t="shared" si="36"/>
        <v>-1.8921887617083101E-4</v>
      </c>
      <c r="W40" s="1"/>
      <c r="X40" s="1">
        <f t="shared" si="37"/>
        <v>48.26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-48.26</v>
      </c>
      <c r="U41" s="2"/>
      <c r="V41" s="7">
        <f t="shared" si="36"/>
        <v>-1.8921887617083101E-4</v>
      </c>
      <c r="W41" s="2"/>
      <c r="X41" s="6">
        <f t="shared" si="37"/>
        <v>48.26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10000.31</v>
      </c>
      <c r="U42" s="1"/>
      <c r="V42" s="5">
        <f t="shared" si="36"/>
        <v>3.9209436791544199E-2</v>
      </c>
      <c r="W42" s="1"/>
      <c r="X42" s="1">
        <f t="shared" si="37"/>
        <v>-10000.31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10000.31</v>
      </c>
      <c r="U43" s="2"/>
      <c r="V43" s="7">
        <f t="shared" si="36"/>
        <v>3.9209436791544199E-2</v>
      </c>
      <c r="W43" s="2"/>
      <c r="X43" s="6">
        <f t="shared" si="37"/>
        <v>-10000.31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58.03</v>
      </c>
      <c r="E44" s="1"/>
      <c r="F44" s="5">
        <f t="shared" si="31"/>
        <v>0</v>
      </c>
      <c r="G44" s="1"/>
      <c r="H44" s="1">
        <f>SUM(OSRRefH22_5x_0)</f>
        <v>58.03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SUM(OSRRefP22_5x_0)</f>
        <v>638.33000000000004</v>
      </c>
      <c r="Q44" s="1"/>
      <c r="R44" s="5">
        <f t="shared" si="35"/>
        <v>0</v>
      </c>
      <c r="S44" s="1"/>
      <c r="T44" s="1">
        <f>SUM(OSRRefT22_5x_0)</f>
        <v>5787.99</v>
      </c>
      <c r="U44" s="1"/>
      <c r="V44" s="5">
        <f t="shared" si="36"/>
        <v>2.2693679301450647E-2</v>
      </c>
      <c r="W44" s="1"/>
      <c r="X44" s="1">
        <f t="shared" si="37"/>
        <v>-5149.66</v>
      </c>
      <c r="Y44" s="1"/>
      <c r="Z44" s="5">
        <f t="shared" si="38"/>
        <v>-0.88971473689484604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58.03</v>
      </c>
      <c r="E45" s="2"/>
      <c r="F45" s="7">
        <f t="shared" si="31"/>
        <v>0</v>
      </c>
      <c r="G45" s="2"/>
      <c r="H45" s="6">
        <v>58.03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638.33000000000004</v>
      </c>
      <c r="Q45" s="2"/>
      <c r="R45" s="7">
        <f t="shared" si="35"/>
        <v>0</v>
      </c>
      <c r="S45" s="2"/>
      <c r="T45" s="6">
        <v>5787.99</v>
      </c>
      <c r="U45" s="2"/>
      <c r="V45" s="7">
        <f t="shared" si="36"/>
        <v>2.2693679301450647E-2</v>
      </c>
      <c r="W45" s="2"/>
      <c r="X45" s="6">
        <f t="shared" si="37"/>
        <v>-5149.66</v>
      </c>
      <c r="Y45" s="2"/>
      <c r="Z45" s="7">
        <f t="shared" si="38"/>
        <v>-0.88971473689484604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901.75</v>
      </c>
      <c r="U46" s="1"/>
      <c r="V46" s="5">
        <f t="shared" si="36"/>
        <v>3.535601359035368E-3</v>
      </c>
      <c r="W46" s="1"/>
      <c r="X46" s="1">
        <f t="shared" si="37"/>
        <v>-901.75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901.75</v>
      </c>
      <c r="U47" s="2"/>
      <c r="V47" s="7">
        <f t="shared" si="36"/>
        <v>3.535601359035368E-3</v>
      </c>
      <c r="W47" s="2"/>
      <c r="X47" s="6">
        <f t="shared" si="37"/>
        <v>-901.75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0</v>
      </c>
      <c r="I48" s="1"/>
      <c r="J48" s="5">
        <f t="shared" si="32"/>
        <v>0</v>
      </c>
      <c r="K48" s="1"/>
      <c r="L48" s="1">
        <f t="shared" si="33"/>
        <v>0</v>
      </c>
      <c r="M48" s="1"/>
      <c r="N48" s="5">
        <f t="shared" si="34"/>
        <v>0</v>
      </c>
      <c r="O48" s="12"/>
      <c r="P48" s="1">
        <f>SUM(OSRRefP22_7x_0)</f>
        <v>575.85</v>
      </c>
      <c r="Q48" s="1"/>
      <c r="R48" s="5">
        <f t="shared" si="35"/>
        <v>0</v>
      </c>
      <c r="S48" s="1"/>
      <c r="T48" s="1">
        <f>SUM(OSRRefT22_7x_0)</f>
        <v>8877.11</v>
      </c>
      <c r="U48" s="1"/>
      <c r="V48" s="5">
        <f t="shared" si="36"/>
        <v>3.4805569371007997E-2</v>
      </c>
      <c r="W48" s="1"/>
      <c r="X48" s="1">
        <f t="shared" si="37"/>
        <v>-8301.26</v>
      </c>
      <c r="Y48" s="1"/>
      <c r="Z48" s="5">
        <f t="shared" si="38"/>
        <v>-0.93513091535420867</v>
      </c>
    </row>
    <row r="49" spans="1:26" s="23" customFormat="1" hidden="1" outlineLevel="2" x14ac:dyDescent="0.25">
      <c r="A49" s="27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/>
      <c r="Q49" s="2"/>
      <c r="R49" s="7">
        <f t="shared" si="35"/>
        <v>0</v>
      </c>
      <c r="S49" s="2"/>
      <c r="T49" s="6">
        <v>874.62</v>
      </c>
      <c r="U49" s="2"/>
      <c r="V49" s="7">
        <f t="shared" si="36"/>
        <v>3.4292294545489477E-3</v>
      </c>
      <c r="W49" s="2"/>
      <c r="X49" s="6">
        <f t="shared" si="37"/>
        <v>-874.62</v>
      </c>
      <c r="Y49" s="2"/>
      <c r="Z49" s="7">
        <f t="shared" si="38"/>
        <v>-1</v>
      </c>
    </row>
    <row r="50" spans="1:26" s="23" customFormat="1" hidden="1" outlineLevel="2" x14ac:dyDescent="0.25">
      <c r="A50" s="27"/>
      <c r="B50" s="10" t="str">
        <f>CONCATENATE("          ", "6373", " - ", "MAINTENANCE CONTRACTS")</f>
        <v xml:space="preserve">          6373 - MAINTENANCE CONTRACTS</v>
      </c>
      <c r="C50" s="10"/>
      <c r="D50" s="6"/>
      <c r="E50" s="2"/>
      <c r="F50" s="7">
        <f t="shared" si="31"/>
        <v>0</v>
      </c>
      <c r="G50" s="2"/>
      <c r="H50" s="6"/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575.85</v>
      </c>
      <c r="Q50" s="2"/>
      <c r="R50" s="7">
        <f t="shared" si="35"/>
        <v>0</v>
      </c>
      <c r="S50" s="2"/>
      <c r="T50" s="6">
        <v>1031.97</v>
      </c>
      <c r="U50" s="2"/>
      <c r="V50" s="7">
        <f t="shared" si="36"/>
        <v>4.0461708172816512E-3</v>
      </c>
      <c r="W50" s="2"/>
      <c r="X50" s="6">
        <f t="shared" si="37"/>
        <v>-456.12</v>
      </c>
      <c r="Y50" s="2"/>
      <c r="Z50" s="7">
        <f t="shared" si="38"/>
        <v>-0.44198959272071864</v>
      </c>
    </row>
    <row r="51" spans="1:26" s="23" customFormat="1" hidden="1" outlineLevel="2" x14ac:dyDescent="0.25">
      <c r="A51" s="27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/>
      <c r="Q51" s="2"/>
      <c r="R51" s="7">
        <f t="shared" si="35"/>
        <v>0</v>
      </c>
      <c r="S51" s="2"/>
      <c r="T51" s="6">
        <v>6970.52</v>
      </c>
      <c r="U51" s="2"/>
      <c r="V51" s="7">
        <f t="shared" si="36"/>
        <v>2.7330169099177393E-2</v>
      </c>
      <c r="W51" s="2"/>
      <c r="X51" s="6">
        <f t="shared" si="37"/>
        <v>-6970.52</v>
      </c>
      <c r="Y51" s="2"/>
      <c r="Z51" s="7">
        <f t="shared" si="38"/>
        <v>-1</v>
      </c>
    </row>
    <row r="52" spans="1:26" s="26" customFormat="1" outlineLevel="1" collapsed="1" x14ac:dyDescent="0.25">
      <c r="A52" s="25"/>
      <c r="B52" s="12" t="str">
        <f>CONCATENATE("     ","Services                                          ")</f>
        <v xml:space="preserve">     Services                                          </v>
      </c>
      <c r="C52" s="12"/>
      <c r="D52" s="1">
        <f>SUM(OSRRefD22_8x_0)</f>
        <v>0</v>
      </c>
      <c r="E52" s="1"/>
      <c r="F52" s="5">
        <f t="shared" ref="F52:F55" si="39">IF(D$12=0,0,D52/D$12)</f>
        <v>0</v>
      </c>
      <c r="G52" s="1"/>
      <c r="H52" s="1">
        <f>SUM(OSRRefH22_8x_0)</f>
        <v>0</v>
      </c>
      <c r="I52" s="1"/>
      <c r="J52" s="5">
        <f t="shared" ref="J52:J55" si="40">IF(H$12=0,0,H52/H$12)</f>
        <v>0</v>
      </c>
      <c r="K52" s="1"/>
      <c r="L52" s="1">
        <f t="shared" ref="L52:L55" si="41">+D52-H52</f>
        <v>0</v>
      </c>
      <c r="M52" s="1"/>
      <c r="N52" s="5">
        <f t="shared" ref="N52:N55" si="42">IF(H52=0,0,L52/H52)</f>
        <v>0</v>
      </c>
      <c r="O52" s="12"/>
      <c r="P52" s="1">
        <f>SUM(OSRRefP22_8x_0)</f>
        <v>286.62</v>
      </c>
      <c r="Q52" s="1"/>
      <c r="R52" s="5">
        <f t="shared" ref="R52:R55" si="43">IF(P$12=0,0,P52/P$12)</f>
        <v>0</v>
      </c>
      <c r="S52" s="1"/>
      <c r="T52" s="1">
        <f>SUM(OSRRefT22_8x_0)</f>
        <v>1368.82</v>
      </c>
      <c r="U52" s="1"/>
      <c r="V52" s="5">
        <f t="shared" ref="V52:V55" si="44">IF(T$12=0,0,T52/T$12)</f>
        <v>5.3668997530078094E-3</v>
      </c>
      <c r="W52" s="1"/>
      <c r="X52" s="1">
        <f t="shared" ref="X52:X55" si="45">+P52-T52</f>
        <v>-1082.1999999999998</v>
      </c>
      <c r="Y52" s="1"/>
      <c r="Z52" s="5">
        <f t="shared" ref="Z52:Z55" si="46">IF(T52=0,0,X52/T52)</f>
        <v>-0.79060796890752605</v>
      </c>
    </row>
    <row r="53" spans="1:26" s="23" customFormat="1" hidden="1" outlineLevel="2" x14ac:dyDescent="0.25">
      <c r="A53" s="27"/>
      <c r="B53" s="10" t="str">
        <f>CONCATENATE("          ", "6282", " - ", "JANITORIAL/EXTERMINATOR EXPENS")</f>
        <v xml:space="preserve">          6282 - JANITORIAL/EXTERMINATOR EXPENS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>
        <v>286.62</v>
      </c>
      <c r="Q53" s="2"/>
      <c r="R53" s="7">
        <f t="shared" si="43"/>
        <v>0</v>
      </c>
      <c r="S53" s="2"/>
      <c r="T53" s="6"/>
      <c r="U53" s="2"/>
      <c r="V53" s="7">
        <f t="shared" si="44"/>
        <v>0</v>
      </c>
      <c r="W53" s="2"/>
      <c r="X53" s="6">
        <f t="shared" si="45"/>
        <v>286.62</v>
      </c>
      <c r="Y53" s="2"/>
      <c r="Z53" s="7">
        <f t="shared" si="46"/>
        <v>0</v>
      </c>
    </row>
    <row r="54" spans="1:26" s="23" customFormat="1" hidden="1" outlineLevel="2" x14ac:dyDescent="0.25">
      <c r="A54" s="27"/>
      <c r="B54" s="10" t="str">
        <f>CONCATENATE("          ", "6285", " - ", "JANITORIAL SERVICES")</f>
        <v xml:space="preserve">          6285 - JANITORIAL SERVICES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712.8</v>
      </c>
      <c r="U54" s="2"/>
      <c r="V54" s="7">
        <f t="shared" si="44"/>
        <v>2.7947620168787472E-3</v>
      </c>
      <c r="W54" s="2"/>
      <c r="X54" s="6">
        <f t="shared" si="45"/>
        <v>-712.8</v>
      </c>
      <c r="Y54" s="2"/>
      <c r="Z54" s="7">
        <f t="shared" si="46"/>
        <v>-1</v>
      </c>
    </row>
    <row r="55" spans="1:26" s="23" customFormat="1" hidden="1" outlineLevel="2" x14ac:dyDescent="0.25">
      <c r="A55" s="27"/>
      <c r="B55" s="10" t="str">
        <f>CONCATENATE("          ", "6286", " - ", "LAUNDRY EXPENSE")</f>
        <v xml:space="preserve">          6286 - LAUNDRY EXPENSE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656.02</v>
      </c>
      <c r="U55" s="2"/>
      <c r="V55" s="7">
        <f t="shared" si="44"/>
        <v>2.5721377361290626E-3</v>
      </c>
      <c r="W55" s="2"/>
      <c r="X55" s="6">
        <f t="shared" si="45"/>
        <v>-656.02</v>
      </c>
      <c r="Y55" s="2"/>
      <c r="Z55" s="7">
        <f t="shared" si="46"/>
        <v>-1</v>
      </c>
    </row>
    <row r="56" spans="1:26" s="26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SUM(OSRRefD22_9x_0)</f>
        <v>0</v>
      </c>
      <c r="E56" s="1"/>
      <c r="F56" s="5">
        <f t="shared" ref="F56:F62" si="47">IF(D$12=0,0,D56/D$12)</f>
        <v>0</v>
      </c>
      <c r="G56" s="1"/>
      <c r="H56" s="1">
        <f>SUM(OSRRefH22_9x_0)</f>
        <v>65.05</v>
      </c>
      <c r="I56" s="1"/>
      <c r="J56" s="5">
        <f t="shared" ref="J56:J62" si="48">IF(H$12=0,0,H56/H$12)</f>
        <v>0</v>
      </c>
      <c r="K56" s="1"/>
      <c r="L56" s="1">
        <f t="shared" ref="L56:L62" si="49">+D56-H56</f>
        <v>-65.05</v>
      </c>
      <c r="M56" s="1"/>
      <c r="N56" s="5">
        <f t="shared" ref="N56:N62" si="50">IF(H56=0,0,L56/H56)</f>
        <v>-1</v>
      </c>
      <c r="O56" s="12"/>
      <c r="P56" s="1">
        <f>SUM(OSRRefP22_9x_0)</f>
        <v>0</v>
      </c>
      <c r="Q56" s="1"/>
      <c r="R56" s="5">
        <f t="shared" ref="R56:R62" si="51">IF(P$12=0,0,P56/P$12)</f>
        <v>0</v>
      </c>
      <c r="S56" s="1"/>
      <c r="T56" s="1">
        <f>SUM(OSRRefT22_9x_0)</f>
        <v>4661.3099999999995</v>
      </c>
      <c r="U56" s="1"/>
      <c r="V56" s="5">
        <f t="shared" ref="V56:V62" si="52">IF(T$12=0,0,T56/T$12)</f>
        <v>1.8276167419889272E-2</v>
      </c>
      <c r="W56" s="1"/>
      <c r="X56" s="1">
        <f t="shared" ref="X56:X62" si="53">+P56-T56</f>
        <v>-4661.3099999999995</v>
      </c>
      <c r="Y56" s="1"/>
      <c r="Z56" s="5">
        <f t="shared" ref="Z56:Z62" si="54">IF(T56=0,0,X56/T56)</f>
        <v>-1</v>
      </c>
    </row>
    <row r="57" spans="1:26" s="23" customFormat="1" hidden="1" outlineLevel="2" x14ac:dyDescent="0.25">
      <c r="A57" s="27"/>
      <c r="B57" s="10" t="str">
        <f>CONCATENATE("          ", "6239", " - ", "KITCHEN SUPPLIES")</f>
        <v xml:space="preserve">          6239 - KITCHEN SUPPLIES</v>
      </c>
      <c r="C57" s="10"/>
      <c r="D57" s="6"/>
      <c r="E57" s="2"/>
      <c r="F57" s="7">
        <f t="shared" si="47"/>
        <v>0</v>
      </c>
      <c r="G57" s="2"/>
      <c r="H57" s="6"/>
      <c r="I57" s="2"/>
      <c r="J57" s="7">
        <f t="shared" si="48"/>
        <v>0</v>
      </c>
      <c r="K57" s="2"/>
      <c r="L57" s="6">
        <f t="shared" si="49"/>
        <v>0</v>
      </c>
      <c r="M57" s="2"/>
      <c r="N57" s="7">
        <f t="shared" si="50"/>
        <v>0</v>
      </c>
      <c r="O57" s="10"/>
      <c r="P57" s="6"/>
      <c r="Q57" s="2"/>
      <c r="R57" s="7">
        <f t="shared" si="51"/>
        <v>0</v>
      </c>
      <c r="S57" s="2"/>
      <c r="T57" s="6">
        <v>960.31</v>
      </c>
      <c r="U57" s="2"/>
      <c r="V57" s="7">
        <f t="shared" si="52"/>
        <v>3.7652047031829822E-3</v>
      </c>
      <c r="W57" s="2"/>
      <c r="X57" s="6">
        <f t="shared" si="53"/>
        <v>-960.31</v>
      </c>
      <c r="Y57" s="2"/>
      <c r="Z57" s="7">
        <f t="shared" si="54"/>
        <v>-1</v>
      </c>
    </row>
    <row r="58" spans="1:26" s="23" customFormat="1" hidden="1" outlineLevel="2" x14ac:dyDescent="0.25">
      <c r="A58" s="27"/>
      <c r="B58" s="10" t="str">
        <f>CONCATENATE("          ", "6241", " - ", "OFFICE EXPENSE")</f>
        <v xml:space="preserve">          6241 - OFFICE EXPENSE</v>
      </c>
      <c r="C58" s="10"/>
      <c r="D58" s="6"/>
      <c r="E58" s="2"/>
      <c r="F58" s="7">
        <f t="shared" si="47"/>
        <v>0</v>
      </c>
      <c r="G58" s="2"/>
      <c r="H58" s="6">
        <v>65.05</v>
      </c>
      <c r="I58" s="2"/>
      <c r="J58" s="7">
        <f t="shared" si="48"/>
        <v>0</v>
      </c>
      <c r="K58" s="2"/>
      <c r="L58" s="6">
        <f t="shared" si="49"/>
        <v>-65.05</v>
      </c>
      <c r="M58" s="2"/>
      <c r="N58" s="7">
        <f t="shared" si="50"/>
        <v>-1</v>
      </c>
      <c r="O58" s="10"/>
      <c r="P58" s="6"/>
      <c r="Q58" s="2"/>
      <c r="R58" s="7">
        <f t="shared" si="51"/>
        <v>0</v>
      </c>
      <c r="S58" s="2"/>
      <c r="T58" s="6">
        <v>1218.29</v>
      </c>
      <c r="U58" s="2"/>
      <c r="V58" s="7">
        <f t="shared" si="52"/>
        <v>4.776698397226724E-3</v>
      </c>
      <c r="W58" s="2"/>
      <c r="X58" s="6">
        <f t="shared" si="53"/>
        <v>-1218.29</v>
      </c>
      <c r="Y58" s="2"/>
      <c r="Z58" s="7">
        <f t="shared" si="54"/>
        <v>-1</v>
      </c>
    </row>
    <row r="59" spans="1:26" s="23" customFormat="1" hidden="1" outlineLevel="2" x14ac:dyDescent="0.25">
      <c r="A59" s="27"/>
      <c r="B59" s="10" t="str">
        <f>CONCATENATE("          ", "6243", " - ", "PAPER SUPPLIES")</f>
        <v xml:space="preserve">          6243 - PAPER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1490.35</v>
      </c>
      <c r="U59" s="2"/>
      <c r="V59" s="7">
        <f t="shared" si="52"/>
        <v>5.8433972669125148E-3</v>
      </c>
      <c r="W59" s="2"/>
      <c r="X59" s="6">
        <f t="shared" si="53"/>
        <v>-1490.35</v>
      </c>
      <c r="Y59" s="2"/>
      <c r="Z59" s="7">
        <f t="shared" si="54"/>
        <v>-1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244.39</v>
      </c>
      <c r="U60" s="2"/>
      <c r="V60" s="7">
        <f t="shared" si="52"/>
        <v>9.5820972124719002E-4</v>
      </c>
      <c r="W60" s="2"/>
      <c r="X60" s="6">
        <f t="shared" si="53"/>
        <v>-244.39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"6247", " - ", "STORE SUPPLIES")</f>
        <v xml:space="preserve">          6247 - STORE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42.98</v>
      </c>
      <c r="U61" s="2"/>
      <c r="V61" s="7">
        <f t="shared" si="52"/>
        <v>1.685169353050625E-4</v>
      </c>
      <c r="W61" s="2"/>
      <c r="X61" s="6">
        <f t="shared" si="53"/>
        <v>-42.98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"6248", " - ", "UNIFORMS")</f>
        <v xml:space="preserve">          6248 - UNIFORMS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704.99</v>
      </c>
      <c r="U62" s="2"/>
      <c r="V62" s="7">
        <f t="shared" si="52"/>
        <v>2.7641403960147982E-3</v>
      </c>
      <c r="W62" s="2"/>
      <c r="X62" s="6">
        <f t="shared" si="53"/>
        <v>-704.99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0</v>
      </c>
      <c r="E63" s="1"/>
      <c r="F63" s="5">
        <f t="shared" ref="F63:F66" si="55">IF(D$12=0,0,D63/D$12)</f>
        <v>0</v>
      </c>
      <c r="G63" s="1"/>
      <c r="H63" s="1">
        <f>SUM(OSRRefH22_10x_0)</f>
        <v>71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-71</v>
      </c>
      <c r="M63" s="1"/>
      <c r="N63" s="5">
        <f t="shared" ref="N63:N66" si="58">IF(H63=0,0,L63/H63)</f>
        <v>-1</v>
      </c>
      <c r="O63" s="12"/>
      <c r="P63" s="1">
        <f>SUM(OSRRefP22_10x_0)</f>
        <v>49.7</v>
      </c>
      <c r="Q63" s="1"/>
      <c r="R63" s="5">
        <f t="shared" ref="R63:R66" si="59">IF(P$12=0,0,P63/P$12)</f>
        <v>0</v>
      </c>
      <c r="S63" s="1"/>
      <c r="T63" s="1">
        <f>SUM(OSRRefT22_10x_0)</f>
        <v>836.96</v>
      </c>
      <c r="U63" s="1"/>
      <c r="V63" s="5">
        <f t="shared" ref="V63:V66" si="60">IF(T$12=0,0,T63/T$12)</f>
        <v>3.2815712929950007E-3</v>
      </c>
      <c r="W63" s="1"/>
      <c r="X63" s="1">
        <f t="shared" ref="X63:X66" si="61">+P63-T63</f>
        <v>-787.26</v>
      </c>
      <c r="Y63" s="1"/>
      <c r="Z63" s="5">
        <f t="shared" ref="Z63:Z66" si="62">IF(T63=0,0,X63/T63)</f>
        <v>-0.94061842859873823</v>
      </c>
    </row>
    <row r="64" spans="1:26" s="23" customFormat="1" hidden="1" outlineLevel="2" x14ac:dyDescent="0.25">
      <c r="A64" s="27"/>
      <c r="B64" s="10" t="str">
        <f>CONCATENATE("          ", "6309", " - ", "TELEPHONE")</f>
        <v xml:space="preserve">          6309 - TELEPHONE</v>
      </c>
      <c r="C64" s="10"/>
      <c r="D64" s="6"/>
      <c r="E64" s="2"/>
      <c r="F64" s="7">
        <f t="shared" si="55"/>
        <v>0</v>
      </c>
      <c r="G64" s="2"/>
      <c r="H64" s="6">
        <v>71</v>
      </c>
      <c r="I64" s="2"/>
      <c r="J64" s="7">
        <f t="shared" si="56"/>
        <v>0</v>
      </c>
      <c r="K64" s="2"/>
      <c r="L64" s="6">
        <f t="shared" si="57"/>
        <v>-71</v>
      </c>
      <c r="M64" s="2"/>
      <c r="N64" s="7">
        <f t="shared" si="58"/>
        <v>-1</v>
      </c>
      <c r="O64" s="10"/>
      <c r="P64" s="6">
        <v>49.7</v>
      </c>
      <c r="Q64" s="2"/>
      <c r="R64" s="7">
        <f t="shared" si="59"/>
        <v>0</v>
      </c>
      <c r="S64" s="2"/>
      <c r="T64" s="6">
        <v>836.96</v>
      </c>
      <c r="U64" s="2"/>
      <c r="V64" s="7">
        <f t="shared" si="60"/>
        <v>3.2815712929950007E-3</v>
      </c>
      <c r="W64" s="2"/>
      <c r="X64" s="6">
        <f t="shared" si="61"/>
        <v>-787.26</v>
      </c>
      <c r="Y64" s="2"/>
      <c r="Z64" s="7">
        <f t="shared" si="62"/>
        <v>-0.94061842859873823</v>
      </c>
    </row>
    <row r="65" spans="1:26" s="26" customFormat="1" outlineLevel="1" collapsed="1" x14ac:dyDescent="0.25">
      <c r="A65" s="25"/>
      <c r="B65" s="12" t="str">
        <f>CONCATENATE("     ","Training                                          ")</f>
        <v xml:space="preserve">     Training                                          </v>
      </c>
      <c r="C65" s="12"/>
      <c r="D65" s="1">
        <f>SUM(OSRRefD22_11x_0)</f>
        <v>0</v>
      </c>
      <c r="E65" s="1"/>
      <c r="F65" s="5">
        <f t="shared" si="55"/>
        <v>0</v>
      </c>
      <c r="G65" s="1"/>
      <c r="H65" s="1">
        <f>SUM(OSRRefH22_11x_0)</f>
        <v>0</v>
      </c>
      <c r="I65" s="1"/>
      <c r="J65" s="5">
        <f t="shared" si="56"/>
        <v>0</v>
      </c>
      <c r="K65" s="1"/>
      <c r="L65" s="1">
        <f t="shared" si="57"/>
        <v>0</v>
      </c>
      <c r="M65" s="1"/>
      <c r="N65" s="5">
        <f t="shared" si="58"/>
        <v>0</v>
      </c>
      <c r="O65" s="12"/>
      <c r="P65" s="1">
        <f>SUM(OSRRefP22_11x_0)</f>
        <v>0</v>
      </c>
      <c r="Q65" s="1"/>
      <c r="R65" s="5">
        <f t="shared" si="59"/>
        <v>0</v>
      </c>
      <c r="S65" s="1"/>
      <c r="T65" s="1">
        <f>SUM(OSRRefT22_11x_0)</f>
        <v>52.5</v>
      </c>
      <c r="U65" s="1"/>
      <c r="V65" s="5">
        <f t="shared" si="60"/>
        <v>2.058431620175845E-4</v>
      </c>
      <c r="W65" s="1"/>
      <c r="X65" s="1">
        <f t="shared" si="61"/>
        <v>-52.5</v>
      </c>
      <c r="Y65" s="1"/>
      <c r="Z65" s="5">
        <f t="shared" si="62"/>
        <v>-1</v>
      </c>
    </row>
    <row r="66" spans="1:26" s="23" customFormat="1" hidden="1" outlineLevel="2" x14ac:dyDescent="0.25">
      <c r="A66" s="27"/>
      <c r="B66" s="10" t="str">
        <f>CONCATENATE("          ", "6376", " - ", "TRAINING")</f>
        <v xml:space="preserve">          6376 - TRAINING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52.5</v>
      </c>
      <c r="U66" s="2"/>
      <c r="V66" s="7">
        <f t="shared" si="60"/>
        <v>2.058431620175845E-4</v>
      </c>
      <c r="W66" s="2"/>
      <c r="X66" s="6">
        <f t="shared" si="61"/>
        <v>-52.5</v>
      </c>
      <c r="Y66" s="2"/>
      <c r="Z66" s="7">
        <f t="shared" si="62"/>
        <v>-1</v>
      </c>
    </row>
    <row r="67" spans="1:26" s="57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collapsed="1" x14ac:dyDescent="0.25">
      <c r="A68" s="11"/>
      <c r="B68" s="29" t="s">
        <v>292</v>
      </c>
      <c r="C68" s="11"/>
      <c r="D68" s="4">
        <f>SUM(OSRRefD25x_0)</f>
        <v>0</v>
      </c>
      <c r="E68" s="4"/>
      <c r="F68" s="13">
        <f t="shared" ref="F68:F69" si="63">IF(D$12=0,0,D68/D$12)</f>
        <v>0</v>
      </c>
      <c r="G68" s="4"/>
      <c r="H68" s="4">
        <f>SUM(OSRRefH25x_0)</f>
        <v>0</v>
      </c>
      <c r="I68" s="4"/>
      <c r="J68" s="13">
        <f t="shared" ref="J68:J69" si="64">IF(H$12=0,0,H68/H$12)</f>
        <v>0</v>
      </c>
      <c r="K68" s="4"/>
      <c r="L68" s="4">
        <f t="shared" ref="L68:L69" si="65">+D68-H68</f>
        <v>0</v>
      </c>
      <c r="M68" s="4"/>
      <c r="N68" s="13">
        <f t="shared" ref="N68:N69" si="66">IF(H68=0,0,L68/H68)</f>
        <v>0</v>
      </c>
      <c r="O68" s="11"/>
      <c r="P68" s="4">
        <f>SUM(OSRRefP25x_0)</f>
        <v>0</v>
      </c>
      <c r="Q68" s="4"/>
      <c r="R68" s="13">
        <f t="shared" ref="R68:R69" si="67">IF(P$12=0,0,P68/P$12)</f>
        <v>0</v>
      </c>
      <c r="S68" s="4"/>
      <c r="T68" s="4">
        <f>SUM(OSRRefT25x_0)</f>
        <v>507</v>
      </c>
      <c r="U68" s="4"/>
      <c r="V68" s="13">
        <f t="shared" ref="V68:V69" si="68">IF(T$12=0,0,T68/T$12)</f>
        <v>1.9878568217698159E-3</v>
      </c>
      <c r="W68" s="4"/>
      <c r="X68" s="4">
        <f t="shared" ref="X68:X69" si="69">+P68-T68</f>
        <v>-507</v>
      </c>
      <c r="Y68" s="4"/>
      <c r="Z68" s="13">
        <f t="shared" ref="Z68:Z69" si="70">IF(T68=0,0,X68/T68)</f>
        <v>-1</v>
      </c>
    </row>
    <row r="69" spans="1:26" s="23" customFormat="1" hidden="1" outlineLevel="1" x14ac:dyDescent="0.25">
      <c r="A69" s="44"/>
      <c r="B69" s="10" t="str">
        <f>CONCATENATE("          ", "9150", " - ", "MISC. INCOME")</f>
        <v xml:space="preserve">          9150 - MISC. INCOME</v>
      </c>
      <c r="C69" s="10"/>
      <c r="D69" s="2">
        <f>0</f>
        <v>0</v>
      </c>
      <c r="E69" s="2"/>
      <c r="F69" s="19">
        <f t="shared" si="63"/>
        <v>0</v>
      </c>
      <c r="G69" s="2"/>
      <c r="H69" s="2">
        <f>0</f>
        <v>0</v>
      </c>
      <c r="I69" s="2"/>
      <c r="J69" s="19">
        <f t="shared" si="64"/>
        <v>0</v>
      </c>
      <c r="K69" s="2"/>
      <c r="L69" s="2">
        <f t="shared" si="65"/>
        <v>0</v>
      </c>
      <c r="M69" s="2"/>
      <c r="N69" s="19">
        <f t="shared" si="66"/>
        <v>0</v>
      </c>
      <c r="O69" s="10"/>
      <c r="P69" s="2">
        <f>0</f>
        <v>0</v>
      </c>
      <c r="Q69" s="2"/>
      <c r="R69" s="19">
        <f t="shared" si="67"/>
        <v>0</v>
      </c>
      <c r="S69" s="2"/>
      <c r="T69" s="2">
        <f>--507</f>
        <v>507</v>
      </c>
      <c r="U69" s="2"/>
      <c r="V69" s="19">
        <f t="shared" si="68"/>
        <v>1.9878568217698159E-3</v>
      </c>
      <c r="W69" s="2"/>
      <c r="X69" s="2">
        <f t="shared" si="69"/>
        <v>-507</v>
      </c>
      <c r="Y69" s="2"/>
      <c r="Z69" s="19">
        <f t="shared" si="70"/>
        <v>-1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8" t="s">
        <v>276</v>
      </c>
      <c r="C71" s="28"/>
      <c r="D71" s="20">
        <f>+D20-D22+D68</f>
        <v>-58.03</v>
      </c>
      <c r="E71" s="14"/>
      <c r="F71" s="21">
        <f>IF(D$12=0,0,D71/D$12)</f>
        <v>0</v>
      </c>
      <c r="G71" s="14"/>
      <c r="H71" s="20">
        <f>+H20-H22+H68</f>
        <v>-7367.27</v>
      </c>
      <c r="I71" s="14"/>
      <c r="J71" s="21">
        <f>IF(H$12=0,0,H71/H$12)</f>
        <v>0</v>
      </c>
      <c r="K71" s="15"/>
      <c r="L71" s="20">
        <f>+D71-H71</f>
        <v>7309.2400000000007</v>
      </c>
      <c r="M71" s="15"/>
      <c r="N71" s="21">
        <f>IF(H71=0,0,L71/H71)</f>
        <v>-0.99212326954217778</v>
      </c>
      <c r="O71" s="29"/>
      <c r="P71" s="20">
        <f>+P20-P22+P68</f>
        <v>-5303.41</v>
      </c>
      <c r="Q71" s="14"/>
      <c r="R71" s="21">
        <f>IF(P$12=0,0,P71/P$12)</f>
        <v>0</v>
      </c>
      <c r="S71" s="14"/>
      <c r="T71" s="20">
        <f>+T20-T22+T68</f>
        <v>-32937.72</v>
      </c>
      <c r="U71" s="14"/>
      <c r="V71" s="21">
        <f>IF(T$12=0,0,T71/T$12)</f>
        <v>-0.12914294160856826</v>
      </c>
      <c r="W71" s="15"/>
      <c r="X71" s="20">
        <f>+P71-T71</f>
        <v>27634.31</v>
      </c>
      <c r="Y71" s="15"/>
      <c r="Z71" s="21">
        <f>IF(T71=0,0,X71/T71)</f>
        <v>-0.83898673010760916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/>
      <c r="E73" s="4"/>
      <c r="F73" s="13">
        <f>IF(D$12=0,0,D73/D$12)</f>
        <v>0</v>
      </c>
      <c r="G73" s="4"/>
      <c r="H73" s="4">
        <v>1244.06</v>
      </c>
      <c r="I73" s="4"/>
      <c r="J73" s="13">
        <f>IF(H$12=0,0,H73/H$12)</f>
        <v>0</v>
      </c>
      <c r="K73" s="4"/>
      <c r="L73" s="4">
        <f>+D73-H73</f>
        <v>-1244.06</v>
      </c>
      <c r="M73" s="4"/>
      <c r="N73" s="13">
        <f>IF(H73=0,0,L73/H73)</f>
        <v>-1</v>
      </c>
      <c r="O73" s="11"/>
      <c r="P73" s="4"/>
      <c r="Q73" s="4"/>
      <c r="R73" s="13">
        <f>IF(P$12=0,0,P73/P$12)</f>
        <v>0</v>
      </c>
      <c r="S73" s="4"/>
      <c r="T73" s="4">
        <v>30203</v>
      </c>
      <c r="U73" s="4"/>
      <c r="V73" s="13">
        <f>IF(T$12=0,0,T73/T$12)</f>
        <v>0.11842059090318295</v>
      </c>
      <c r="W73" s="4"/>
      <c r="X73" s="4">
        <f>+P73-T73</f>
        <v>-30203</v>
      </c>
      <c r="Y73" s="4"/>
      <c r="Z73" s="13">
        <f>IF(T73=0,0,X73/T73)</f>
        <v>-1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125</v>
      </c>
      <c r="C75" s="28"/>
      <c r="D75" s="35">
        <f>+D71-D73</f>
        <v>-58.03</v>
      </c>
      <c r="E75" s="14"/>
      <c r="F75" s="36">
        <f>IF(D$12=0,0,D75/D$12)</f>
        <v>0</v>
      </c>
      <c r="G75" s="14"/>
      <c r="H75" s="35">
        <f>+H71-H73</f>
        <v>-8611.33</v>
      </c>
      <c r="I75" s="14"/>
      <c r="J75" s="36">
        <f>IF(H$12=0,0,H75/H$12)</f>
        <v>0</v>
      </c>
      <c r="K75" s="15"/>
      <c r="L75" s="35">
        <f>D75-H75</f>
        <v>8553.2999999999993</v>
      </c>
      <c r="M75" s="15"/>
      <c r="N75" s="36">
        <f>IF(H75=0,0,L75/H75)</f>
        <v>-0.99326120355392244</v>
      </c>
      <c r="O75" s="29"/>
      <c r="P75" s="35">
        <f>+P71-P73</f>
        <v>-5303.41</v>
      </c>
      <c r="Q75" s="14"/>
      <c r="R75" s="36">
        <f>IF(P$12=0,0,P75/P$12)</f>
        <v>0</v>
      </c>
      <c r="S75" s="14"/>
      <c r="T75" s="35">
        <f>+T71-T73</f>
        <v>-63140.72</v>
      </c>
      <c r="U75" s="14"/>
      <c r="V75" s="36">
        <f>IF(T$12=0,0,T75/T$12)</f>
        <v>-0.2475635325117512</v>
      </c>
      <c r="W75" s="15"/>
      <c r="X75" s="35">
        <f>P75-T75</f>
        <v>57837.31</v>
      </c>
      <c r="Y75" s="15"/>
      <c r="Z75" s="36">
        <f>IF(T75=0,0,X75/T75)</f>
        <v>-0.91600650103451464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293</v>
      </c>
      <c r="C78" s="28"/>
      <c r="D78" s="30">
        <f>SUM(D75:D77)</f>
        <v>-58.03</v>
      </c>
      <c r="E78" s="14"/>
      <c r="F78" s="31">
        <f>IF(D$12=0,0,D78/D$12)</f>
        <v>0</v>
      </c>
      <c r="G78" s="14"/>
      <c r="H78" s="30">
        <f>SUM(H75:H77)</f>
        <v>-8611.33</v>
      </c>
      <c r="I78" s="14"/>
      <c r="J78" s="31">
        <f>IF(H$12=0,0,H78/H$12)</f>
        <v>0</v>
      </c>
      <c r="K78" s="15"/>
      <c r="L78" s="30">
        <f>+D78-H78</f>
        <v>8553.2999999999993</v>
      </c>
      <c r="M78" s="15"/>
      <c r="N78" s="31">
        <f>IF(H78=0,0,L78/H78)</f>
        <v>-0.99326120355392244</v>
      </c>
      <c r="O78" s="29"/>
      <c r="P78" s="30">
        <f>SUM(P75:P77)</f>
        <v>-5303.41</v>
      </c>
      <c r="Q78" s="14"/>
      <c r="R78" s="31">
        <f>IF(P$12=0,0,P78/P$12)</f>
        <v>0</v>
      </c>
      <c r="S78" s="14"/>
      <c r="T78" s="30">
        <f>SUM(T75:T77)</f>
        <v>-63140.72</v>
      </c>
      <c r="U78" s="14"/>
      <c r="V78" s="31">
        <f>IF(T$12=0,0,T78/T$12)</f>
        <v>-0.2475635325117512</v>
      </c>
      <c r="W78" s="15"/>
      <c r="X78" s="30">
        <f>+P78-T78</f>
        <v>57837.31</v>
      </c>
      <c r="Y78" s="15"/>
      <c r="Z78" s="31">
        <f>IF(T78=0,0,X78/T78)</f>
        <v>-0.91600650103451464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9">
        <v>44356.893348032405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2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974.91</v>
      </c>
      <c r="Q12" s="4"/>
      <c r="R12" s="13"/>
      <c r="S12" s="4"/>
      <c r="T12" s="4">
        <f>SUM(OSRRefT13x_0)</f>
        <v>591931.24</v>
      </c>
      <c r="U12" s="4"/>
      <c r="V12" s="13"/>
      <c r="W12" s="4"/>
      <c r="X12" s="4">
        <f t="shared" ref="X12:X14" si="2">+P12-T12</f>
        <v>-590956.32999999996</v>
      </c>
      <c r="Y12" s="4"/>
      <c r="Z12" s="13">
        <f t="shared" ref="Z12:Z14" si="3">IF(T12=0,0,X12/T12)</f>
        <v>-0.99835300127089077</v>
      </c>
    </row>
    <row r="13" spans="1:26" s="23" customFormat="1" hidden="1" outlineLevel="1" x14ac:dyDescent="0.25">
      <c r="A13" s="44"/>
      <c r="B13" s="10" t="str">
        <f>CONCATENATE("          ", "4058", " - ", "TAXABLE SALES-FOOD")</f>
        <v xml:space="preserve">          4058 -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--974.91</f>
        <v>974.91</v>
      </c>
      <c r="Q13" s="2"/>
      <c r="R13" s="19"/>
      <c r="S13" s="2"/>
      <c r="T13" s="2">
        <f>--117077.57</f>
        <v>117077.57</v>
      </c>
      <c r="U13" s="2"/>
      <c r="V13" s="19"/>
      <c r="W13" s="2"/>
      <c r="X13" s="2">
        <f t="shared" si="2"/>
        <v>-116102.66</v>
      </c>
      <c r="Y13" s="2"/>
      <c r="Z13" s="19">
        <f t="shared" si="3"/>
        <v>-0.99167295665600164</v>
      </c>
    </row>
    <row r="14" spans="1:26" s="23" customFormat="1" hidden="1" outlineLevel="1" x14ac:dyDescent="0.25">
      <c r="A14" s="44"/>
      <c r="B14" s="10" t="str">
        <f>CONCATENATE("          ", "4158", " - ", "NON-TAXABLE SALES-FOOD")</f>
        <v xml:space="preserve">          4158 -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--474853.67</f>
        <v>474853.67</v>
      </c>
      <c r="U14" s="2"/>
      <c r="V14" s="19"/>
      <c r="W14" s="2"/>
      <c r="X14" s="2">
        <f t="shared" si="2"/>
        <v>-474853.67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10488.59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-10488.59</v>
      </c>
      <c r="M16" s="4"/>
      <c r="N16" s="13">
        <f t="shared" ref="N16:N18" si="9">IF(H16=0,0,L16/H16)</f>
        <v>-1</v>
      </c>
      <c r="O16" s="11"/>
      <c r="P16" s="4">
        <f>SUM(OSRRefP16x_0)</f>
        <v>-2369.56</v>
      </c>
      <c r="Q16" s="4"/>
      <c r="R16" s="13">
        <f t="shared" ref="R16:R18" si="10">IF(P$12=0,0,P16/P$12)</f>
        <v>-2.4305423064693152</v>
      </c>
      <c r="S16" s="4"/>
      <c r="T16" s="4">
        <f>SUM(OSRRefT16x_0)</f>
        <v>211885.36</v>
      </c>
      <c r="U16" s="4"/>
      <c r="V16" s="13">
        <f t="shared" ref="V16:V18" si="11">IF(T$12=0,0,T16/T$12)</f>
        <v>0.35795603556926642</v>
      </c>
      <c r="W16" s="4"/>
      <c r="X16" s="4">
        <f t="shared" ref="X16:X18" si="12">+P16-T16</f>
        <v>-214254.91999999998</v>
      </c>
      <c r="Y16" s="4"/>
      <c r="Z16" s="13">
        <f t="shared" ref="Z16:Z18" si="13">IF(T16=0,0,X16/T16)</f>
        <v>-1.0111832171887667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4713.59</v>
      </c>
      <c r="I17" s="2"/>
      <c r="J17" s="19">
        <f t="shared" si="7"/>
        <v>0</v>
      </c>
      <c r="K17" s="2"/>
      <c r="L17" s="2">
        <f t="shared" si="8"/>
        <v>-4713.59</v>
      </c>
      <c r="M17" s="2"/>
      <c r="N17" s="19">
        <f t="shared" si="9"/>
        <v>-1</v>
      </c>
      <c r="O17" s="10"/>
      <c r="P17" s="2">
        <v>-2369.56</v>
      </c>
      <c r="Q17" s="2"/>
      <c r="R17" s="19">
        <f t="shared" si="10"/>
        <v>-2.4305423064693152</v>
      </c>
      <c r="S17" s="2"/>
      <c r="T17" s="2">
        <v>202040.36</v>
      </c>
      <c r="U17" s="2"/>
      <c r="V17" s="19">
        <f t="shared" si="11"/>
        <v>0.34132403621744983</v>
      </c>
      <c r="W17" s="2"/>
      <c r="X17" s="2">
        <f t="shared" si="12"/>
        <v>-204409.91999999998</v>
      </c>
      <c r="Y17" s="2"/>
      <c r="Z17" s="19">
        <f t="shared" si="13"/>
        <v>-1.0117281517415628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5775</v>
      </c>
      <c r="I18" s="2"/>
      <c r="J18" s="19">
        <f t="shared" si="7"/>
        <v>0</v>
      </c>
      <c r="K18" s="2"/>
      <c r="L18" s="2">
        <f t="shared" si="8"/>
        <v>-5775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9845</v>
      </c>
      <c r="U18" s="2"/>
      <c r="V18" s="19">
        <f t="shared" si="11"/>
        <v>1.6631999351816605E-2</v>
      </c>
      <c r="W18" s="2"/>
      <c r="X18" s="2">
        <f t="shared" si="12"/>
        <v>-9845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-10488.59</v>
      </c>
      <c r="I20" s="14"/>
      <c r="J20" s="21">
        <f>IF(H$12=0,0,H20/H$12)</f>
        <v>0</v>
      </c>
      <c r="K20" s="15"/>
      <c r="L20" s="20">
        <f>+D20-H20</f>
        <v>10488.59</v>
      </c>
      <c r="M20" s="15"/>
      <c r="N20" s="21">
        <f>IF(H20=0,0,L20/H20)</f>
        <v>-1</v>
      </c>
      <c r="O20" s="29"/>
      <c r="P20" s="20">
        <f>P12-P16</f>
        <v>3344.47</v>
      </c>
      <c r="Q20" s="14"/>
      <c r="R20" s="21">
        <f>IF(P$12=0,0,P20/P$12)</f>
        <v>3.4305423064693152</v>
      </c>
      <c r="S20" s="14"/>
      <c r="T20" s="20">
        <f>T12-T16</f>
        <v>380045.88</v>
      </c>
      <c r="U20" s="14"/>
      <c r="V20" s="21">
        <f>IF(T$12=0,0,T20/T$12)</f>
        <v>0.64204396443073353</v>
      </c>
      <c r="W20" s="15"/>
      <c r="X20" s="20">
        <f>+P20-T20</f>
        <v>-376701.41000000003</v>
      </c>
      <c r="Y20" s="15"/>
      <c r="Z20" s="21">
        <f>IF(T20=0,0,X20/T20)</f>
        <v>-0.99119982566315423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1825.23</v>
      </c>
      <c r="E22" s="22"/>
      <c r="F22" s="32">
        <f t="shared" ref="F22:F31" si="14">IF(D$12=0,0,D22/D$12)</f>
        <v>0</v>
      </c>
      <c r="G22" s="22"/>
      <c r="H22" s="22">
        <f>SUM(OSRRefH22x_0)</f>
        <v>3660.5299999999997</v>
      </c>
      <c r="I22" s="22"/>
      <c r="J22" s="32">
        <f t="shared" ref="J22:J31" si="15">IF(H$12=0,0,H22/H$12)</f>
        <v>0</v>
      </c>
      <c r="K22" s="4"/>
      <c r="L22" s="22">
        <f t="shared" ref="L22:L31" si="16">+D22-H22</f>
        <v>-1835.2999999999997</v>
      </c>
      <c r="M22" s="4"/>
      <c r="N22" s="32">
        <f t="shared" ref="N22:N31" si="17">IF(H22=0,0,L22/H22)</f>
        <v>-0.50137548387801767</v>
      </c>
      <c r="O22" s="11"/>
      <c r="P22" s="22">
        <f>SUM(OSRRefP22x_0)</f>
        <v>21742.579999999998</v>
      </c>
      <c r="Q22" s="22"/>
      <c r="R22" s="32">
        <f t="shared" ref="R22:R31" si="18">IF(P$12=0,0,P22/P$12)</f>
        <v>22.302140710424549</v>
      </c>
      <c r="S22" s="22"/>
      <c r="T22" s="22">
        <f>SUM(OSRRefT22x_0)</f>
        <v>330001.64</v>
      </c>
      <c r="U22" s="22"/>
      <c r="V22" s="32">
        <f t="shared" ref="V22:V31" si="19">IF(T$12=0,0,T22/T$12)</f>
        <v>0.55749995556916376</v>
      </c>
      <c r="W22" s="4"/>
      <c r="X22" s="22">
        <f t="shared" ref="X22:X31" si="20">+P22-T22</f>
        <v>-308259.06</v>
      </c>
      <c r="Y22" s="4"/>
      <c r="Z22" s="32">
        <f t="shared" ref="Z22:Z31" si="21">IF(T22=0,0,X22/T22)</f>
        <v>-0.9341137213742331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787.37999999999988</v>
      </c>
      <c r="I23" s="1"/>
      <c r="J23" s="5">
        <f t="shared" si="15"/>
        <v>0</v>
      </c>
      <c r="K23" s="1"/>
      <c r="L23" s="1">
        <f t="shared" si="16"/>
        <v>-787.37999999999988</v>
      </c>
      <c r="M23" s="1"/>
      <c r="N23" s="5">
        <f t="shared" si="17"/>
        <v>-1</v>
      </c>
      <c r="O23" s="12"/>
      <c r="P23" s="1">
        <f>SUM(OSRRefP22_0x_0)</f>
        <v>702.51</v>
      </c>
      <c r="Q23" s="1"/>
      <c r="R23" s="5">
        <f t="shared" si="18"/>
        <v>0.72058959288549718</v>
      </c>
      <c r="S23" s="1"/>
      <c r="T23" s="1">
        <f>SUM(OSRRefT22_0x_0)</f>
        <v>27555.120000000003</v>
      </c>
      <c r="U23" s="1"/>
      <c r="V23" s="5">
        <f t="shared" si="19"/>
        <v>4.6551217671836349E-2</v>
      </c>
      <c r="W23" s="1"/>
      <c r="X23" s="1">
        <f t="shared" si="20"/>
        <v>-26852.610000000004</v>
      </c>
      <c r="Y23" s="1"/>
      <c r="Z23" s="5">
        <f t="shared" si="21"/>
        <v>-0.97450528250285251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19.059999999999999</v>
      </c>
      <c r="I24" s="2"/>
      <c r="J24" s="7">
        <f t="shared" si="15"/>
        <v>0</v>
      </c>
      <c r="K24" s="2"/>
      <c r="L24" s="6">
        <f t="shared" si="16"/>
        <v>-19.059999999999999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5995.86</v>
      </c>
      <c r="U24" s="2"/>
      <c r="V24" s="7">
        <f t="shared" si="19"/>
        <v>1.0129318398535612E-2</v>
      </c>
      <c r="W24" s="2"/>
      <c r="X24" s="6">
        <f t="shared" si="20"/>
        <v>-5995.86</v>
      </c>
      <c r="Y24" s="2"/>
      <c r="Z24" s="7">
        <f t="shared" si="21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/>
      <c r="Q25" s="2"/>
      <c r="R25" s="7">
        <f t="shared" si="18"/>
        <v>0</v>
      </c>
      <c r="S25" s="2"/>
      <c r="T25" s="6">
        <v>5901.84</v>
      </c>
      <c r="U25" s="2"/>
      <c r="V25" s="7">
        <f t="shared" si="19"/>
        <v>9.9704823823794139E-3</v>
      </c>
      <c r="W25" s="2"/>
      <c r="X25" s="6">
        <f t="shared" si="20"/>
        <v>-5901.84</v>
      </c>
      <c r="Y25" s="2"/>
      <c r="Z25" s="7">
        <f t="shared" si="21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702.51</v>
      </c>
      <c r="I26" s="2"/>
      <c r="J26" s="7">
        <f t="shared" si="15"/>
        <v>0</v>
      </c>
      <c r="K26" s="2"/>
      <c r="L26" s="6">
        <f t="shared" si="16"/>
        <v>-702.51</v>
      </c>
      <c r="M26" s="2"/>
      <c r="N26" s="7">
        <f t="shared" si="17"/>
        <v>-1</v>
      </c>
      <c r="O26" s="10"/>
      <c r="P26" s="6">
        <v>702.51</v>
      </c>
      <c r="Q26" s="2"/>
      <c r="R26" s="7">
        <f t="shared" si="18"/>
        <v>0.72058959288549718</v>
      </c>
      <c r="S26" s="2"/>
      <c r="T26" s="6">
        <v>8408.82</v>
      </c>
      <c r="U26" s="2"/>
      <c r="V26" s="7">
        <f t="shared" si="19"/>
        <v>1.4205737815088116E-2</v>
      </c>
      <c r="W26" s="2"/>
      <c r="X26" s="6">
        <f t="shared" si="20"/>
        <v>-7706.3099999999995</v>
      </c>
      <c r="Y26" s="2"/>
      <c r="Z26" s="7">
        <f t="shared" si="21"/>
        <v>-0.91645557878513273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/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0"/>
      <c r="P27" s="6"/>
      <c r="Q27" s="2"/>
      <c r="R27" s="7">
        <f t="shared" si="18"/>
        <v>0</v>
      </c>
      <c r="S27" s="2"/>
      <c r="T27" s="6">
        <v>479.62</v>
      </c>
      <c r="U27" s="2"/>
      <c r="V27" s="7">
        <f t="shared" si="19"/>
        <v>8.1026302987488889E-4</v>
      </c>
      <c r="W27" s="2"/>
      <c r="X27" s="6">
        <f t="shared" si="20"/>
        <v>-479.62</v>
      </c>
      <c r="Y27" s="2"/>
      <c r="Z27" s="7">
        <f t="shared" si="21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/>
      <c r="Q28" s="2"/>
      <c r="R28" s="7">
        <f t="shared" si="18"/>
        <v>0</v>
      </c>
      <c r="S28" s="2"/>
      <c r="T28" s="6">
        <v>711.9</v>
      </c>
      <c r="U28" s="2"/>
      <c r="V28" s="7">
        <f t="shared" si="19"/>
        <v>1.2026734726824015E-3</v>
      </c>
      <c r="W28" s="2"/>
      <c r="X28" s="6">
        <f t="shared" si="20"/>
        <v>-711.9</v>
      </c>
      <c r="Y28" s="2"/>
      <c r="Z28" s="7">
        <f t="shared" si="21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/>
      <c r="Q29" s="2"/>
      <c r="R29" s="7">
        <f t="shared" si="18"/>
        <v>0</v>
      </c>
      <c r="S29" s="2"/>
      <c r="T29" s="6">
        <v>2037.11</v>
      </c>
      <c r="U29" s="2"/>
      <c r="V29" s="7">
        <f t="shared" si="19"/>
        <v>3.4414639105717752E-3</v>
      </c>
      <c r="W29" s="2"/>
      <c r="X29" s="6">
        <f t="shared" si="20"/>
        <v>-2037.11</v>
      </c>
      <c r="Y29" s="2"/>
      <c r="Z29" s="7">
        <f t="shared" si="21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/>
      <c r="Q30" s="2"/>
      <c r="R30" s="7">
        <f t="shared" si="18"/>
        <v>0</v>
      </c>
      <c r="S30" s="2"/>
      <c r="T30" s="6">
        <v>2440.5100000000002</v>
      </c>
      <c r="U30" s="2"/>
      <c r="V30" s="7">
        <f t="shared" si="19"/>
        <v>4.1229619845710459E-3</v>
      </c>
      <c r="W30" s="2"/>
      <c r="X30" s="6">
        <f t="shared" si="20"/>
        <v>-2440.5100000000002</v>
      </c>
      <c r="Y30" s="2"/>
      <c r="Z30" s="7">
        <f t="shared" si="21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65.81</v>
      </c>
      <c r="I31" s="2"/>
      <c r="J31" s="7">
        <f t="shared" si="15"/>
        <v>0</v>
      </c>
      <c r="K31" s="2"/>
      <c r="L31" s="6">
        <f t="shared" si="16"/>
        <v>-65.81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1579.46</v>
      </c>
      <c r="U31" s="2"/>
      <c r="V31" s="7">
        <f t="shared" si="19"/>
        <v>2.6683166781330887E-3</v>
      </c>
      <c r="W31" s="2"/>
      <c r="X31" s="6">
        <f t="shared" si="20"/>
        <v>-1579.46</v>
      </c>
      <c r="Y31" s="2"/>
      <c r="Z31" s="7">
        <f t="shared" si="21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250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-250</v>
      </c>
      <c r="M32" s="1"/>
      <c r="N32" s="5">
        <f t="shared" ref="N32:N38" si="25">IF(H32=0,0,L32/H32)</f>
        <v>-1</v>
      </c>
      <c r="O32" s="12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187328.10000000003</v>
      </c>
      <c r="U32" s="1"/>
      <c r="V32" s="5">
        <f t="shared" ref="V32:V38" si="27">IF(T$12=0,0,T32/T$12)</f>
        <v>0.31646935883971933</v>
      </c>
      <c r="W32" s="1"/>
      <c r="X32" s="1">
        <f t="shared" ref="X32:X38" si="28">+P32-T32</f>
        <v>-187328.10000000003</v>
      </c>
      <c r="Y32" s="1"/>
      <c r="Z32" s="5">
        <f t="shared" ref="Z32:Z38" si="29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/>
      <c r="Q33" s="2"/>
      <c r="R33" s="7">
        <f t="shared" si="26"/>
        <v>0</v>
      </c>
      <c r="S33" s="2"/>
      <c r="T33" s="6">
        <v>9754.9500000000007</v>
      </c>
      <c r="U33" s="2"/>
      <c r="V33" s="7">
        <f t="shared" si="27"/>
        <v>1.6479870195734221E-2</v>
      </c>
      <c r="W33" s="2"/>
      <c r="X33" s="6">
        <f t="shared" si="28"/>
        <v>-9754.9500000000007</v>
      </c>
      <c r="Y33" s="2"/>
      <c r="Z33" s="7">
        <f t="shared" si="29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250</v>
      </c>
      <c r="I34" s="2"/>
      <c r="J34" s="7">
        <f t="shared" si="23"/>
        <v>0</v>
      </c>
      <c r="K34" s="2"/>
      <c r="L34" s="6">
        <f t="shared" si="24"/>
        <v>-250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53258.29</v>
      </c>
      <c r="U34" s="2"/>
      <c r="V34" s="7">
        <f t="shared" si="27"/>
        <v>8.9973778035435339E-2</v>
      </c>
      <c r="W34" s="2"/>
      <c r="X34" s="6">
        <f t="shared" si="28"/>
        <v>-53258.29</v>
      </c>
      <c r="Y34" s="2"/>
      <c r="Z34" s="7">
        <f t="shared" si="29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1997.5</v>
      </c>
      <c r="U35" s="2"/>
      <c r="V35" s="7">
        <f t="shared" si="27"/>
        <v>3.3745473545204337E-3</v>
      </c>
      <c r="W35" s="2"/>
      <c r="X35" s="6">
        <f t="shared" si="28"/>
        <v>-1997.5</v>
      </c>
      <c r="Y35" s="2"/>
      <c r="Z35" s="7">
        <f t="shared" si="29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29.25</v>
      </c>
      <c r="U36" s="2"/>
      <c r="V36" s="7">
        <f t="shared" si="27"/>
        <v>4.9414523213878695E-5</v>
      </c>
      <c r="W36" s="2"/>
      <c r="X36" s="6">
        <f t="shared" si="28"/>
        <v>-29.25</v>
      </c>
      <c r="Y36" s="2"/>
      <c r="Z36" s="7">
        <f t="shared" si="29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121057.66</v>
      </c>
      <c r="U37" s="2"/>
      <c r="V37" s="7">
        <f t="shared" si="27"/>
        <v>0.20451304445428495</v>
      </c>
      <c r="W37" s="2"/>
      <c r="X37" s="6">
        <f t="shared" si="28"/>
        <v>-121057.66</v>
      </c>
      <c r="Y37" s="2"/>
      <c r="Z37" s="7">
        <f t="shared" si="29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1230.45</v>
      </c>
      <c r="U38" s="2"/>
      <c r="V38" s="7">
        <f t="shared" si="27"/>
        <v>2.0787042765304971E-3</v>
      </c>
      <c r="W38" s="2"/>
      <c r="X38" s="6">
        <f t="shared" si="28"/>
        <v>-1230.45</v>
      </c>
      <c r="Y38" s="2"/>
      <c r="Z38" s="7">
        <f t="shared" si="29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5" si="30">IF(D$12=0,0,D39/D$12)</f>
        <v>0</v>
      </c>
      <c r="G39" s="1"/>
      <c r="H39" s="1">
        <f>SUM(OSRRefH22_2x_0)</f>
        <v>30.68</v>
      </c>
      <c r="I39" s="1"/>
      <c r="J39" s="5">
        <f t="shared" ref="J39:J55" si="31">IF(H$12=0,0,H39/H$12)</f>
        <v>0</v>
      </c>
      <c r="K39" s="1"/>
      <c r="L39" s="1">
        <f t="shared" ref="L39:L55" si="32">+D39-H39</f>
        <v>-30.68</v>
      </c>
      <c r="M39" s="1"/>
      <c r="N39" s="5">
        <f t="shared" ref="N39:N55" si="33">IF(H39=0,0,L39/H39)</f>
        <v>-1</v>
      </c>
      <c r="O39" s="12"/>
      <c r="P39" s="1">
        <f>SUM(OSRRefP22_2x_0)</f>
        <v>83.83</v>
      </c>
      <c r="Q39" s="1"/>
      <c r="R39" s="5">
        <f t="shared" ref="R39:R55" si="34">IF(P$12=0,0,P39/P$12)</f>
        <v>8.5987424480208435E-2</v>
      </c>
      <c r="S39" s="1"/>
      <c r="T39" s="1">
        <f>SUM(OSRRefT22_2x_0)</f>
        <v>830.37</v>
      </c>
      <c r="U39" s="1"/>
      <c r="V39" s="5">
        <f t="shared" ref="V39:V55" si="35">IF(T$12=0,0,T39/T$12)</f>
        <v>1.4028149620891779E-3</v>
      </c>
      <c r="W39" s="1"/>
      <c r="X39" s="1">
        <f t="shared" ref="X39:X55" si="36">+P39-T39</f>
        <v>-746.54</v>
      </c>
      <c r="Y39" s="1"/>
      <c r="Z39" s="5">
        <f t="shared" ref="Z39:Z55" si="37">IF(T39=0,0,X39/T39)</f>
        <v>-0.89904500403434606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>
        <v>30.68</v>
      </c>
      <c r="I40" s="2"/>
      <c r="J40" s="7">
        <f t="shared" si="31"/>
        <v>0</v>
      </c>
      <c r="K40" s="2"/>
      <c r="L40" s="6">
        <f t="shared" si="32"/>
        <v>-30.68</v>
      </c>
      <c r="M40" s="2"/>
      <c r="N40" s="7">
        <f t="shared" si="33"/>
        <v>-1</v>
      </c>
      <c r="O40" s="10"/>
      <c r="P40" s="6">
        <v>83.83</v>
      </c>
      <c r="Q40" s="2"/>
      <c r="R40" s="7">
        <f t="shared" si="34"/>
        <v>8.5987424480208435E-2</v>
      </c>
      <c r="S40" s="2"/>
      <c r="T40" s="6">
        <v>830.37</v>
      </c>
      <c r="U40" s="2"/>
      <c r="V40" s="7">
        <f t="shared" si="35"/>
        <v>1.4028149620891779E-3</v>
      </c>
      <c r="W40" s="2"/>
      <c r="X40" s="6">
        <f t="shared" si="36"/>
        <v>-746.54</v>
      </c>
      <c r="Y40" s="2"/>
      <c r="Z40" s="7">
        <f t="shared" si="37"/>
        <v>-0.89904500403434606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125.23</v>
      </c>
      <c r="U41" s="1"/>
      <c r="V41" s="5">
        <f t="shared" si="35"/>
        <v>2.1156173477176167E-4</v>
      </c>
      <c r="W41" s="1"/>
      <c r="X41" s="1">
        <f t="shared" si="36"/>
        <v>-125.23</v>
      </c>
      <c r="Y41" s="1"/>
      <c r="Z41" s="5">
        <f t="shared" si="37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0"/>
      <c r="P42" s="6"/>
      <c r="Q42" s="2"/>
      <c r="R42" s="7">
        <f t="shared" si="34"/>
        <v>0</v>
      </c>
      <c r="S42" s="2"/>
      <c r="T42" s="6">
        <v>125.23</v>
      </c>
      <c r="U42" s="2"/>
      <c r="V42" s="7">
        <f t="shared" si="35"/>
        <v>2.1156173477176167E-4</v>
      </c>
      <c r="W42" s="2"/>
      <c r="X42" s="6">
        <f t="shared" si="36"/>
        <v>-125.23</v>
      </c>
      <c r="Y42" s="2"/>
      <c r="Z42" s="7">
        <f t="shared" si="37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18857.060000000001</v>
      </c>
      <c r="U43" s="1"/>
      <c r="V43" s="5">
        <f t="shared" si="35"/>
        <v>3.1856842021042851E-2</v>
      </c>
      <c r="W43" s="1"/>
      <c r="X43" s="1">
        <f t="shared" si="36"/>
        <v>-18857.060000000001</v>
      </c>
      <c r="Y43" s="1"/>
      <c r="Z43" s="5">
        <f t="shared" si="37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/>
      <c r="Q44" s="2"/>
      <c r="R44" s="7">
        <f t="shared" si="34"/>
        <v>0</v>
      </c>
      <c r="S44" s="2"/>
      <c r="T44" s="6">
        <v>18857.060000000001</v>
      </c>
      <c r="U44" s="2"/>
      <c r="V44" s="7">
        <f t="shared" si="35"/>
        <v>3.1856842021042851E-2</v>
      </c>
      <c r="W44" s="2"/>
      <c r="X44" s="6">
        <f t="shared" si="36"/>
        <v>-18857.060000000001</v>
      </c>
      <c r="Y44" s="2"/>
      <c r="Z44" s="7">
        <f t="shared" si="37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1825.23</v>
      </c>
      <c r="E45" s="1"/>
      <c r="F45" s="5">
        <f t="shared" si="30"/>
        <v>0</v>
      </c>
      <c r="G45" s="1"/>
      <c r="H45" s="1">
        <f>SUM(OSRRefH22_5x_0)</f>
        <v>1972.05</v>
      </c>
      <c r="I45" s="1"/>
      <c r="J45" s="5">
        <f t="shared" si="31"/>
        <v>0</v>
      </c>
      <c r="K45" s="1"/>
      <c r="L45" s="1">
        <f t="shared" si="32"/>
        <v>-146.81999999999994</v>
      </c>
      <c r="M45" s="1"/>
      <c r="N45" s="5">
        <f t="shared" si="33"/>
        <v>-7.4450444968433838E-2</v>
      </c>
      <c r="O45" s="12"/>
      <c r="P45" s="1">
        <f>SUM(OSRRefP22_5x_0)</f>
        <v>20224.62</v>
      </c>
      <c r="Q45" s="1"/>
      <c r="R45" s="5">
        <f t="shared" si="34"/>
        <v>20.745114933686185</v>
      </c>
      <c r="S45" s="1"/>
      <c r="T45" s="1">
        <f>SUM(OSRRefT22_5x_0)</f>
        <v>20557.919999999998</v>
      </c>
      <c r="U45" s="1"/>
      <c r="V45" s="5">
        <f t="shared" si="35"/>
        <v>3.4730250087831142E-2</v>
      </c>
      <c r="W45" s="1"/>
      <c r="X45" s="1">
        <f t="shared" si="36"/>
        <v>-333.29999999999927</v>
      </c>
      <c r="Y45" s="1"/>
      <c r="Z45" s="5">
        <f t="shared" si="37"/>
        <v>-1.621272969249804E-2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1825.23</v>
      </c>
      <c r="E46" s="2"/>
      <c r="F46" s="7">
        <f t="shared" si="30"/>
        <v>0</v>
      </c>
      <c r="G46" s="2"/>
      <c r="H46" s="6">
        <v>1972.05</v>
      </c>
      <c r="I46" s="2"/>
      <c r="J46" s="7">
        <f t="shared" si="31"/>
        <v>0</v>
      </c>
      <c r="K46" s="2"/>
      <c r="L46" s="6">
        <f t="shared" si="32"/>
        <v>-146.81999999999994</v>
      </c>
      <c r="M46" s="2"/>
      <c r="N46" s="7">
        <f t="shared" si="33"/>
        <v>-7.4450444968433838E-2</v>
      </c>
      <c r="O46" s="10"/>
      <c r="P46" s="6">
        <v>20224.62</v>
      </c>
      <c r="Q46" s="2"/>
      <c r="R46" s="7">
        <f t="shared" si="34"/>
        <v>20.745114933686185</v>
      </c>
      <c r="S46" s="2"/>
      <c r="T46" s="6">
        <v>20557.919999999998</v>
      </c>
      <c r="U46" s="2"/>
      <c r="V46" s="7">
        <f t="shared" si="35"/>
        <v>3.4730250087831142E-2</v>
      </c>
      <c r="W46" s="2"/>
      <c r="X46" s="6">
        <f t="shared" si="36"/>
        <v>-333.29999999999927</v>
      </c>
      <c r="Y46" s="2"/>
      <c r="Z46" s="7">
        <f t="shared" si="37"/>
        <v>-1.621272969249804E-2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236.02</v>
      </c>
      <c r="U47" s="1"/>
      <c r="V47" s="5">
        <f t="shared" si="35"/>
        <v>3.9872874423725298E-4</v>
      </c>
      <c r="W47" s="1"/>
      <c r="X47" s="1">
        <f t="shared" si="36"/>
        <v>-236.02</v>
      </c>
      <c r="Y47" s="1"/>
      <c r="Z47" s="5">
        <f t="shared" si="37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/>
      <c r="Q48" s="2"/>
      <c r="R48" s="7">
        <f t="shared" si="34"/>
        <v>0</v>
      </c>
      <c r="S48" s="2"/>
      <c r="T48" s="6">
        <v>236.02</v>
      </c>
      <c r="U48" s="2"/>
      <c r="V48" s="7">
        <f t="shared" si="35"/>
        <v>3.9872874423725298E-4</v>
      </c>
      <c r="W48" s="2"/>
      <c r="X48" s="6">
        <f t="shared" si="36"/>
        <v>-236.02</v>
      </c>
      <c r="Y48" s="2"/>
      <c r="Z48" s="7">
        <f t="shared" si="37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240.32</v>
      </c>
      <c r="I49" s="1"/>
      <c r="J49" s="5">
        <f t="shared" si="31"/>
        <v>0</v>
      </c>
      <c r="K49" s="1"/>
      <c r="L49" s="1">
        <f t="shared" si="32"/>
        <v>-240.32</v>
      </c>
      <c r="M49" s="1"/>
      <c r="N49" s="5">
        <f t="shared" si="33"/>
        <v>-1</v>
      </c>
      <c r="O49" s="12"/>
      <c r="P49" s="1">
        <f>SUM(OSRRefP22_7x_0)</f>
        <v>96.3</v>
      </c>
      <c r="Q49" s="1"/>
      <c r="R49" s="5">
        <f t="shared" si="34"/>
        <v>9.8778348770655749E-2</v>
      </c>
      <c r="S49" s="1"/>
      <c r="T49" s="1">
        <f>SUM(OSRRefT22_7x_0)</f>
        <v>1191.5999999999999</v>
      </c>
      <c r="U49" s="1"/>
      <c r="V49" s="5">
        <f t="shared" si="35"/>
        <v>2.0130716533900118E-3</v>
      </c>
      <c r="W49" s="1"/>
      <c r="X49" s="1">
        <f t="shared" si="36"/>
        <v>-1095.3</v>
      </c>
      <c r="Y49" s="1"/>
      <c r="Z49" s="5">
        <f t="shared" si="37"/>
        <v>-0.91918429003021151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0"/>
        <v>0</v>
      </c>
      <c r="G50" s="2"/>
      <c r="H50" s="6">
        <v>240.32</v>
      </c>
      <c r="I50" s="2"/>
      <c r="J50" s="7">
        <f t="shared" si="31"/>
        <v>0</v>
      </c>
      <c r="K50" s="2"/>
      <c r="L50" s="6">
        <f t="shared" si="32"/>
        <v>-240.32</v>
      </c>
      <c r="M50" s="2"/>
      <c r="N50" s="7">
        <f t="shared" si="33"/>
        <v>-1</v>
      </c>
      <c r="O50" s="10"/>
      <c r="P50" s="6">
        <v>96.3</v>
      </c>
      <c r="Q50" s="2"/>
      <c r="R50" s="7">
        <f t="shared" si="34"/>
        <v>9.8778348770655749E-2</v>
      </c>
      <c r="S50" s="2"/>
      <c r="T50" s="6">
        <v>1191.5999999999999</v>
      </c>
      <c r="U50" s="2"/>
      <c r="V50" s="7">
        <f t="shared" si="35"/>
        <v>2.0130716533900118E-3</v>
      </c>
      <c r="W50" s="2"/>
      <c r="X50" s="6">
        <f t="shared" si="36"/>
        <v>-1095.3</v>
      </c>
      <c r="Y50" s="2"/>
      <c r="Z50" s="7">
        <f t="shared" si="37"/>
        <v>-0.91918429003021151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7.28</v>
      </c>
      <c r="Q51" s="1"/>
      <c r="R51" s="5">
        <f t="shared" si="34"/>
        <v>7.467355961063073E-3</v>
      </c>
      <c r="S51" s="1"/>
      <c r="T51" s="1">
        <f>SUM(OSRRefT22_8x_0)</f>
        <v>9129.7800000000007</v>
      </c>
      <c r="U51" s="1"/>
      <c r="V51" s="5">
        <f t="shared" si="35"/>
        <v>1.5423717119576255E-2</v>
      </c>
      <c r="W51" s="1"/>
      <c r="X51" s="1">
        <f t="shared" si="36"/>
        <v>-9122.5</v>
      </c>
      <c r="Y51" s="1"/>
      <c r="Z51" s="5">
        <f t="shared" si="37"/>
        <v>-0.99920260948237516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>
        <v>7.28</v>
      </c>
      <c r="Q52" s="2"/>
      <c r="R52" s="7">
        <f t="shared" si="34"/>
        <v>7.467355961063073E-3</v>
      </c>
      <c r="S52" s="2"/>
      <c r="T52" s="6">
        <v>9129.7800000000007</v>
      </c>
      <c r="U52" s="2"/>
      <c r="V52" s="7">
        <f t="shared" si="35"/>
        <v>1.5423717119576255E-2</v>
      </c>
      <c r="W52" s="2"/>
      <c r="X52" s="6">
        <f t="shared" si="36"/>
        <v>-9122.5</v>
      </c>
      <c r="Y52" s="2"/>
      <c r="Z52" s="7">
        <f t="shared" si="37"/>
        <v>-0.99920260948237516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0"/>
        <v>0</v>
      </c>
      <c r="G53" s="1"/>
      <c r="H53" s="1">
        <f>SUM(OSRRefH22_9x_0)</f>
        <v>183</v>
      </c>
      <c r="I53" s="1"/>
      <c r="J53" s="5">
        <f t="shared" si="31"/>
        <v>0</v>
      </c>
      <c r="K53" s="1"/>
      <c r="L53" s="1">
        <f t="shared" si="32"/>
        <v>-183</v>
      </c>
      <c r="M53" s="1"/>
      <c r="N53" s="5">
        <f t="shared" si="33"/>
        <v>-1</v>
      </c>
      <c r="O53" s="12"/>
      <c r="P53" s="1">
        <f>SUM(OSRRefP22_9x_0)</f>
        <v>628.04</v>
      </c>
      <c r="Q53" s="1"/>
      <c r="R53" s="5">
        <f t="shared" si="34"/>
        <v>0.64420305464094119</v>
      </c>
      <c r="S53" s="1"/>
      <c r="T53" s="1">
        <f>SUM(OSRRefT22_9x_0)</f>
        <v>7577.18</v>
      </c>
      <c r="U53" s="1"/>
      <c r="V53" s="5">
        <f t="shared" si="35"/>
        <v>1.2800777333529483E-2</v>
      </c>
      <c r="W53" s="1"/>
      <c r="X53" s="1">
        <f t="shared" si="36"/>
        <v>-6949.14</v>
      </c>
      <c r="Y53" s="1"/>
      <c r="Z53" s="5">
        <f t="shared" si="37"/>
        <v>-0.91711428262229489</v>
      </c>
    </row>
    <row r="54" spans="1:26" s="23" customFormat="1" hidden="1" outlineLevel="2" x14ac:dyDescent="0.25">
      <c r="A54" s="27"/>
      <c r="B54" s="10" t="str">
        <f>CONCATENATE("          ", "6373", " - ", "MAINTENANCE CONTRACTS")</f>
        <v xml:space="preserve">          6373 - MAINTENANCE CONTRACTS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428.04</v>
      </c>
      <c r="Q54" s="2"/>
      <c r="R54" s="7">
        <f t="shared" si="34"/>
        <v>0.43905591285349421</v>
      </c>
      <c r="S54" s="2"/>
      <c r="T54" s="6">
        <v>369.97</v>
      </c>
      <c r="U54" s="2"/>
      <c r="V54" s="7">
        <f t="shared" si="35"/>
        <v>6.2502191977568207E-4</v>
      </c>
      <c r="W54" s="2"/>
      <c r="X54" s="6">
        <f t="shared" si="36"/>
        <v>58.069999999999993</v>
      </c>
      <c r="Y54" s="2"/>
      <c r="Z54" s="7">
        <f t="shared" si="37"/>
        <v>0.15695867232478306</v>
      </c>
    </row>
    <row r="55" spans="1:26" s="23" customFormat="1" hidden="1" outlineLevel="2" x14ac:dyDescent="0.25">
      <c r="A55" s="27"/>
      <c r="B55" s="10" t="str">
        <f>CONCATENATE("          ", "6375", " - ", "OUTSIDE REPAIRS &amp; MAINTENANCE")</f>
        <v xml:space="preserve">          6375 - OUTSIDE REPAIRS &amp; MAINTENANCE</v>
      </c>
      <c r="C55" s="10"/>
      <c r="D55" s="6"/>
      <c r="E55" s="2"/>
      <c r="F55" s="7">
        <f t="shared" si="30"/>
        <v>0</v>
      </c>
      <c r="G55" s="2"/>
      <c r="H55" s="6">
        <v>183</v>
      </c>
      <c r="I55" s="2"/>
      <c r="J55" s="7">
        <f t="shared" si="31"/>
        <v>0</v>
      </c>
      <c r="K55" s="2"/>
      <c r="L55" s="6">
        <f t="shared" si="32"/>
        <v>-183</v>
      </c>
      <c r="M55" s="2"/>
      <c r="N55" s="7">
        <f t="shared" si="33"/>
        <v>-1</v>
      </c>
      <c r="O55" s="10"/>
      <c r="P55" s="6">
        <v>200</v>
      </c>
      <c r="Q55" s="2"/>
      <c r="R55" s="7">
        <f t="shared" si="34"/>
        <v>0.20514714178744706</v>
      </c>
      <c r="S55" s="2"/>
      <c r="T55" s="6">
        <v>7207.21</v>
      </c>
      <c r="U55" s="2"/>
      <c r="V55" s="7">
        <f t="shared" si="35"/>
        <v>1.21757554137538E-2</v>
      </c>
      <c r="W55" s="2"/>
      <c r="X55" s="6">
        <f t="shared" si="36"/>
        <v>-7007.21</v>
      </c>
      <c r="Y55" s="2"/>
      <c r="Z55" s="7">
        <f t="shared" si="37"/>
        <v>-0.97225001075312079</v>
      </c>
    </row>
    <row r="56" spans="1:26" s="26" customFormat="1" outlineLevel="1" collapsed="1" x14ac:dyDescent="0.25">
      <c r="A56" s="25"/>
      <c r="B56" s="12" t="str">
        <f>CONCATENATE("     ","Royalty &amp; Commissions                             ")</f>
        <v xml:space="preserve">     Royalty &amp; Commissions                             </v>
      </c>
      <c r="C56" s="12"/>
      <c r="D56" s="1">
        <f>SUM(OSRRefD22_10x_0)</f>
        <v>0</v>
      </c>
      <c r="E56" s="1"/>
      <c r="F56" s="5">
        <f t="shared" ref="F56:F69" si="38">IF(D$12=0,0,D56/D$12)</f>
        <v>0</v>
      </c>
      <c r="G56" s="1"/>
      <c r="H56" s="1">
        <f>SUM(OSRRefH22_10x_0)</f>
        <v>0</v>
      </c>
      <c r="I56" s="1"/>
      <c r="J56" s="5">
        <f t="shared" ref="J56:J69" si="39">IF(H$12=0,0,H56/H$12)</f>
        <v>0</v>
      </c>
      <c r="K56" s="1"/>
      <c r="L56" s="1">
        <f t="shared" ref="L56:L69" si="40">+D56-H56</f>
        <v>0</v>
      </c>
      <c r="M56" s="1"/>
      <c r="N56" s="5">
        <f t="shared" ref="N56:N69" si="41">IF(H56=0,0,L56/H56)</f>
        <v>0</v>
      </c>
      <c r="O56" s="12"/>
      <c r="P56" s="1">
        <f>SUM(OSRRefP22_10x_0)</f>
        <v>0</v>
      </c>
      <c r="Q56" s="1"/>
      <c r="R56" s="5">
        <f t="shared" ref="R56:R69" si="42">IF(P$12=0,0,P56/P$12)</f>
        <v>0</v>
      </c>
      <c r="S56" s="1"/>
      <c r="T56" s="1">
        <f>SUM(OSRRefT22_10x_0)</f>
        <v>44134.64</v>
      </c>
      <c r="U56" s="1"/>
      <c r="V56" s="5">
        <f t="shared" ref="V56:V69" si="43">IF(T$12=0,0,T56/T$12)</f>
        <v>7.4560416848416383E-2</v>
      </c>
      <c r="W56" s="1"/>
      <c r="X56" s="1">
        <f t="shared" ref="X56:X69" si="44">+P56-T56</f>
        <v>-44134.64</v>
      </c>
      <c r="Y56" s="1"/>
      <c r="Z56" s="5">
        <f t="shared" ref="Z56:Z69" si="45">IF(T56=0,0,X56/T56)</f>
        <v>-1</v>
      </c>
    </row>
    <row r="57" spans="1:26" s="23" customFormat="1" hidden="1" outlineLevel="2" x14ac:dyDescent="0.25">
      <c r="A57" s="27"/>
      <c r="B57" s="10" t="str">
        <f>CONCATENATE("          ", "6259", " - ", "ROYALTY &amp; COMMISSIONS")</f>
        <v xml:space="preserve">          6259 - ROYALTY &amp; COMMISSIONS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44134.64</v>
      </c>
      <c r="U57" s="2"/>
      <c r="V57" s="7">
        <f t="shared" si="43"/>
        <v>7.4560416848416383E-2</v>
      </c>
      <c r="W57" s="2"/>
      <c r="X57" s="6">
        <f t="shared" si="44"/>
        <v>-44134.64</v>
      </c>
      <c r="Y57" s="2"/>
      <c r="Z57" s="7">
        <f t="shared" si="45"/>
        <v>-1</v>
      </c>
    </row>
    <row r="58" spans="1:26" s="26" customFormat="1" outlineLevel="1" collapsed="1" x14ac:dyDescent="0.25">
      <c r="A58" s="25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2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508.6</v>
      </c>
      <c r="U58" s="1"/>
      <c r="V58" s="5">
        <f t="shared" si="43"/>
        <v>8.5922141902833175E-4</v>
      </c>
      <c r="W58" s="1"/>
      <c r="X58" s="1">
        <f t="shared" si="44"/>
        <v>-508.6</v>
      </c>
      <c r="Y58" s="1"/>
      <c r="Z58" s="5">
        <f t="shared" si="45"/>
        <v>-1</v>
      </c>
    </row>
    <row r="59" spans="1:26" s="23" customFormat="1" hidden="1" outlineLevel="2" x14ac:dyDescent="0.25">
      <c r="A59" s="27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0"/>
      <c r="P59" s="6"/>
      <c r="Q59" s="2"/>
      <c r="R59" s="7">
        <f t="shared" si="42"/>
        <v>0</v>
      </c>
      <c r="S59" s="2"/>
      <c r="T59" s="6">
        <v>508.6</v>
      </c>
      <c r="U59" s="2"/>
      <c r="V59" s="7">
        <f t="shared" si="43"/>
        <v>8.5922141902833175E-4</v>
      </c>
      <c r="W59" s="2"/>
      <c r="X59" s="6">
        <f t="shared" si="44"/>
        <v>-508.6</v>
      </c>
      <c r="Y59" s="2"/>
      <c r="Z59" s="7">
        <f t="shared" si="45"/>
        <v>-1</v>
      </c>
    </row>
    <row r="60" spans="1:26" s="26" customFormat="1" outlineLevel="1" collapsed="1" x14ac:dyDescent="0.25">
      <c r="A60" s="25"/>
      <c r="B60" s="12" t="str">
        <f>CONCATENATE("     ","Subscriptions &amp; Dues                              ")</f>
        <v xml:space="preserve">     Subscriptions &amp; Dues                              </v>
      </c>
      <c r="C60" s="12"/>
      <c r="D60" s="1">
        <f>SUM(OSRRefD22_12x_0)</f>
        <v>0</v>
      </c>
      <c r="E60" s="1"/>
      <c r="F60" s="5">
        <f t="shared" si="38"/>
        <v>0</v>
      </c>
      <c r="G60" s="1"/>
      <c r="H60" s="1">
        <f>SUM(OSRRefH22_12x_0)</f>
        <v>0</v>
      </c>
      <c r="I60" s="1"/>
      <c r="J60" s="5">
        <f t="shared" si="39"/>
        <v>0</v>
      </c>
      <c r="K60" s="1"/>
      <c r="L60" s="1">
        <f t="shared" si="40"/>
        <v>0</v>
      </c>
      <c r="M60" s="1"/>
      <c r="N60" s="5">
        <f t="shared" si="41"/>
        <v>0</v>
      </c>
      <c r="O60" s="12"/>
      <c r="P60" s="1">
        <f>SUM(OSRRefP22_12x_0)</f>
        <v>0</v>
      </c>
      <c r="Q60" s="1"/>
      <c r="R60" s="5">
        <f t="shared" si="42"/>
        <v>0</v>
      </c>
      <c r="S60" s="1"/>
      <c r="T60" s="1">
        <f>SUM(OSRRefT22_12x_0)</f>
        <v>122.72</v>
      </c>
      <c r="U60" s="1"/>
      <c r="V60" s="5">
        <f t="shared" si="43"/>
        <v>2.0732137739511771E-4</v>
      </c>
      <c r="W60" s="1"/>
      <c r="X60" s="1">
        <f t="shared" si="44"/>
        <v>-122.72</v>
      </c>
      <c r="Y60" s="1"/>
      <c r="Z60" s="5">
        <f t="shared" si="45"/>
        <v>-1</v>
      </c>
    </row>
    <row r="61" spans="1:26" s="23" customFormat="1" hidden="1" outlineLevel="2" x14ac:dyDescent="0.25">
      <c r="A61" s="27"/>
      <c r="B61" s="10" t="str">
        <f>CONCATENATE("          ", "6275", " - ", "SUBSCRIPTIONS")</f>
        <v xml:space="preserve">          6275 - SUBSCRIPTIONS</v>
      </c>
      <c r="C61" s="10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0"/>
      <c r="P61" s="6"/>
      <c r="Q61" s="2"/>
      <c r="R61" s="7">
        <f t="shared" si="42"/>
        <v>0</v>
      </c>
      <c r="S61" s="2"/>
      <c r="T61" s="6">
        <v>122.72</v>
      </c>
      <c r="U61" s="2"/>
      <c r="V61" s="7">
        <f t="shared" si="43"/>
        <v>2.0732137739511771E-4</v>
      </c>
      <c r="W61" s="2"/>
      <c r="X61" s="6">
        <f t="shared" si="44"/>
        <v>-122.72</v>
      </c>
      <c r="Y61" s="2"/>
      <c r="Z61" s="7">
        <f t="shared" si="45"/>
        <v>-1</v>
      </c>
    </row>
    <row r="62" spans="1:26" s="26" customFormat="1" outlineLevel="1" collapsed="1" x14ac:dyDescent="0.25">
      <c r="A62" s="25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SUM(OSRRefD22_13x_0)</f>
        <v>0</v>
      </c>
      <c r="E62" s="1"/>
      <c r="F62" s="5">
        <f t="shared" si="38"/>
        <v>0</v>
      </c>
      <c r="G62" s="1"/>
      <c r="H62" s="1">
        <f>SUM(OSRRefH22_13x_0)</f>
        <v>47.1</v>
      </c>
      <c r="I62" s="1"/>
      <c r="J62" s="5">
        <f t="shared" si="39"/>
        <v>0</v>
      </c>
      <c r="K62" s="1"/>
      <c r="L62" s="1">
        <f t="shared" si="40"/>
        <v>-47.1</v>
      </c>
      <c r="M62" s="1"/>
      <c r="N62" s="5">
        <f t="shared" si="41"/>
        <v>-1</v>
      </c>
      <c r="O62" s="12"/>
      <c r="P62" s="1">
        <f>SUM(OSRRefP22_13x_0)</f>
        <v>0</v>
      </c>
      <c r="Q62" s="1"/>
      <c r="R62" s="5">
        <f t="shared" si="42"/>
        <v>0</v>
      </c>
      <c r="S62" s="1"/>
      <c r="T62" s="1">
        <f>SUM(OSRRefT22_13x_0)</f>
        <v>11646.3</v>
      </c>
      <c r="U62" s="1"/>
      <c r="V62" s="5">
        <f t="shared" si="43"/>
        <v>1.9675089289087021E-2</v>
      </c>
      <c r="W62" s="1"/>
      <c r="X62" s="1">
        <f t="shared" si="44"/>
        <v>-11646.3</v>
      </c>
      <c r="Y62" s="1"/>
      <c r="Z62" s="5">
        <f t="shared" si="45"/>
        <v>-1</v>
      </c>
    </row>
    <row r="63" spans="1:26" s="23" customFormat="1" hidden="1" outlineLevel="2" x14ac:dyDescent="0.25">
      <c r="A63" s="27"/>
      <c r="B63" s="10" t="str">
        <f>CONCATENATE("          ", "6237", " - ", "JANITORIAL SUPPLIES")</f>
        <v xml:space="preserve">          6237 - JANITORIAL SUPPLIES</v>
      </c>
      <c r="C63" s="10"/>
      <c r="D63" s="6"/>
      <c r="E63" s="2"/>
      <c r="F63" s="7">
        <f t="shared" si="38"/>
        <v>0</v>
      </c>
      <c r="G63" s="2"/>
      <c r="H63" s="6">
        <v>47.1</v>
      </c>
      <c r="I63" s="2"/>
      <c r="J63" s="7">
        <f t="shared" si="39"/>
        <v>0</v>
      </c>
      <c r="K63" s="2"/>
      <c r="L63" s="6">
        <f t="shared" si="40"/>
        <v>-47.1</v>
      </c>
      <c r="M63" s="2"/>
      <c r="N63" s="7">
        <f t="shared" si="41"/>
        <v>-1</v>
      </c>
      <c r="O63" s="10"/>
      <c r="P63" s="6"/>
      <c r="Q63" s="2"/>
      <c r="R63" s="7">
        <f t="shared" si="42"/>
        <v>0</v>
      </c>
      <c r="S63" s="2"/>
      <c r="T63" s="6">
        <v>315.58999999999997</v>
      </c>
      <c r="U63" s="2"/>
      <c r="V63" s="7">
        <f t="shared" si="43"/>
        <v>5.3315314123309322E-4</v>
      </c>
      <c r="W63" s="2"/>
      <c r="X63" s="6">
        <f t="shared" si="44"/>
        <v>-315.58999999999997</v>
      </c>
      <c r="Y63" s="2"/>
      <c r="Z63" s="7">
        <f t="shared" si="45"/>
        <v>-1</v>
      </c>
    </row>
    <row r="64" spans="1:26" s="23" customFormat="1" hidden="1" outlineLevel="2" x14ac:dyDescent="0.25">
      <c r="A64" s="27"/>
      <c r="B64" s="10" t="str">
        <f>CONCATENATE("          ", "6239", " - ", "KITCHEN SUPPLIES")</f>
        <v xml:space="preserve">          6239 - KITCHEN SUPPLIES</v>
      </c>
      <c r="C64" s="10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/>
      <c r="Q64" s="2"/>
      <c r="R64" s="7">
        <f t="shared" si="42"/>
        <v>0</v>
      </c>
      <c r="S64" s="2"/>
      <c r="T64" s="6">
        <v>2024.76</v>
      </c>
      <c r="U64" s="2"/>
      <c r="V64" s="7">
        <f t="shared" si="43"/>
        <v>3.4206000007703597E-3</v>
      </c>
      <c r="W64" s="2"/>
      <c r="X64" s="6">
        <f t="shared" si="44"/>
        <v>-2024.76</v>
      </c>
      <c r="Y64" s="2"/>
      <c r="Z64" s="7">
        <f t="shared" si="45"/>
        <v>-1</v>
      </c>
    </row>
    <row r="65" spans="1:26" s="23" customFormat="1" hidden="1" outlineLevel="2" x14ac:dyDescent="0.25">
      <c r="A65" s="27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0"/>
      <c r="P65" s="6"/>
      <c r="Q65" s="2"/>
      <c r="R65" s="7">
        <f t="shared" si="42"/>
        <v>0</v>
      </c>
      <c r="S65" s="2"/>
      <c r="T65" s="6">
        <v>1499.6</v>
      </c>
      <c r="U65" s="2"/>
      <c r="V65" s="7">
        <f t="shared" si="43"/>
        <v>2.5334023593686318E-3</v>
      </c>
      <c r="W65" s="2"/>
      <c r="X65" s="6">
        <f t="shared" si="44"/>
        <v>-1499.6</v>
      </c>
      <c r="Y65" s="2"/>
      <c r="Z65" s="7">
        <f t="shared" si="45"/>
        <v>-1</v>
      </c>
    </row>
    <row r="66" spans="1:26" s="23" customFormat="1" hidden="1" outlineLevel="2" x14ac:dyDescent="0.25">
      <c r="A66" s="27"/>
      <c r="B66" s="10" t="str">
        <f>CONCATENATE("          ", "6243", " - ", "PAPER SUPPLIES")</f>
        <v xml:space="preserve">          6243 - PAPER SUPPLIES</v>
      </c>
      <c r="C66" s="10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/>
      <c r="Q66" s="2"/>
      <c r="R66" s="7">
        <f t="shared" si="42"/>
        <v>0</v>
      </c>
      <c r="S66" s="2"/>
      <c r="T66" s="6">
        <v>3812.89</v>
      </c>
      <c r="U66" s="2"/>
      <c r="V66" s="7">
        <f t="shared" si="43"/>
        <v>6.4414407322039629E-3</v>
      </c>
      <c r="W66" s="2"/>
      <c r="X66" s="6">
        <f t="shared" si="44"/>
        <v>-3812.89</v>
      </c>
      <c r="Y66" s="2"/>
      <c r="Z66" s="7">
        <f t="shared" si="45"/>
        <v>-1</v>
      </c>
    </row>
    <row r="67" spans="1:26" s="23" customFormat="1" hidden="1" outlineLevel="2" x14ac:dyDescent="0.25">
      <c r="A67" s="27"/>
      <c r="B67" s="10" t="str">
        <f>CONCATENATE("          ", "6245", " - ", "PRINTING")</f>
        <v xml:space="preserve">          6245 - PRINTING</v>
      </c>
      <c r="C67" s="10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0"/>
      <c r="P67" s="6"/>
      <c r="Q67" s="2"/>
      <c r="R67" s="7">
        <f t="shared" si="42"/>
        <v>0</v>
      </c>
      <c r="S67" s="2"/>
      <c r="T67" s="6">
        <v>181.92</v>
      </c>
      <c r="U67" s="2"/>
      <c r="V67" s="7">
        <f t="shared" si="43"/>
        <v>3.0733299360919016E-4</v>
      </c>
      <c r="W67" s="2"/>
      <c r="X67" s="6">
        <f t="shared" si="44"/>
        <v>-181.92</v>
      </c>
      <c r="Y67" s="2"/>
      <c r="Z67" s="7">
        <f t="shared" si="45"/>
        <v>-1</v>
      </c>
    </row>
    <row r="68" spans="1:26" s="23" customFormat="1" hidden="1" outlineLevel="2" x14ac:dyDescent="0.25">
      <c r="A68" s="27"/>
      <c r="B68" s="10" t="str">
        <f>CONCATENATE("          ", "6247", " - ", "STORE SUPPLIES")</f>
        <v xml:space="preserve">          6247 - STORE SUPPLIES</v>
      </c>
      <c r="C68" s="10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0"/>
      <c r="P68" s="6"/>
      <c r="Q68" s="2"/>
      <c r="R68" s="7">
        <f t="shared" si="42"/>
        <v>0</v>
      </c>
      <c r="S68" s="2"/>
      <c r="T68" s="6">
        <v>3638.57</v>
      </c>
      <c r="U68" s="2"/>
      <c r="V68" s="7">
        <f t="shared" si="43"/>
        <v>6.1469470677033367E-3</v>
      </c>
      <c r="W68" s="2"/>
      <c r="X68" s="6">
        <f t="shared" si="44"/>
        <v>-3638.57</v>
      </c>
      <c r="Y68" s="2"/>
      <c r="Z68" s="7">
        <f t="shared" si="45"/>
        <v>-1</v>
      </c>
    </row>
    <row r="69" spans="1:26" s="23" customFormat="1" hidden="1" outlineLevel="2" x14ac:dyDescent="0.25">
      <c r="A69" s="27"/>
      <c r="B69" s="10" t="str">
        <f>CONCATENATE("          ", "6248", " - ", "UNIFORMS")</f>
        <v xml:space="preserve">          6248 - UNIFORMS</v>
      </c>
      <c r="C69" s="10"/>
      <c r="D69" s="6"/>
      <c r="E69" s="2"/>
      <c r="F69" s="7">
        <f t="shared" si="38"/>
        <v>0</v>
      </c>
      <c r="G69" s="2"/>
      <c r="H69" s="6"/>
      <c r="I69" s="2"/>
      <c r="J69" s="7">
        <f t="shared" si="39"/>
        <v>0</v>
      </c>
      <c r="K69" s="2"/>
      <c r="L69" s="6">
        <f t="shared" si="40"/>
        <v>0</v>
      </c>
      <c r="M69" s="2"/>
      <c r="N69" s="7">
        <f t="shared" si="41"/>
        <v>0</v>
      </c>
      <c r="O69" s="10"/>
      <c r="P69" s="6"/>
      <c r="Q69" s="2"/>
      <c r="R69" s="7">
        <f t="shared" si="42"/>
        <v>0</v>
      </c>
      <c r="S69" s="2"/>
      <c r="T69" s="6">
        <v>172.97</v>
      </c>
      <c r="U69" s="2"/>
      <c r="V69" s="7">
        <f t="shared" si="43"/>
        <v>2.9221299419844777E-4</v>
      </c>
      <c r="W69" s="2"/>
      <c r="X69" s="6">
        <f t="shared" si="44"/>
        <v>-172.97</v>
      </c>
      <c r="Y69" s="2"/>
      <c r="Z69" s="7">
        <f t="shared" si="45"/>
        <v>-1</v>
      </c>
    </row>
    <row r="70" spans="1:26" s="26" customFormat="1" outlineLevel="1" collapsed="1" x14ac:dyDescent="0.25">
      <c r="A70" s="25"/>
      <c r="B70" s="12" t="str">
        <f>CONCATENATE("     ","Telephone/Data Lines                              ")</f>
        <v xml:space="preserve">     Telephone/Data Lines                              </v>
      </c>
      <c r="C70" s="12"/>
      <c r="D70" s="1">
        <f>SUM(OSRRefD22_14x_0)</f>
        <v>0</v>
      </c>
      <c r="E70" s="1"/>
      <c r="F70" s="5">
        <f t="shared" ref="F70:F73" si="46">IF(D$12=0,0,D70/D$12)</f>
        <v>0</v>
      </c>
      <c r="G70" s="1"/>
      <c r="H70" s="1">
        <f>SUM(OSRRefH22_14x_0)</f>
        <v>150</v>
      </c>
      <c r="I70" s="1"/>
      <c r="J70" s="5">
        <f t="shared" ref="J70:J73" si="47">IF(H$12=0,0,H70/H$12)</f>
        <v>0</v>
      </c>
      <c r="K70" s="1"/>
      <c r="L70" s="1">
        <f t="shared" ref="L70:L73" si="48">+D70-H70</f>
        <v>-150</v>
      </c>
      <c r="M70" s="1"/>
      <c r="N70" s="5">
        <f t="shared" ref="N70:N73" si="49">IF(H70=0,0,L70/H70)</f>
        <v>-1</v>
      </c>
      <c r="O70" s="12"/>
      <c r="P70" s="1">
        <f>SUM(OSRRefP22_14x_0)</f>
        <v>0</v>
      </c>
      <c r="Q70" s="1"/>
      <c r="R70" s="5">
        <f t="shared" ref="R70:R73" si="50">IF(P$12=0,0,P70/P$12)</f>
        <v>0</v>
      </c>
      <c r="S70" s="1"/>
      <c r="T70" s="1">
        <f>SUM(OSRRefT22_14x_0)</f>
        <v>105</v>
      </c>
      <c r="U70" s="1"/>
      <c r="V70" s="5">
        <f t="shared" ref="V70:V73" si="51">IF(T$12=0,0,T70/T$12)</f>
        <v>1.7738546794725685E-4</v>
      </c>
      <c r="W70" s="1"/>
      <c r="X70" s="1">
        <f t="shared" ref="X70:X73" si="52">+P70-T70</f>
        <v>-105</v>
      </c>
      <c r="Y70" s="1"/>
      <c r="Z70" s="5">
        <f t="shared" ref="Z70:Z73" si="53">IF(T70=0,0,X70/T70)</f>
        <v>-1</v>
      </c>
    </row>
    <row r="71" spans="1:26" s="23" customFormat="1" hidden="1" outlineLevel="2" x14ac:dyDescent="0.25">
      <c r="A71" s="27"/>
      <c r="B71" s="10" t="str">
        <f>CONCATENATE("          ", "6309", " - ", "TELEPHONE")</f>
        <v xml:space="preserve">          6309 - TELEPHONE</v>
      </c>
      <c r="C71" s="10"/>
      <c r="D71" s="6"/>
      <c r="E71" s="2"/>
      <c r="F71" s="7">
        <f t="shared" si="46"/>
        <v>0</v>
      </c>
      <c r="G71" s="2"/>
      <c r="H71" s="6">
        <v>150</v>
      </c>
      <c r="I71" s="2"/>
      <c r="J71" s="7">
        <f t="shared" si="47"/>
        <v>0</v>
      </c>
      <c r="K71" s="2"/>
      <c r="L71" s="6">
        <f t="shared" si="48"/>
        <v>-150</v>
      </c>
      <c r="M71" s="2"/>
      <c r="N71" s="7">
        <f t="shared" si="49"/>
        <v>-1</v>
      </c>
      <c r="O71" s="10"/>
      <c r="P71" s="6"/>
      <c r="Q71" s="2"/>
      <c r="R71" s="7">
        <f t="shared" si="50"/>
        <v>0</v>
      </c>
      <c r="S71" s="2"/>
      <c r="T71" s="6">
        <v>105</v>
      </c>
      <c r="U71" s="2"/>
      <c r="V71" s="7">
        <f t="shared" si="51"/>
        <v>1.7738546794725685E-4</v>
      </c>
      <c r="W71" s="2"/>
      <c r="X71" s="6">
        <f t="shared" si="52"/>
        <v>-105</v>
      </c>
      <c r="Y71" s="2"/>
      <c r="Z71" s="7">
        <f t="shared" si="53"/>
        <v>-1</v>
      </c>
    </row>
    <row r="72" spans="1:26" s="26" customFormat="1" outlineLevel="1" collapsed="1" x14ac:dyDescent="0.25">
      <c r="A72" s="25"/>
      <c r="B72" s="12" t="str">
        <f>CONCATENATE("     ","Training                                          ")</f>
        <v xml:space="preserve">     Training                                          </v>
      </c>
      <c r="C72" s="12"/>
      <c r="D72" s="1">
        <f>SUM(OSRRefD22_15x_0)</f>
        <v>0</v>
      </c>
      <c r="E72" s="1"/>
      <c r="F72" s="5">
        <f t="shared" si="46"/>
        <v>0</v>
      </c>
      <c r="G72" s="1"/>
      <c r="H72" s="1">
        <f>SUM(OSRRefH22_15x_0)</f>
        <v>0</v>
      </c>
      <c r="I72" s="1"/>
      <c r="J72" s="5">
        <f t="shared" si="47"/>
        <v>0</v>
      </c>
      <c r="K72" s="1"/>
      <c r="L72" s="1">
        <f t="shared" si="48"/>
        <v>0</v>
      </c>
      <c r="M72" s="1"/>
      <c r="N72" s="5">
        <f t="shared" si="49"/>
        <v>0</v>
      </c>
      <c r="O72" s="12"/>
      <c r="P72" s="1">
        <f>SUM(OSRRefP22_15x_0)</f>
        <v>0</v>
      </c>
      <c r="Q72" s="1"/>
      <c r="R72" s="5">
        <f t="shared" si="50"/>
        <v>0</v>
      </c>
      <c r="S72" s="1"/>
      <c r="T72" s="1">
        <f>SUM(OSRRefT22_15x_0)</f>
        <v>96</v>
      </c>
      <c r="U72" s="1"/>
      <c r="V72" s="5">
        <f t="shared" si="51"/>
        <v>1.6218099926606342E-4</v>
      </c>
      <c r="W72" s="1"/>
      <c r="X72" s="1">
        <f t="shared" si="52"/>
        <v>-96</v>
      </c>
      <c r="Y72" s="1"/>
      <c r="Z72" s="5">
        <f t="shared" si="53"/>
        <v>-1</v>
      </c>
    </row>
    <row r="73" spans="1:26" s="23" customFormat="1" hidden="1" outlineLevel="2" x14ac:dyDescent="0.25">
      <c r="A73" s="27"/>
      <c r="B73" s="10" t="str">
        <f>CONCATENATE("          ", "6376", " - ", "TRAINING")</f>
        <v xml:space="preserve">          6376 - TRAINING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96</v>
      </c>
      <c r="U73" s="2"/>
      <c r="V73" s="7">
        <f t="shared" si="51"/>
        <v>1.6218099926606342E-4</v>
      </c>
      <c r="W73" s="2"/>
      <c r="X73" s="6">
        <f t="shared" si="52"/>
        <v>-96</v>
      </c>
      <c r="Y73" s="2"/>
      <c r="Z73" s="7">
        <f t="shared" si="53"/>
        <v>-1</v>
      </c>
    </row>
    <row r="74" spans="1:26" s="57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4" customFormat="1" x14ac:dyDescent="0.25">
      <c r="A75" s="11"/>
      <c r="B75" s="29" t="s">
        <v>292</v>
      </c>
      <c r="C75" s="11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11"/>
      <c r="B77" s="28" t="s">
        <v>276</v>
      </c>
      <c r="C77" s="28"/>
      <c r="D77" s="20">
        <f>+D20-D22+D75</f>
        <v>-1825.23</v>
      </c>
      <c r="E77" s="14"/>
      <c r="F77" s="21">
        <f>IF(D$12=0,0,D77/D$12)</f>
        <v>0</v>
      </c>
      <c r="G77" s="14"/>
      <c r="H77" s="20">
        <f>+H20-H22+H75</f>
        <v>-14149.119999999999</v>
      </c>
      <c r="I77" s="14"/>
      <c r="J77" s="21">
        <f>IF(H$12=0,0,H77/H$12)</f>
        <v>0</v>
      </c>
      <c r="K77" s="15"/>
      <c r="L77" s="20">
        <f>+D77-H77</f>
        <v>12323.89</v>
      </c>
      <c r="M77" s="15"/>
      <c r="N77" s="21">
        <f>IF(H77=0,0,L77/H77)</f>
        <v>-0.87100045797901215</v>
      </c>
      <c r="O77" s="29"/>
      <c r="P77" s="20">
        <f>+P20-P22+P75</f>
        <v>-18398.109999999997</v>
      </c>
      <c r="Q77" s="14"/>
      <c r="R77" s="21">
        <f>IF(P$12=0,0,P77/P$12)</f>
        <v>-18.871598403955236</v>
      </c>
      <c r="S77" s="14"/>
      <c r="T77" s="20">
        <f>+T20-T22+T75</f>
        <v>50044.239999999991</v>
      </c>
      <c r="U77" s="14"/>
      <c r="V77" s="21">
        <f>IF(T$12=0,0,T77/T$12)</f>
        <v>8.4544008861569792E-2</v>
      </c>
      <c r="W77" s="15"/>
      <c r="X77" s="20">
        <f>+P77-T77</f>
        <v>-68442.349999999991</v>
      </c>
      <c r="Y77" s="15"/>
      <c r="Z77" s="21">
        <f>IF(T77=0,0,X77/T77)</f>
        <v>-1.3676369148577339</v>
      </c>
    </row>
    <row r="78" spans="1:26" x14ac:dyDescent="0.25">
      <c r="A78" s="9"/>
      <c r="B78" s="11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51"/>
      <c r="B79" s="11" t="s">
        <v>127</v>
      </c>
      <c r="C79" s="11"/>
      <c r="D79" s="4">
        <v>4.37</v>
      </c>
      <c r="E79" s="4"/>
      <c r="F79" s="13">
        <f>IF(D$12=0,0,D79/D$12)</f>
        <v>0</v>
      </c>
      <c r="G79" s="4"/>
      <c r="H79" s="4">
        <v>2887.28</v>
      </c>
      <c r="I79" s="4"/>
      <c r="J79" s="13">
        <f>IF(H$12=0,0,H79/H$12)</f>
        <v>0</v>
      </c>
      <c r="K79" s="4"/>
      <c r="L79" s="4">
        <f>+D79-H79</f>
        <v>-2882.9100000000003</v>
      </c>
      <c r="M79" s="4"/>
      <c r="N79" s="13">
        <f>IF(H79=0,0,L79/H79)</f>
        <v>-0.99848646476961023</v>
      </c>
      <c r="O79" s="11"/>
      <c r="P79" s="4">
        <v>208.33</v>
      </c>
      <c r="Q79" s="4"/>
      <c r="R79" s="13">
        <f>IF(P$12=0,0,P79/P$12)</f>
        <v>0.21369152024289423</v>
      </c>
      <c r="S79" s="4"/>
      <c r="T79" s="4">
        <v>70096.84</v>
      </c>
      <c r="U79" s="4"/>
      <c r="V79" s="13">
        <f>IF(T$12=0,0,T79/T$12)</f>
        <v>0.1184205787145142</v>
      </c>
      <c r="W79" s="4"/>
      <c r="X79" s="4">
        <f>+P79-T79</f>
        <v>-69888.509999999995</v>
      </c>
      <c r="Y79" s="4"/>
      <c r="Z79" s="13">
        <f>IF(T79=0,0,X79/T79)</f>
        <v>-0.99702796873582311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8" t="s">
        <v>125</v>
      </c>
      <c r="C81" s="28"/>
      <c r="D81" s="35">
        <f>+D77-D79</f>
        <v>-1829.6</v>
      </c>
      <c r="E81" s="14"/>
      <c r="F81" s="36">
        <f>IF(D$12=0,0,D81/D$12)</f>
        <v>0</v>
      </c>
      <c r="G81" s="14"/>
      <c r="H81" s="35">
        <f>+H77-H79</f>
        <v>-17036.399999999998</v>
      </c>
      <c r="I81" s="14"/>
      <c r="J81" s="36">
        <f>IF(H$12=0,0,H81/H$12)</f>
        <v>0</v>
      </c>
      <c r="K81" s="15"/>
      <c r="L81" s="35">
        <f>D81-H81</f>
        <v>15206.799999999997</v>
      </c>
      <c r="M81" s="15"/>
      <c r="N81" s="36">
        <f>IF(H81=0,0,L81/H81)</f>
        <v>-0.89260641919654382</v>
      </c>
      <c r="O81" s="29"/>
      <c r="P81" s="35">
        <f>+P77-P79</f>
        <v>-18606.439999999999</v>
      </c>
      <c r="Q81" s="14"/>
      <c r="R81" s="36">
        <f>IF(P$12=0,0,P81/P$12)</f>
        <v>-19.085289924198129</v>
      </c>
      <c r="S81" s="14"/>
      <c r="T81" s="35">
        <f>+T77-T79</f>
        <v>-20052.600000000006</v>
      </c>
      <c r="U81" s="14"/>
      <c r="V81" s="36">
        <f>IF(T$12=0,0,T81/T$12)</f>
        <v>-3.3876569852944419E-2</v>
      </c>
      <c r="W81" s="15"/>
      <c r="X81" s="35">
        <f>P81-T81</f>
        <v>1446.1600000000071</v>
      </c>
      <c r="Y81" s="15"/>
      <c r="Z81" s="36">
        <f>IF(T81=0,0,X81/T81)</f>
        <v>-7.2118328795268777E-2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ht="15.75" thickBot="1" x14ac:dyDescent="0.3">
      <c r="A84" s="11"/>
      <c r="B84" s="28" t="s">
        <v>293</v>
      </c>
      <c r="C84" s="28"/>
      <c r="D84" s="30">
        <f>SUM(D81:D83)</f>
        <v>-1829.6</v>
      </c>
      <c r="E84" s="14"/>
      <c r="F84" s="31">
        <f>IF(D$12=0,0,D84/D$12)</f>
        <v>0</v>
      </c>
      <c r="G84" s="14"/>
      <c r="H84" s="30">
        <f>SUM(H81:H83)</f>
        <v>-17036.399999999998</v>
      </c>
      <c r="I84" s="14"/>
      <c r="J84" s="31">
        <f>IF(H$12=0,0,H84/H$12)</f>
        <v>0</v>
      </c>
      <c r="K84" s="15"/>
      <c r="L84" s="30">
        <f>+D84-H84</f>
        <v>15206.799999999997</v>
      </c>
      <c r="M84" s="15"/>
      <c r="N84" s="31">
        <f>IF(H84=0,0,L84/H84)</f>
        <v>-0.89260641919654382</v>
      </c>
      <c r="O84" s="29"/>
      <c r="P84" s="30">
        <f>SUM(P81:P83)</f>
        <v>-18606.439999999999</v>
      </c>
      <c r="Q84" s="14"/>
      <c r="R84" s="31">
        <f>IF(P$12=0,0,P84/P$12)</f>
        <v>-19.085289924198129</v>
      </c>
      <c r="S84" s="14"/>
      <c r="T84" s="30">
        <f>SUM(T81:T83)</f>
        <v>-20052.600000000006</v>
      </c>
      <c r="U84" s="14"/>
      <c r="V84" s="31">
        <f>IF(T$12=0,0,T84/T$12)</f>
        <v>-3.3876569852944419E-2</v>
      </c>
      <c r="W84" s="15"/>
      <c r="X84" s="30">
        <f>+P84-T84</f>
        <v>1446.1600000000071</v>
      </c>
      <c r="Y84" s="15"/>
      <c r="Z84" s="31">
        <f>IF(T84=0,0,X84/T84)</f>
        <v>-7.2118328795268777E-2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9">
        <v>44356.893348032405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2" t="s">
        <v>56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4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","415", " - ", "Outpost")</f>
        <v>Department 415 - Outpost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13776.529999999999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13776.529999999999</v>
      </c>
      <c r="M12" s="4"/>
      <c r="N12" s="13">
        <f t="shared" ref="N12:N14" si="1">IF(H12=0,0,L12/H12)</f>
        <v>0</v>
      </c>
      <c r="O12" s="11"/>
      <c r="P12" s="4">
        <f>SUM(OSRRefP13x_0)</f>
        <v>77166.19</v>
      </c>
      <c r="Q12" s="4"/>
      <c r="R12" s="13"/>
      <c r="S12" s="4"/>
      <c r="T12" s="4">
        <f>SUM(OSRRefT13x_0)</f>
        <v>651784.93999999994</v>
      </c>
      <c r="U12" s="4"/>
      <c r="V12" s="13"/>
      <c r="W12" s="4"/>
      <c r="X12" s="4">
        <f t="shared" ref="X12:X14" si="2">+P12-T12</f>
        <v>-574618.75</v>
      </c>
      <c r="Y12" s="4"/>
      <c r="Z12" s="13">
        <f t="shared" ref="Z12:Z14" si="3">IF(T12=0,0,X12/T12)</f>
        <v>-0.8816078966169425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--7161.66</f>
        <v>7161.66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7161.66</v>
      </c>
      <c r="M13" s="2"/>
      <c r="N13" s="19">
        <f t="shared" si="1"/>
        <v>0</v>
      </c>
      <c r="O13" s="10"/>
      <c r="P13" s="2">
        <f>--39282.92</f>
        <v>39282.92</v>
      </c>
      <c r="Q13" s="2"/>
      <c r="R13" s="19"/>
      <c r="S13" s="2"/>
      <c r="T13" s="2">
        <f>--203771.51</f>
        <v>203771.51</v>
      </c>
      <c r="U13" s="2"/>
      <c r="V13" s="19"/>
      <c r="W13" s="2"/>
      <c r="X13" s="2">
        <f t="shared" si="2"/>
        <v>-164488.59000000003</v>
      </c>
      <c r="Y13" s="2"/>
      <c r="Z13" s="19">
        <f t="shared" si="3"/>
        <v>-0.80722074445048775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--6614.87</f>
        <v>6614.87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6614.87</v>
      </c>
      <c r="M14" s="2"/>
      <c r="N14" s="19">
        <f t="shared" si="1"/>
        <v>0</v>
      </c>
      <c r="O14" s="10"/>
      <c r="P14" s="2">
        <f>--37883.27</f>
        <v>37883.269999999997</v>
      </c>
      <c r="Q14" s="2"/>
      <c r="R14" s="19"/>
      <c r="S14" s="2"/>
      <c r="T14" s="2">
        <f>--448013.43</f>
        <v>448013.43</v>
      </c>
      <c r="U14" s="2"/>
      <c r="V14" s="19"/>
      <c r="W14" s="2"/>
      <c r="X14" s="2">
        <f t="shared" si="2"/>
        <v>-410130.16</v>
      </c>
      <c r="Y14" s="2"/>
      <c r="Z14" s="19">
        <f t="shared" si="3"/>
        <v>-0.915441664326893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4243.1399999999994</v>
      </c>
      <c r="E16" s="4"/>
      <c r="F16" s="13">
        <f t="shared" ref="F16:F18" si="5">IF(D$12=0,0,D16/D$12)</f>
        <v>0.30799773237527883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4243.1399999999994</v>
      </c>
      <c r="M16" s="4"/>
      <c r="N16" s="13">
        <f t="shared" ref="N16:N18" si="8">IF(H16=0,0,L16/H16)</f>
        <v>0</v>
      </c>
      <c r="O16" s="11"/>
      <c r="P16" s="4">
        <f>SUM(OSRRefP16x_0)</f>
        <v>29397.629999999997</v>
      </c>
      <c r="Q16" s="4"/>
      <c r="R16" s="13">
        <f t="shared" ref="R16:R18" si="9">IF(P$12=0,0,P16/P$12)</f>
        <v>0.38096516103749578</v>
      </c>
      <c r="S16" s="4"/>
      <c r="T16" s="4">
        <f>SUM(OSRRefT16x_0)</f>
        <v>216517.98</v>
      </c>
      <c r="U16" s="4"/>
      <c r="V16" s="13">
        <f t="shared" ref="V16:V18" si="10">IF(T$12=0,0,T16/T$12)</f>
        <v>0.33219236394139456</v>
      </c>
      <c r="W16" s="4"/>
      <c r="X16" s="4">
        <f t="shared" ref="X16:X18" si="11">+P16-T16</f>
        <v>-187120.35</v>
      </c>
      <c r="Y16" s="4"/>
      <c r="Z16" s="13">
        <f t="shared" ref="Z16:Z18" si="12">IF(T16=0,0,X16/T16)</f>
        <v>-0.86422545601062783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3991.14</v>
      </c>
      <c r="E17" s="2"/>
      <c r="F17" s="19">
        <f t="shared" si="5"/>
        <v>0.28970575319038977</v>
      </c>
      <c r="G17" s="2"/>
      <c r="H17" s="2"/>
      <c r="I17" s="2"/>
      <c r="J17" s="19">
        <f t="shared" si="6"/>
        <v>0</v>
      </c>
      <c r="K17" s="2"/>
      <c r="L17" s="2">
        <f t="shared" si="7"/>
        <v>3991.14</v>
      </c>
      <c r="M17" s="2"/>
      <c r="N17" s="19">
        <f t="shared" si="8"/>
        <v>0</v>
      </c>
      <c r="O17" s="10"/>
      <c r="P17" s="2">
        <v>23761.62</v>
      </c>
      <c r="Q17" s="2"/>
      <c r="R17" s="19">
        <f t="shared" si="9"/>
        <v>0.30792786322610977</v>
      </c>
      <c r="S17" s="2"/>
      <c r="T17" s="2">
        <v>214473.98</v>
      </c>
      <c r="U17" s="2"/>
      <c r="V17" s="19">
        <f t="shared" si="10"/>
        <v>0.32905636021599399</v>
      </c>
      <c r="W17" s="2"/>
      <c r="X17" s="2">
        <f t="shared" si="11"/>
        <v>-190712.36000000002</v>
      </c>
      <c r="Y17" s="2"/>
      <c r="Z17" s="19">
        <f t="shared" si="12"/>
        <v>-0.88920977733522732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252</v>
      </c>
      <c r="E18" s="2"/>
      <c r="F18" s="19">
        <f t="shared" si="5"/>
        <v>1.8291979184889083E-2</v>
      </c>
      <c r="G18" s="2"/>
      <c r="H18" s="2"/>
      <c r="I18" s="2"/>
      <c r="J18" s="19">
        <f t="shared" si="6"/>
        <v>0</v>
      </c>
      <c r="K18" s="2"/>
      <c r="L18" s="2">
        <f t="shared" si="7"/>
        <v>252</v>
      </c>
      <c r="M18" s="2"/>
      <c r="N18" s="19">
        <f t="shared" si="8"/>
        <v>0</v>
      </c>
      <c r="O18" s="10"/>
      <c r="P18" s="2">
        <v>5636.01</v>
      </c>
      <c r="Q18" s="2"/>
      <c r="R18" s="19">
        <f t="shared" si="9"/>
        <v>7.3037297811386043E-2</v>
      </c>
      <c r="S18" s="2"/>
      <c r="T18" s="2">
        <v>2044</v>
      </c>
      <c r="U18" s="2"/>
      <c r="V18" s="19">
        <f t="shared" si="10"/>
        <v>3.1360037254005903E-3</v>
      </c>
      <c r="W18" s="2"/>
      <c r="X18" s="2">
        <f t="shared" si="11"/>
        <v>3592.01</v>
      </c>
      <c r="Y18" s="2"/>
      <c r="Z18" s="19">
        <f t="shared" si="12"/>
        <v>1.7573434442270059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9533.39</v>
      </c>
      <c r="E20" s="14"/>
      <c r="F20" s="21">
        <f>IF(D$12=0,0,D20/D$12)</f>
        <v>0.69200226762472117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9533.39</v>
      </c>
      <c r="M20" s="15"/>
      <c r="N20" s="21">
        <f>IF(H20=0,0,L20/H20)</f>
        <v>0</v>
      </c>
      <c r="O20" s="29"/>
      <c r="P20" s="20">
        <f>P12-P16</f>
        <v>47768.560000000005</v>
      </c>
      <c r="Q20" s="14"/>
      <c r="R20" s="21">
        <f>IF(P$12=0,0,P20/P$12)</f>
        <v>0.61903483896250422</v>
      </c>
      <c r="S20" s="14"/>
      <c r="T20" s="20">
        <f>T12-T16</f>
        <v>435266.95999999996</v>
      </c>
      <c r="U20" s="14"/>
      <c r="V20" s="21">
        <f>IF(T$12=0,0,T20/T$12)</f>
        <v>0.66780763605860549</v>
      </c>
      <c r="W20" s="15"/>
      <c r="X20" s="20">
        <f>+P20-T20</f>
        <v>-387498.39999999997</v>
      </c>
      <c r="Y20" s="15"/>
      <c r="Z20" s="21">
        <f>IF(T20=0,0,X20/T20)</f>
        <v>-0.89025456928777691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61557.009999999987</v>
      </c>
      <c r="E22" s="22"/>
      <c r="F22" s="32">
        <f t="shared" ref="F22:F31" si="13">IF(D$12=0,0,D22/D$12)</f>
        <v>4.468252165095274</v>
      </c>
      <c r="G22" s="22"/>
      <c r="H22" s="22">
        <f>SUM(OSRRefH22x_0)</f>
        <v>33822.86</v>
      </c>
      <c r="I22" s="22"/>
      <c r="J22" s="32">
        <f t="shared" ref="J22:J31" si="14">IF(H$12=0,0,H22/H$12)</f>
        <v>0</v>
      </c>
      <c r="K22" s="4"/>
      <c r="L22" s="22">
        <f t="shared" ref="L22:L31" si="15">+D22-H22</f>
        <v>27734.149999999987</v>
      </c>
      <c r="M22" s="4"/>
      <c r="N22" s="32">
        <f t="shared" ref="N22:N31" si="16">IF(H22=0,0,L22/H22)</f>
        <v>0.81998240243432952</v>
      </c>
      <c r="O22" s="11"/>
      <c r="P22" s="22">
        <f>SUM(OSRRefP22x_0)</f>
        <v>669077.43000000017</v>
      </c>
      <c r="Q22" s="22"/>
      <c r="R22" s="32">
        <f t="shared" ref="R22:R31" si="17">IF(P$12=0,0,P22/P$12)</f>
        <v>8.670603408046972</v>
      </c>
      <c r="S22" s="22"/>
      <c r="T22" s="22">
        <f>SUM(OSRRefT22x_0)</f>
        <v>709790.53000000014</v>
      </c>
      <c r="U22" s="22"/>
      <c r="V22" s="32">
        <f t="shared" ref="V22:V31" si="18">IF(T$12=0,0,T22/T$12)</f>
        <v>1.0889949835293835</v>
      </c>
      <c r="W22" s="4"/>
      <c r="X22" s="22">
        <f t="shared" ref="X22:X31" si="19">+P22-T22</f>
        <v>-40713.099999999977</v>
      </c>
      <c r="Y22" s="4"/>
      <c r="Z22" s="32">
        <f t="shared" ref="Z22:Z31" si="20">IF(T22=0,0,X22/T22)</f>
        <v>-5.7359316980461782E-2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13574.920000000002</v>
      </c>
      <c r="E23" s="1"/>
      <c r="F23" s="5">
        <f t="shared" si="13"/>
        <v>0.98536569077989911</v>
      </c>
      <c r="G23" s="1"/>
      <c r="H23" s="1">
        <f>SUM(OSRRefH22_0x_0)</f>
        <v>4987.9699999999993</v>
      </c>
      <c r="I23" s="1"/>
      <c r="J23" s="5">
        <f t="shared" si="14"/>
        <v>0</v>
      </c>
      <c r="K23" s="1"/>
      <c r="L23" s="1">
        <f t="shared" si="15"/>
        <v>8586.9500000000025</v>
      </c>
      <c r="M23" s="1"/>
      <c r="N23" s="5">
        <f t="shared" si="16"/>
        <v>1.7215320060064523</v>
      </c>
      <c r="O23" s="12"/>
      <c r="P23" s="1">
        <f>SUM(OSRRefP22_0x_0)</f>
        <v>149043.84000000003</v>
      </c>
      <c r="Q23" s="1"/>
      <c r="R23" s="5">
        <f t="shared" si="17"/>
        <v>1.9314655809752952</v>
      </c>
      <c r="S23" s="1"/>
      <c r="T23" s="1">
        <f>SUM(OSRRefT22_0x_0)</f>
        <v>84738.180000000008</v>
      </c>
      <c r="U23" s="1"/>
      <c r="V23" s="5">
        <f t="shared" si="18"/>
        <v>0.13000941690981693</v>
      </c>
      <c r="W23" s="1"/>
      <c r="X23" s="1">
        <f t="shared" si="19"/>
        <v>64305.660000000018</v>
      </c>
      <c r="Y23" s="1"/>
      <c r="Z23" s="5">
        <f t="shared" si="20"/>
        <v>0.75887468907167954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>
        <v>1543.68</v>
      </c>
      <c r="E24" s="2"/>
      <c r="F24" s="7">
        <f t="shared" si="13"/>
        <v>0.11205143820686343</v>
      </c>
      <c r="G24" s="2"/>
      <c r="H24" s="6">
        <v>386.22</v>
      </c>
      <c r="I24" s="2"/>
      <c r="J24" s="7">
        <f t="shared" si="14"/>
        <v>0</v>
      </c>
      <c r="K24" s="2"/>
      <c r="L24" s="6">
        <f t="shared" si="15"/>
        <v>1157.46</v>
      </c>
      <c r="M24" s="2"/>
      <c r="N24" s="7">
        <f t="shared" si="16"/>
        <v>2.9968929625601985</v>
      </c>
      <c r="O24" s="10"/>
      <c r="P24" s="6">
        <v>17344.330000000002</v>
      </c>
      <c r="Q24" s="2"/>
      <c r="R24" s="7">
        <f t="shared" si="17"/>
        <v>0.22476592404004916</v>
      </c>
      <c r="S24" s="2"/>
      <c r="T24" s="6">
        <v>13697.2</v>
      </c>
      <c r="U24" s="2"/>
      <c r="V24" s="7">
        <f t="shared" si="18"/>
        <v>2.1014907156339024E-2</v>
      </c>
      <c r="W24" s="2"/>
      <c r="X24" s="6">
        <f t="shared" si="19"/>
        <v>3647.130000000001</v>
      </c>
      <c r="Y24" s="2"/>
      <c r="Z24" s="7">
        <f t="shared" si="20"/>
        <v>0.26626828840930999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>
        <v>865.26</v>
      </c>
      <c r="E25" s="2"/>
      <c r="F25" s="7">
        <f t="shared" si="13"/>
        <v>6.2806817101258447E-2</v>
      </c>
      <c r="G25" s="2"/>
      <c r="H25" s="6">
        <v>293.83</v>
      </c>
      <c r="I25" s="2"/>
      <c r="J25" s="7">
        <f t="shared" si="14"/>
        <v>0</v>
      </c>
      <c r="K25" s="2"/>
      <c r="L25" s="6">
        <f t="shared" si="15"/>
        <v>571.43000000000006</v>
      </c>
      <c r="M25" s="2"/>
      <c r="N25" s="7">
        <f t="shared" si="16"/>
        <v>1.9447639791716302</v>
      </c>
      <c r="O25" s="10"/>
      <c r="P25" s="6">
        <v>7365.94</v>
      </c>
      <c r="Q25" s="2"/>
      <c r="R25" s="7">
        <f t="shared" si="17"/>
        <v>9.5455535643265518E-2</v>
      </c>
      <c r="S25" s="2"/>
      <c r="T25" s="6">
        <v>7859.58</v>
      </c>
      <c r="U25" s="2"/>
      <c r="V25" s="7">
        <f t="shared" si="18"/>
        <v>1.2058548023524447E-2</v>
      </c>
      <c r="W25" s="2"/>
      <c r="X25" s="6">
        <f t="shared" si="19"/>
        <v>-493.64000000000033</v>
      </c>
      <c r="Y25" s="2"/>
      <c r="Z25" s="7">
        <f t="shared" si="20"/>
        <v>-6.2807427368892527E-2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>
        <v>6634.06</v>
      </c>
      <c r="E26" s="2"/>
      <c r="F26" s="7">
        <f t="shared" si="13"/>
        <v>0.4815479659972432</v>
      </c>
      <c r="G26" s="2"/>
      <c r="H26" s="6">
        <v>3371.81</v>
      </c>
      <c r="I26" s="2"/>
      <c r="J26" s="7">
        <f t="shared" si="14"/>
        <v>0</v>
      </c>
      <c r="K26" s="2"/>
      <c r="L26" s="6">
        <f t="shared" si="15"/>
        <v>3262.2500000000005</v>
      </c>
      <c r="M26" s="2"/>
      <c r="N26" s="7">
        <f t="shared" si="16"/>
        <v>0.96750706593787916</v>
      </c>
      <c r="O26" s="10"/>
      <c r="P26" s="6">
        <v>74101.69</v>
      </c>
      <c r="Q26" s="2"/>
      <c r="R26" s="7">
        <f t="shared" si="17"/>
        <v>0.96028701170810693</v>
      </c>
      <c r="S26" s="2"/>
      <c r="T26" s="6">
        <v>35136.910000000003</v>
      </c>
      <c r="U26" s="2"/>
      <c r="V26" s="7">
        <f t="shared" si="18"/>
        <v>5.390874787625502E-2</v>
      </c>
      <c r="W26" s="2"/>
      <c r="X26" s="6">
        <f t="shared" si="19"/>
        <v>38964.78</v>
      </c>
      <c r="Y26" s="2"/>
      <c r="Z26" s="7">
        <f t="shared" si="20"/>
        <v>1.1089415660056616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>
        <v>74.930000000000007</v>
      </c>
      <c r="E27" s="2"/>
      <c r="F27" s="7">
        <f t="shared" si="13"/>
        <v>5.438960318744997E-3</v>
      </c>
      <c r="G27" s="2"/>
      <c r="H27" s="6">
        <v>19.690000000000001</v>
      </c>
      <c r="I27" s="2"/>
      <c r="J27" s="7">
        <f t="shared" si="14"/>
        <v>0</v>
      </c>
      <c r="K27" s="2"/>
      <c r="L27" s="6">
        <f t="shared" si="15"/>
        <v>55.240000000000009</v>
      </c>
      <c r="M27" s="2"/>
      <c r="N27" s="7">
        <f t="shared" si="16"/>
        <v>2.8054850177755211</v>
      </c>
      <c r="O27" s="10"/>
      <c r="P27" s="6">
        <v>646.92999999999995</v>
      </c>
      <c r="Q27" s="2"/>
      <c r="R27" s="7">
        <f t="shared" si="17"/>
        <v>8.3835939029774566E-3</v>
      </c>
      <c r="S27" s="2"/>
      <c r="T27" s="6">
        <v>632.02</v>
      </c>
      <c r="U27" s="2"/>
      <c r="V27" s="7">
        <f t="shared" si="18"/>
        <v>9.696756724695112E-4</v>
      </c>
      <c r="W27" s="2"/>
      <c r="X27" s="6">
        <f t="shared" si="19"/>
        <v>14.909999999999968</v>
      </c>
      <c r="Y27" s="2"/>
      <c r="Z27" s="7">
        <f t="shared" si="20"/>
        <v>2.3591025600455631E-2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>
        <v>1562.6</v>
      </c>
      <c r="E28" s="2"/>
      <c r="F28" s="7">
        <f t="shared" si="13"/>
        <v>0.11342478839010985</v>
      </c>
      <c r="G28" s="2"/>
      <c r="H28" s="6">
        <v>352.64</v>
      </c>
      <c r="I28" s="2"/>
      <c r="J28" s="7">
        <f t="shared" si="14"/>
        <v>0</v>
      </c>
      <c r="K28" s="2"/>
      <c r="L28" s="6">
        <f t="shared" si="15"/>
        <v>1209.96</v>
      </c>
      <c r="M28" s="2"/>
      <c r="N28" s="7">
        <f t="shared" si="16"/>
        <v>3.4311479128856628</v>
      </c>
      <c r="O28" s="10"/>
      <c r="P28" s="6">
        <v>17490.72</v>
      </c>
      <c r="Q28" s="2"/>
      <c r="R28" s="7">
        <f t="shared" si="17"/>
        <v>0.2266629983934674</v>
      </c>
      <c r="S28" s="2"/>
      <c r="T28" s="6">
        <v>6330.32</v>
      </c>
      <c r="U28" s="2"/>
      <c r="V28" s="7">
        <f t="shared" si="18"/>
        <v>9.7122833184823208E-3</v>
      </c>
      <c r="W28" s="2"/>
      <c r="X28" s="6">
        <f t="shared" si="19"/>
        <v>11160.400000000001</v>
      </c>
      <c r="Y28" s="2"/>
      <c r="Z28" s="7">
        <f t="shared" si="20"/>
        <v>1.7630072413400906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>
        <v>1440.4</v>
      </c>
      <c r="E29" s="2"/>
      <c r="F29" s="7">
        <f t="shared" si="13"/>
        <v>0.10455463022981841</v>
      </c>
      <c r="G29" s="2"/>
      <c r="H29" s="6">
        <v>290.92</v>
      </c>
      <c r="I29" s="2"/>
      <c r="J29" s="7">
        <f t="shared" si="14"/>
        <v>0</v>
      </c>
      <c r="K29" s="2"/>
      <c r="L29" s="6">
        <f t="shared" si="15"/>
        <v>1149.48</v>
      </c>
      <c r="M29" s="2"/>
      <c r="N29" s="7">
        <f t="shared" si="16"/>
        <v>3.9511893304001098</v>
      </c>
      <c r="O29" s="10"/>
      <c r="P29" s="6">
        <v>16699.28</v>
      </c>
      <c r="Q29" s="2"/>
      <c r="R29" s="7">
        <f t="shared" si="17"/>
        <v>0.21640669313853642</v>
      </c>
      <c r="S29" s="2"/>
      <c r="T29" s="6">
        <v>9154.11</v>
      </c>
      <c r="U29" s="2"/>
      <c r="V29" s="7">
        <f t="shared" si="18"/>
        <v>1.4044678602116828E-2</v>
      </c>
      <c r="W29" s="2"/>
      <c r="X29" s="6">
        <f t="shared" si="19"/>
        <v>7545.1699999999983</v>
      </c>
      <c r="Y29" s="2"/>
      <c r="Z29" s="7">
        <f t="shared" si="20"/>
        <v>0.82423851144458582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>
        <v>872.28</v>
      </c>
      <c r="E30" s="2"/>
      <c r="F30" s="7">
        <f t="shared" si="13"/>
        <v>6.3316379378551793E-2</v>
      </c>
      <c r="G30" s="2"/>
      <c r="H30" s="6">
        <v>232.86</v>
      </c>
      <c r="I30" s="2"/>
      <c r="J30" s="7">
        <f t="shared" si="14"/>
        <v>0</v>
      </c>
      <c r="K30" s="2"/>
      <c r="L30" s="6">
        <f t="shared" si="15"/>
        <v>639.41999999999996</v>
      </c>
      <c r="M30" s="2"/>
      <c r="N30" s="7">
        <f t="shared" si="16"/>
        <v>2.7459417675856734</v>
      </c>
      <c r="O30" s="10"/>
      <c r="P30" s="6">
        <v>10382.14</v>
      </c>
      <c r="Q30" s="2"/>
      <c r="R30" s="7">
        <f t="shared" si="17"/>
        <v>0.13454260214220762</v>
      </c>
      <c r="S30" s="2"/>
      <c r="T30" s="6">
        <v>8893.77</v>
      </c>
      <c r="U30" s="2"/>
      <c r="V30" s="7">
        <f t="shared" si="18"/>
        <v>1.3645252374195699E-2</v>
      </c>
      <c r="W30" s="2"/>
      <c r="X30" s="6">
        <f t="shared" si="19"/>
        <v>1488.369999999999</v>
      </c>
      <c r="Y30" s="2"/>
      <c r="Z30" s="7">
        <f t="shared" si="20"/>
        <v>0.1673497290800188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>
        <v>581.71</v>
      </c>
      <c r="E31" s="2"/>
      <c r="F31" s="7">
        <f t="shared" si="13"/>
        <v>4.2224711157308852E-2</v>
      </c>
      <c r="G31" s="2"/>
      <c r="H31" s="6">
        <v>40</v>
      </c>
      <c r="I31" s="2"/>
      <c r="J31" s="7">
        <f t="shared" si="14"/>
        <v>0</v>
      </c>
      <c r="K31" s="2"/>
      <c r="L31" s="6">
        <f t="shared" si="15"/>
        <v>541.71</v>
      </c>
      <c r="M31" s="2"/>
      <c r="N31" s="7">
        <f t="shared" si="16"/>
        <v>13.542750000000002</v>
      </c>
      <c r="O31" s="10"/>
      <c r="P31" s="6">
        <v>5012.8100000000004</v>
      </c>
      <c r="Q31" s="2"/>
      <c r="R31" s="7">
        <f t="shared" si="17"/>
        <v>6.4961222006684541E-2</v>
      </c>
      <c r="S31" s="2"/>
      <c r="T31" s="6">
        <v>3034.27</v>
      </c>
      <c r="U31" s="2"/>
      <c r="V31" s="7">
        <f t="shared" si="18"/>
        <v>4.6553238864340749E-3</v>
      </c>
      <c r="W31" s="2"/>
      <c r="X31" s="6">
        <f t="shared" si="19"/>
        <v>1978.5400000000004</v>
      </c>
      <c r="Y31" s="2"/>
      <c r="Z31" s="7">
        <f t="shared" si="20"/>
        <v>0.65206458225536967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18285.079999999998</v>
      </c>
      <c r="E32" s="1"/>
      <c r="F32" s="5">
        <f t="shared" ref="F32:F38" si="21">IF(D$12=0,0,D32/D$12)</f>
        <v>1.3272631061667923</v>
      </c>
      <c r="G32" s="1"/>
      <c r="H32" s="1">
        <f>SUM(OSRRefH22_1x_0)</f>
        <v>3344.68</v>
      </c>
      <c r="I32" s="1"/>
      <c r="J32" s="5">
        <f t="shared" ref="J32:J38" si="22">IF(H$12=0,0,H32/H$12)</f>
        <v>0</v>
      </c>
      <c r="K32" s="1"/>
      <c r="L32" s="1">
        <f t="shared" ref="L32:L38" si="23">+D32-H32</f>
        <v>14940.399999999998</v>
      </c>
      <c r="M32" s="1"/>
      <c r="N32" s="5">
        <f t="shared" ref="N32:N38" si="24">IF(H32=0,0,L32/H32)</f>
        <v>4.4669146226245857</v>
      </c>
      <c r="O32" s="12"/>
      <c r="P32" s="1">
        <f>SUM(OSRRefP22_1x_0)</f>
        <v>191911.69</v>
      </c>
      <c r="Q32" s="1"/>
      <c r="R32" s="5">
        <f t="shared" ref="R32:R38" si="25">IF(P$12=0,0,P32/P$12)</f>
        <v>2.4869919066886674</v>
      </c>
      <c r="S32" s="1"/>
      <c r="T32" s="1">
        <f>SUM(OSRRefT22_1x_0)</f>
        <v>230552.02999999997</v>
      </c>
      <c r="U32" s="1"/>
      <c r="V32" s="5">
        <f t="shared" ref="V32:V38" si="26">IF(T$12=0,0,T32/T$12)</f>
        <v>0.35372408267058147</v>
      </c>
      <c r="W32" s="1"/>
      <c r="X32" s="1">
        <f t="shared" ref="X32:X38" si="27">+P32-T32</f>
        <v>-38640.339999999967</v>
      </c>
      <c r="Y32" s="1"/>
      <c r="Z32" s="5">
        <f t="shared" ref="Z32:Z38" si="28">IF(T32=0,0,X32/T32)</f>
        <v>-0.16759921827623886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14361.06</v>
      </c>
      <c r="E33" s="2"/>
      <c r="F33" s="7">
        <f t="shared" si="21"/>
        <v>1.0424294071148541</v>
      </c>
      <c r="G33" s="2"/>
      <c r="H33" s="6">
        <v>3344.68</v>
      </c>
      <c r="I33" s="2"/>
      <c r="J33" s="7">
        <f t="shared" si="22"/>
        <v>0</v>
      </c>
      <c r="K33" s="2"/>
      <c r="L33" s="6">
        <f t="shared" si="23"/>
        <v>11016.38</v>
      </c>
      <c r="M33" s="2"/>
      <c r="N33" s="7">
        <f t="shared" si="24"/>
        <v>3.2937022375832665</v>
      </c>
      <c r="O33" s="10"/>
      <c r="P33" s="6">
        <v>156344.57</v>
      </c>
      <c r="Q33" s="2"/>
      <c r="R33" s="7">
        <f t="shared" si="25"/>
        <v>2.02607605740286</v>
      </c>
      <c r="S33" s="2"/>
      <c r="T33" s="6">
        <v>52353.3</v>
      </c>
      <c r="U33" s="2"/>
      <c r="V33" s="7">
        <f t="shared" si="26"/>
        <v>8.032296665215985E-2</v>
      </c>
      <c r="W33" s="2"/>
      <c r="X33" s="6">
        <f t="shared" si="27"/>
        <v>103991.27</v>
      </c>
      <c r="Y33" s="2"/>
      <c r="Z33" s="7">
        <f t="shared" si="28"/>
        <v>1.9863364869072246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2883.67</v>
      </c>
      <c r="E34" s="2"/>
      <c r="F34" s="7">
        <f t="shared" si="21"/>
        <v>0.20931758577813139</v>
      </c>
      <c r="G34" s="2"/>
      <c r="H34" s="6"/>
      <c r="I34" s="2"/>
      <c r="J34" s="7">
        <f t="shared" si="22"/>
        <v>0</v>
      </c>
      <c r="K34" s="2"/>
      <c r="L34" s="6">
        <f t="shared" si="23"/>
        <v>2883.67</v>
      </c>
      <c r="M34" s="2"/>
      <c r="N34" s="7">
        <f t="shared" si="24"/>
        <v>0</v>
      </c>
      <c r="O34" s="10"/>
      <c r="P34" s="6">
        <v>31393.03</v>
      </c>
      <c r="Q34" s="2"/>
      <c r="R34" s="7">
        <f t="shared" si="25"/>
        <v>0.40682363610280614</v>
      </c>
      <c r="S34" s="2"/>
      <c r="T34" s="6">
        <v>30886.32</v>
      </c>
      <c r="U34" s="2"/>
      <c r="V34" s="7">
        <f t="shared" si="26"/>
        <v>4.7387286978431878E-2</v>
      </c>
      <c r="W34" s="2"/>
      <c r="X34" s="6">
        <f t="shared" si="27"/>
        <v>506.70999999999913</v>
      </c>
      <c r="Y34" s="2"/>
      <c r="Z34" s="7">
        <f t="shared" si="28"/>
        <v>1.6405644958674234E-2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1040.3499999999999</v>
      </c>
      <c r="E35" s="2"/>
      <c r="F35" s="7">
        <f t="shared" si="21"/>
        <v>7.5516113273806973E-2</v>
      </c>
      <c r="G35" s="2"/>
      <c r="H35" s="6"/>
      <c r="I35" s="2"/>
      <c r="J35" s="7">
        <f t="shared" si="22"/>
        <v>0</v>
      </c>
      <c r="K35" s="2"/>
      <c r="L35" s="6">
        <f t="shared" si="23"/>
        <v>1040.3499999999999</v>
      </c>
      <c r="M35" s="2"/>
      <c r="N35" s="7">
        <f t="shared" si="24"/>
        <v>0</v>
      </c>
      <c r="O35" s="10"/>
      <c r="P35" s="6">
        <v>4026.4</v>
      </c>
      <c r="Q35" s="2"/>
      <c r="R35" s="7">
        <f t="shared" si="25"/>
        <v>5.2178292073251253E-2</v>
      </c>
      <c r="S35" s="2"/>
      <c r="T35" s="6">
        <v>71622.42</v>
      </c>
      <c r="U35" s="2"/>
      <c r="V35" s="7">
        <f t="shared" si="26"/>
        <v>0.10988658314197933</v>
      </c>
      <c r="W35" s="2"/>
      <c r="X35" s="6">
        <f t="shared" si="27"/>
        <v>-67596.02</v>
      </c>
      <c r="Y35" s="2"/>
      <c r="Z35" s="7">
        <f t="shared" si="28"/>
        <v>-0.9437829662834627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200.5</v>
      </c>
      <c r="U36" s="2"/>
      <c r="V36" s="7">
        <f t="shared" si="26"/>
        <v>3.0761680378807161E-4</v>
      </c>
      <c r="W36" s="2"/>
      <c r="X36" s="6">
        <f t="shared" si="27"/>
        <v>-200.5</v>
      </c>
      <c r="Y36" s="2"/>
      <c r="Z36" s="7">
        <f t="shared" si="28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0"/>
      <c r="P37" s="6">
        <v>147.69</v>
      </c>
      <c r="Q37" s="2"/>
      <c r="R37" s="7">
        <f t="shared" si="25"/>
        <v>1.9139211097502675E-3</v>
      </c>
      <c r="S37" s="2"/>
      <c r="T37" s="6">
        <v>73786.490000000005</v>
      </c>
      <c r="U37" s="2"/>
      <c r="V37" s="7">
        <f t="shared" si="26"/>
        <v>0.11320680407252123</v>
      </c>
      <c r="W37" s="2"/>
      <c r="X37" s="6">
        <f t="shared" si="27"/>
        <v>-73638.8</v>
      </c>
      <c r="Y37" s="2"/>
      <c r="Z37" s="7">
        <f t="shared" si="28"/>
        <v>-0.99799841407282008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1703</v>
      </c>
      <c r="U38" s="2"/>
      <c r="V38" s="7">
        <f t="shared" si="26"/>
        <v>2.6128250217011765E-3</v>
      </c>
      <c r="W38" s="2"/>
      <c r="X38" s="6">
        <f t="shared" si="27"/>
        <v>-1703</v>
      </c>
      <c r="Y38" s="2"/>
      <c r="Z38" s="7">
        <f t="shared" si="28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6.3</v>
      </c>
      <c r="E39" s="1"/>
      <c r="F39" s="5">
        <f t="shared" ref="F39:F47" si="29">IF(D$12=0,0,D39/D$12)</f>
        <v>4.5729947962222712E-4</v>
      </c>
      <c r="G39" s="1"/>
      <c r="H39" s="1">
        <f>SUM(OSRRefH22_2x_0)</f>
        <v>48.4</v>
      </c>
      <c r="I39" s="1"/>
      <c r="J39" s="5">
        <f t="shared" ref="J39:J47" si="30">IF(H$12=0,0,H39/H$12)</f>
        <v>0</v>
      </c>
      <c r="K39" s="1"/>
      <c r="L39" s="1">
        <f t="shared" ref="L39:L47" si="31">+D39-H39</f>
        <v>-42.1</v>
      </c>
      <c r="M39" s="1"/>
      <c r="N39" s="5">
        <f t="shared" ref="N39:N47" si="32">IF(H39=0,0,L39/H39)</f>
        <v>-0.8698347107438017</v>
      </c>
      <c r="O39" s="12"/>
      <c r="P39" s="1">
        <f>SUM(OSRRefP22_2x_0)</f>
        <v>300.07</v>
      </c>
      <c r="Q39" s="1"/>
      <c r="R39" s="5">
        <f t="shared" ref="R39:R47" si="33">IF(P$12=0,0,P39/P$12)</f>
        <v>3.8886201327291135E-3</v>
      </c>
      <c r="S39" s="1"/>
      <c r="T39" s="1">
        <f>SUM(OSRRefT22_2x_0)</f>
        <v>6418.96</v>
      </c>
      <c r="U39" s="1"/>
      <c r="V39" s="5">
        <f t="shared" ref="V39:V47" si="34">IF(T$12=0,0,T39/T$12)</f>
        <v>9.8482790964762104E-3</v>
      </c>
      <c r="W39" s="1"/>
      <c r="X39" s="1">
        <f t="shared" ref="X39:X47" si="35">+P39-T39</f>
        <v>-6118.89</v>
      </c>
      <c r="Y39" s="1"/>
      <c r="Z39" s="5">
        <f t="shared" ref="Z39:Z47" si="36">IF(T39=0,0,X39/T39)</f>
        <v>-0.95325255181524737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>
        <v>6.3</v>
      </c>
      <c r="E40" s="2"/>
      <c r="F40" s="7">
        <f t="shared" si="29"/>
        <v>4.5729947962222712E-4</v>
      </c>
      <c r="G40" s="2"/>
      <c r="H40" s="6">
        <v>48.4</v>
      </c>
      <c r="I40" s="2"/>
      <c r="J40" s="7">
        <f t="shared" si="30"/>
        <v>0</v>
      </c>
      <c r="K40" s="2"/>
      <c r="L40" s="6">
        <f t="shared" si="31"/>
        <v>-42.1</v>
      </c>
      <c r="M40" s="2"/>
      <c r="N40" s="7">
        <f t="shared" si="32"/>
        <v>-0.8698347107438017</v>
      </c>
      <c r="O40" s="10"/>
      <c r="P40" s="6">
        <v>300.07</v>
      </c>
      <c r="Q40" s="2"/>
      <c r="R40" s="7">
        <f t="shared" si="33"/>
        <v>3.8886201327291135E-3</v>
      </c>
      <c r="S40" s="2"/>
      <c r="T40" s="6">
        <v>6418.96</v>
      </c>
      <c r="U40" s="2"/>
      <c r="V40" s="7">
        <f t="shared" si="34"/>
        <v>9.8482790964762104E-3</v>
      </c>
      <c r="W40" s="2"/>
      <c r="X40" s="6">
        <f t="shared" si="35"/>
        <v>-6118.89</v>
      </c>
      <c r="Y40" s="2"/>
      <c r="Z40" s="7">
        <f t="shared" si="36"/>
        <v>-0.95325255181524737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7.22</v>
      </c>
      <c r="E41" s="1"/>
      <c r="F41" s="5">
        <f t="shared" si="29"/>
        <v>5.2407972109086974E-4</v>
      </c>
      <c r="G41" s="1"/>
      <c r="H41" s="1">
        <f>SUM(OSRRefH22_3x_0)</f>
        <v>0</v>
      </c>
      <c r="I41" s="1"/>
      <c r="J41" s="5">
        <f t="shared" si="30"/>
        <v>0</v>
      </c>
      <c r="K41" s="1"/>
      <c r="L41" s="1">
        <f t="shared" si="31"/>
        <v>7.22</v>
      </c>
      <c r="M41" s="1"/>
      <c r="N41" s="5">
        <f t="shared" si="32"/>
        <v>0</v>
      </c>
      <c r="O41" s="12"/>
      <c r="P41" s="1">
        <f>SUM(OSRRefP22_3x_0)</f>
        <v>16.2</v>
      </c>
      <c r="Q41" s="1"/>
      <c r="R41" s="5">
        <f t="shared" si="33"/>
        <v>2.0993650198357594E-4</v>
      </c>
      <c r="S41" s="1"/>
      <c r="T41" s="1">
        <f>SUM(OSRRefT22_3x_0)</f>
        <v>-37.450000000000003</v>
      </c>
      <c r="U41" s="1"/>
      <c r="V41" s="5">
        <f t="shared" si="34"/>
        <v>-5.7457602503058765E-5</v>
      </c>
      <c r="W41" s="1"/>
      <c r="X41" s="1">
        <f t="shared" si="35"/>
        <v>53.650000000000006</v>
      </c>
      <c r="Y41" s="1"/>
      <c r="Z41" s="5">
        <f t="shared" si="36"/>
        <v>-1.4325767690253672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>
        <v>7.22</v>
      </c>
      <c r="E42" s="2"/>
      <c r="F42" s="7">
        <f t="shared" si="29"/>
        <v>5.2407972109086974E-4</v>
      </c>
      <c r="G42" s="2"/>
      <c r="H42" s="6"/>
      <c r="I42" s="2"/>
      <c r="J42" s="7">
        <f t="shared" si="30"/>
        <v>0</v>
      </c>
      <c r="K42" s="2"/>
      <c r="L42" s="6">
        <f t="shared" si="31"/>
        <v>7.22</v>
      </c>
      <c r="M42" s="2"/>
      <c r="N42" s="7">
        <f t="shared" si="32"/>
        <v>0</v>
      </c>
      <c r="O42" s="10"/>
      <c r="P42" s="6">
        <v>16.2</v>
      </c>
      <c r="Q42" s="2"/>
      <c r="R42" s="7">
        <f t="shared" si="33"/>
        <v>2.0993650198357594E-4</v>
      </c>
      <c r="S42" s="2"/>
      <c r="T42" s="6">
        <v>-37.450000000000003</v>
      </c>
      <c r="U42" s="2"/>
      <c r="V42" s="7">
        <f t="shared" si="34"/>
        <v>-5.7457602503058765E-5</v>
      </c>
      <c r="W42" s="2"/>
      <c r="X42" s="6">
        <f t="shared" si="35"/>
        <v>53.650000000000006</v>
      </c>
      <c r="Y42" s="2"/>
      <c r="Z42" s="7">
        <f t="shared" si="36"/>
        <v>-1.4325767690253672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449.17</v>
      </c>
      <c r="E43" s="1"/>
      <c r="F43" s="5">
        <f t="shared" si="29"/>
        <v>3.2604001152685039E-2</v>
      </c>
      <c r="G43" s="1"/>
      <c r="H43" s="1">
        <f>SUM(OSRRefH22_4x_0)</f>
        <v>0</v>
      </c>
      <c r="I43" s="1"/>
      <c r="J43" s="5">
        <f t="shared" si="30"/>
        <v>0</v>
      </c>
      <c r="K43" s="1"/>
      <c r="L43" s="1">
        <f t="shared" si="31"/>
        <v>449.17</v>
      </c>
      <c r="M43" s="1"/>
      <c r="N43" s="5">
        <f t="shared" si="32"/>
        <v>0</v>
      </c>
      <c r="O43" s="12"/>
      <c r="P43" s="1">
        <f>SUM(OSRRefP22_4x_0)</f>
        <v>2398.91</v>
      </c>
      <c r="Q43" s="1"/>
      <c r="R43" s="5">
        <f t="shared" si="33"/>
        <v>3.1087578640334578E-2</v>
      </c>
      <c r="S43" s="1"/>
      <c r="T43" s="1">
        <f>SUM(OSRRefT22_4x_0)</f>
        <v>27203.67</v>
      </c>
      <c r="U43" s="1"/>
      <c r="V43" s="5">
        <f t="shared" si="34"/>
        <v>4.17371871157379E-2</v>
      </c>
      <c r="W43" s="1"/>
      <c r="X43" s="1">
        <f t="shared" si="35"/>
        <v>-24804.76</v>
      </c>
      <c r="Y43" s="1"/>
      <c r="Z43" s="5">
        <f t="shared" si="36"/>
        <v>-0.91181667767621055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>
        <v>449.17</v>
      </c>
      <c r="E44" s="2"/>
      <c r="F44" s="7">
        <f t="shared" si="29"/>
        <v>3.2604001152685039E-2</v>
      </c>
      <c r="G44" s="2"/>
      <c r="H44" s="6"/>
      <c r="I44" s="2"/>
      <c r="J44" s="7">
        <f t="shared" si="30"/>
        <v>0</v>
      </c>
      <c r="K44" s="2"/>
      <c r="L44" s="6">
        <f t="shared" si="31"/>
        <v>449.17</v>
      </c>
      <c r="M44" s="2"/>
      <c r="N44" s="7">
        <f t="shared" si="32"/>
        <v>0</v>
      </c>
      <c r="O44" s="10"/>
      <c r="P44" s="6">
        <v>2398.91</v>
      </c>
      <c r="Q44" s="2"/>
      <c r="R44" s="7">
        <f t="shared" si="33"/>
        <v>3.1087578640334578E-2</v>
      </c>
      <c r="S44" s="2"/>
      <c r="T44" s="6">
        <v>27203.67</v>
      </c>
      <c r="U44" s="2"/>
      <c r="V44" s="7">
        <f t="shared" si="34"/>
        <v>4.17371871157379E-2</v>
      </c>
      <c r="W44" s="2"/>
      <c r="X44" s="6">
        <f t="shared" si="35"/>
        <v>-24804.76</v>
      </c>
      <c r="Y44" s="2"/>
      <c r="Z44" s="7">
        <f t="shared" si="36"/>
        <v>-0.91181667767621055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13902.32</v>
      </c>
      <c r="E45" s="1"/>
      <c r="F45" s="5">
        <f t="shared" si="29"/>
        <v>1.0091307462764572</v>
      </c>
      <c r="G45" s="1"/>
      <c r="H45" s="1">
        <f>SUM(OSRRefH22_5x_0)</f>
        <v>13702.16</v>
      </c>
      <c r="I45" s="1"/>
      <c r="J45" s="5">
        <f t="shared" si="30"/>
        <v>0</v>
      </c>
      <c r="K45" s="1"/>
      <c r="L45" s="1">
        <f t="shared" si="31"/>
        <v>200.15999999999985</v>
      </c>
      <c r="M45" s="1"/>
      <c r="N45" s="5">
        <f t="shared" si="32"/>
        <v>1.4607915832248335E-2</v>
      </c>
      <c r="O45" s="12"/>
      <c r="P45" s="1">
        <f>SUM(OSRRefP22_5x_0)</f>
        <v>152890.79999999999</v>
      </c>
      <c r="Q45" s="1"/>
      <c r="R45" s="5">
        <f t="shared" si="33"/>
        <v>1.9813185023129947</v>
      </c>
      <c r="S45" s="1"/>
      <c r="T45" s="1">
        <f>SUM(OSRRefT22_5x_0)</f>
        <v>148274.62</v>
      </c>
      <c r="U45" s="1"/>
      <c r="V45" s="5">
        <f t="shared" si="34"/>
        <v>0.22749009819097693</v>
      </c>
      <c r="W45" s="1"/>
      <c r="X45" s="1">
        <f t="shared" si="35"/>
        <v>4616.179999999993</v>
      </c>
      <c r="Y45" s="1"/>
      <c r="Z45" s="5">
        <f t="shared" si="36"/>
        <v>3.1132637534326463E-2</v>
      </c>
    </row>
    <row r="46" spans="1:26" s="23" customFormat="1" hidden="1" outlineLevel="2" x14ac:dyDescent="0.25">
      <c r="A46" s="27"/>
      <c r="B46" s="10" t="str">
        <f>CONCATENATE("          ", "6321", " - ", "BUILDING DEPRECIATION")</f>
        <v xml:space="preserve">          6321 - BUILDING DEPRECIATION</v>
      </c>
      <c r="C46" s="10"/>
      <c r="D46" s="6">
        <v>10597.26</v>
      </c>
      <c r="E46" s="2"/>
      <c r="F46" s="7">
        <f t="shared" si="29"/>
        <v>0.76922563228911789</v>
      </c>
      <c r="G46" s="2"/>
      <c r="H46" s="6">
        <v>10612.46</v>
      </c>
      <c r="I46" s="2"/>
      <c r="J46" s="7">
        <f t="shared" si="30"/>
        <v>0</v>
      </c>
      <c r="K46" s="2"/>
      <c r="L46" s="6">
        <f t="shared" si="31"/>
        <v>-15.199999999998909</v>
      </c>
      <c r="M46" s="2"/>
      <c r="N46" s="7">
        <f t="shared" si="32"/>
        <v>-1.4322786611208815E-3</v>
      </c>
      <c r="O46" s="10"/>
      <c r="P46" s="6">
        <v>116569.86</v>
      </c>
      <c r="Q46" s="2"/>
      <c r="R46" s="7">
        <f t="shared" si="33"/>
        <v>1.510633866982418</v>
      </c>
      <c r="S46" s="2"/>
      <c r="T46" s="6">
        <v>116737.06</v>
      </c>
      <c r="U46" s="2"/>
      <c r="V46" s="7">
        <f t="shared" si="34"/>
        <v>0.17910364728586703</v>
      </c>
      <c r="W46" s="2"/>
      <c r="X46" s="6">
        <f t="shared" si="35"/>
        <v>-167.19999999999709</v>
      </c>
      <c r="Y46" s="2"/>
      <c r="Z46" s="7">
        <f t="shared" si="36"/>
        <v>-1.4322786611209593E-3</v>
      </c>
    </row>
    <row r="47" spans="1:26" s="23" customFormat="1" hidden="1" outlineLevel="2" x14ac:dyDescent="0.25">
      <c r="A47" s="27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3305.06</v>
      </c>
      <c r="E47" s="2"/>
      <c r="F47" s="7">
        <f t="shared" si="29"/>
        <v>0.23990511398733935</v>
      </c>
      <c r="G47" s="2"/>
      <c r="H47" s="6">
        <v>3089.7</v>
      </c>
      <c r="I47" s="2"/>
      <c r="J47" s="7">
        <f t="shared" si="30"/>
        <v>0</v>
      </c>
      <c r="K47" s="2"/>
      <c r="L47" s="6">
        <f t="shared" si="31"/>
        <v>215.36000000000013</v>
      </c>
      <c r="M47" s="2"/>
      <c r="N47" s="7">
        <f t="shared" si="32"/>
        <v>6.9702560119105458E-2</v>
      </c>
      <c r="O47" s="10"/>
      <c r="P47" s="6">
        <v>36320.94</v>
      </c>
      <c r="Q47" s="2"/>
      <c r="R47" s="7">
        <f t="shared" si="33"/>
        <v>0.47068463533057681</v>
      </c>
      <c r="S47" s="2"/>
      <c r="T47" s="6">
        <v>31537.56</v>
      </c>
      <c r="U47" s="2"/>
      <c r="V47" s="7">
        <f t="shared" si="34"/>
        <v>4.8386450905109901E-2</v>
      </c>
      <c r="W47" s="2"/>
      <c r="X47" s="6">
        <f t="shared" si="35"/>
        <v>4783.380000000001</v>
      </c>
      <c r="Y47" s="2"/>
      <c r="Z47" s="7">
        <f t="shared" si="36"/>
        <v>0.15167248195485006</v>
      </c>
    </row>
    <row r="48" spans="1:26" s="26" customFormat="1" outlineLevel="1" collapsed="1" x14ac:dyDescent="0.25">
      <c r="A48" s="25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0</v>
      </c>
      <c r="I48" s="1"/>
      <c r="J48" s="5">
        <f t="shared" ref="J48:J62" si="38">IF(H$12=0,0,H48/H$12)</f>
        <v>0</v>
      </c>
      <c r="K48" s="1"/>
      <c r="L48" s="1">
        <f t="shared" ref="L48:L62" si="39">+D48-H48</f>
        <v>0</v>
      </c>
      <c r="M48" s="1"/>
      <c r="N48" s="5">
        <f t="shared" ref="N48:N62" si="40">IF(H48=0,0,L48/H48)</f>
        <v>0</v>
      </c>
      <c r="O48" s="12"/>
      <c r="P48" s="1">
        <f>SUM(OSRRefP22_6x_0)</f>
        <v>10</v>
      </c>
      <c r="Q48" s="1"/>
      <c r="R48" s="5">
        <f t="shared" ref="R48:R62" si="41">IF(P$12=0,0,P48/P$12)</f>
        <v>1.2959043332319505E-4</v>
      </c>
      <c r="S48" s="1"/>
      <c r="T48" s="1">
        <f>SUM(OSRRefT22_6x_0)</f>
        <v>146.37</v>
      </c>
      <c r="U48" s="1"/>
      <c r="V48" s="5">
        <f t="shared" ref="V48:V62" si="42">IF(T$12=0,0,T48/T$12)</f>
        <v>2.2456793800728199E-4</v>
      </c>
      <c r="W48" s="1"/>
      <c r="X48" s="1">
        <f t="shared" ref="X48:X62" si="43">+P48-T48</f>
        <v>-136.37</v>
      </c>
      <c r="Y48" s="1"/>
      <c r="Z48" s="5">
        <f t="shared" ref="Z48:Z62" si="44">IF(T48=0,0,X48/T48)</f>
        <v>-0.93167998906879823</v>
      </c>
    </row>
    <row r="49" spans="1:26" s="23" customFormat="1" hidden="1" outlineLevel="2" x14ac:dyDescent="0.25">
      <c r="A49" s="27"/>
      <c r="B49" s="10" t="str">
        <f>CONCATENATE("          ", "6277", " - ", "EMPLOYEE APPRECIATION")</f>
        <v xml:space="preserve">          6277 - EMPLOYEE APPRECIATION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>
        <v>10</v>
      </c>
      <c r="Q49" s="2"/>
      <c r="R49" s="7">
        <f t="shared" si="41"/>
        <v>1.2959043332319505E-4</v>
      </c>
      <c r="S49" s="2"/>
      <c r="T49" s="6">
        <v>146.37</v>
      </c>
      <c r="U49" s="2"/>
      <c r="V49" s="7">
        <f t="shared" si="42"/>
        <v>2.2456793800728199E-4</v>
      </c>
      <c r="W49" s="2"/>
      <c r="X49" s="6">
        <f t="shared" si="43"/>
        <v>-136.37</v>
      </c>
      <c r="Y49" s="2"/>
      <c r="Z49" s="7">
        <f t="shared" si="44"/>
        <v>-0.93167998906879823</v>
      </c>
    </row>
    <row r="50" spans="1:26" s="26" customFormat="1" outlineLevel="1" collapsed="1" x14ac:dyDescent="0.25">
      <c r="A50" s="25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288.97000000000003</v>
      </c>
      <c r="E50" s="1"/>
      <c r="F50" s="5">
        <f t="shared" si="37"/>
        <v>2.0975528670862695E-2</v>
      </c>
      <c r="G50" s="1"/>
      <c r="H50" s="1">
        <f>SUM(OSRRefH22_7x_0)</f>
        <v>36.270000000000003</v>
      </c>
      <c r="I50" s="1"/>
      <c r="J50" s="5">
        <f t="shared" si="38"/>
        <v>0</v>
      </c>
      <c r="K50" s="1"/>
      <c r="L50" s="1">
        <f t="shared" si="39"/>
        <v>252.70000000000002</v>
      </c>
      <c r="M50" s="1"/>
      <c r="N50" s="5">
        <f t="shared" si="40"/>
        <v>6.9671905155776122</v>
      </c>
      <c r="O50" s="12"/>
      <c r="P50" s="1">
        <f>SUM(OSRRefP22_7x_0)</f>
        <v>2093.46</v>
      </c>
      <c r="Q50" s="1"/>
      <c r="R50" s="5">
        <f t="shared" si="41"/>
        <v>2.7129238854477589E-2</v>
      </c>
      <c r="S50" s="1"/>
      <c r="T50" s="1">
        <f>SUM(OSRRefT22_7x_0)</f>
        <v>1046.6300000000001</v>
      </c>
      <c r="U50" s="1"/>
      <c r="V50" s="5">
        <f t="shared" si="42"/>
        <v>1.6057904007416928E-3</v>
      </c>
      <c r="W50" s="1"/>
      <c r="X50" s="1">
        <f t="shared" si="43"/>
        <v>1046.83</v>
      </c>
      <c r="Y50" s="1"/>
      <c r="Z50" s="5">
        <f t="shared" si="44"/>
        <v>1.0001910894967656</v>
      </c>
    </row>
    <row r="51" spans="1:26" s="23" customFormat="1" hidden="1" outlineLevel="2" x14ac:dyDescent="0.25">
      <c r="A51" s="27"/>
      <c r="B51" s="10" t="str">
        <f>CONCATENATE("          ", "6351", " - ", "EQUIPMENT RENTAL")</f>
        <v xml:space="preserve">          6351 - EQUIPMENT RENTAL</v>
      </c>
      <c r="C51" s="10"/>
      <c r="D51" s="6">
        <v>288.97000000000003</v>
      </c>
      <c r="E51" s="2"/>
      <c r="F51" s="7">
        <f t="shared" si="37"/>
        <v>2.0975528670862695E-2</v>
      </c>
      <c r="G51" s="2"/>
      <c r="H51" s="6">
        <v>36.270000000000003</v>
      </c>
      <c r="I51" s="2"/>
      <c r="J51" s="7">
        <f t="shared" si="38"/>
        <v>0</v>
      </c>
      <c r="K51" s="2"/>
      <c r="L51" s="6">
        <f t="shared" si="39"/>
        <v>252.70000000000002</v>
      </c>
      <c r="M51" s="2"/>
      <c r="N51" s="7">
        <f t="shared" si="40"/>
        <v>6.9671905155776122</v>
      </c>
      <c r="O51" s="10"/>
      <c r="P51" s="6">
        <v>2093.46</v>
      </c>
      <c r="Q51" s="2"/>
      <c r="R51" s="7">
        <f t="shared" si="41"/>
        <v>2.7129238854477589E-2</v>
      </c>
      <c r="S51" s="2"/>
      <c r="T51" s="6">
        <v>1046.6300000000001</v>
      </c>
      <c r="U51" s="2"/>
      <c r="V51" s="7">
        <f t="shared" si="42"/>
        <v>1.6057904007416928E-3</v>
      </c>
      <c r="W51" s="2"/>
      <c r="X51" s="6">
        <f t="shared" si="43"/>
        <v>1046.83</v>
      </c>
      <c r="Y51" s="2"/>
      <c r="Z51" s="7">
        <f t="shared" si="44"/>
        <v>1.0001910894967656</v>
      </c>
    </row>
    <row r="52" spans="1:26" s="26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2"/>
      <c r="P52" s="1">
        <f>SUM(OSRRefP22_8x_0)</f>
        <v>2498.69</v>
      </c>
      <c r="Q52" s="1"/>
      <c r="R52" s="5">
        <f t="shared" si="41"/>
        <v>3.2380631984033424E-2</v>
      </c>
      <c r="S52" s="1"/>
      <c r="T52" s="1">
        <f>SUM(OSRRefT22_8x_0)</f>
        <v>1937.01</v>
      </c>
      <c r="U52" s="1"/>
      <c r="V52" s="5">
        <f t="shared" si="42"/>
        <v>2.9718544893044016E-3</v>
      </c>
      <c r="W52" s="1"/>
      <c r="X52" s="1">
        <f t="shared" si="43"/>
        <v>561.68000000000006</v>
      </c>
      <c r="Y52" s="1"/>
      <c r="Z52" s="5">
        <f t="shared" si="44"/>
        <v>0.28997268986737296</v>
      </c>
    </row>
    <row r="53" spans="1:26" s="23" customFormat="1" hidden="1" outlineLevel="2" x14ac:dyDescent="0.25">
      <c r="A53" s="27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0"/>
      <c r="P53" s="6">
        <v>2498.69</v>
      </c>
      <c r="Q53" s="2"/>
      <c r="R53" s="7">
        <f t="shared" si="41"/>
        <v>3.2380631984033424E-2</v>
      </c>
      <c r="S53" s="2"/>
      <c r="T53" s="6">
        <v>1937.01</v>
      </c>
      <c r="U53" s="2"/>
      <c r="V53" s="7">
        <f t="shared" si="42"/>
        <v>2.9718544893044016E-3</v>
      </c>
      <c r="W53" s="2"/>
      <c r="X53" s="6">
        <f t="shared" si="43"/>
        <v>561.68000000000006</v>
      </c>
      <c r="Y53" s="2"/>
      <c r="Z53" s="7">
        <f t="shared" si="44"/>
        <v>0.28997268986737296</v>
      </c>
    </row>
    <row r="54" spans="1:26" s="26" customFormat="1" outlineLevel="1" collapsed="1" x14ac:dyDescent="0.25">
      <c r="A54" s="25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641.28</v>
      </c>
      <c r="E54" s="1"/>
      <c r="F54" s="5">
        <f t="shared" si="37"/>
        <v>4.6548731792403458E-2</v>
      </c>
      <c r="G54" s="1"/>
      <c r="H54" s="1">
        <f>SUM(OSRRefH22_9x_0)</f>
        <v>641.28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2"/>
      <c r="P54" s="1">
        <f>SUM(OSRRefP22_9x_0)</f>
        <v>7054.08</v>
      </c>
      <c r="Q54" s="1"/>
      <c r="R54" s="5">
        <f t="shared" si="41"/>
        <v>9.1414128389648366E-2</v>
      </c>
      <c r="S54" s="1"/>
      <c r="T54" s="1">
        <f>SUM(OSRRefT22_9x_0)</f>
        <v>7054.08</v>
      </c>
      <c r="U54" s="1"/>
      <c r="V54" s="5">
        <f t="shared" si="42"/>
        <v>1.0822710938979352E-2</v>
      </c>
      <c r="W54" s="1"/>
      <c r="X54" s="1">
        <f t="shared" si="43"/>
        <v>0</v>
      </c>
      <c r="Y54" s="1"/>
      <c r="Z54" s="5">
        <f t="shared" si="44"/>
        <v>0</v>
      </c>
    </row>
    <row r="55" spans="1:26" s="23" customFormat="1" hidden="1" outlineLevel="2" x14ac:dyDescent="0.25">
      <c r="A55" s="27"/>
      <c r="B55" s="10" t="str">
        <f>CONCATENATE("          ", "6314", " - ", "LIABILITY INSURANCE")</f>
        <v xml:space="preserve">          6314 - LIABILITY INSURANCE</v>
      </c>
      <c r="C55" s="10"/>
      <c r="D55" s="6">
        <v>641.28</v>
      </c>
      <c r="E55" s="2"/>
      <c r="F55" s="7">
        <f t="shared" si="37"/>
        <v>4.6548731792403458E-2</v>
      </c>
      <c r="G55" s="2"/>
      <c r="H55" s="6">
        <v>641.28</v>
      </c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0"/>
      <c r="P55" s="6">
        <v>7054.08</v>
      </c>
      <c r="Q55" s="2"/>
      <c r="R55" s="7">
        <f t="shared" si="41"/>
        <v>9.1414128389648366E-2</v>
      </c>
      <c r="S55" s="2"/>
      <c r="T55" s="6">
        <v>7054.08</v>
      </c>
      <c r="U55" s="2"/>
      <c r="V55" s="7">
        <f t="shared" si="42"/>
        <v>1.0822710938979352E-2</v>
      </c>
      <c r="W55" s="2"/>
      <c r="X55" s="6">
        <f t="shared" si="43"/>
        <v>0</v>
      </c>
      <c r="Y55" s="2"/>
      <c r="Z55" s="7">
        <f t="shared" si="44"/>
        <v>0</v>
      </c>
    </row>
    <row r="56" spans="1:26" s="26" customFormat="1" outlineLevel="1" collapsed="1" x14ac:dyDescent="0.25">
      <c r="A56" s="25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7510</v>
      </c>
      <c r="E56" s="1"/>
      <c r="F56" s="5">
        <f t="shared" si="37"/>
        <v>0.54513001459728982</v>
      </c>
      <c r="G56" s="1"/>
      <c r="H56" s="1">
        <f>SUM(OSRRefH22_10x_0)</f>
        <v>7754</v>
      </c>
      <c r="I56" s="1"/>
      <c r="J56" s="5">
        <f t="shared" si="38"/>
        <v>0</v>
      </c>
      <c r="K56" s="1"/>
      <c r="L56" s="1">
        <f t="shared" si="39"/>
        <v>-244</v>
      </c>
      <c r="M56" s="1"/>
      <c r="N56" s="5">
        <f t="shared" si="40"/>
        <v>-3.1467629610523601E-2</v>
      </c>
      <c r="O56" s="12"/>
      <c r="P56" s="1">
        <f>SUM(OSRRefP22_10x_0)</f>
        <v>80580.149999999994</v>
      </c>
      <c r="Q56" s="1"/>
      <c r="R56" s="5">
        <f t="shared" si="41"/>
        <v>1.0442416555748053</v>
      </c>
      <c r="S56" s="1"/>
      <c r="T56" s="1">
        <f>SUM(OSRRefT22_10x_0)</f>
        <v>82950.28</v>
      </c>
      <c r="U56" s="1"/>
      <c r="V56" s="5">
        <f t="shared" si="42"/>
        <v>0.12726633419913017</v>
      </c>
      <c r="W56" s="1"/>
      <c r="X56" s="1">
        <f t="shared" si="43"/>
        <v>-2370.1300000000047</v>
      </c>
      <c r="Y56" s="1"/>
      <c r="Z56" s="5">
        <f t="shared" si="44"/>
        <v>-2.8572899331985434E-2</v>
      </c>
    </row>
    <row r="57" spans="1:26" s="23" customFormat="1" hidden="1" outlineLevel="2" x14ac:dyDescent="0.25">
      <c r="A57" s="27"/>
      <c r="B57" s="10" t="str">
        <f>CONCATENATE("          ", "6401", " - ", "INTEREST EXPENSE")</f>
        <v xml:space="preserve">          6401 - INTEREST EXPENSE</v>
      </c>
      <c r="C57" s="10"/>
      <c r="D57" s="6">
        <v>7510</v>
      </c>
      <c r="E57" s="2"/>
      <c r="F57" s="7">
        <f t="shared" si="37"/>
        <v>0.54513001459728982</v>
      </c>
      <c r="G57" s="2"/>
      <c r="H57" s="6">
        <v>7754</v>
      </c>
      <c r="I57" s="2"/>
      <c r="J57" s="7">
        <f t="shared" si="38"/>
        <v>0</v>
      </c>
      <c r="K57" s="2"/>
      <c r="L57" s="6">
        <f t="shared" si="39"/>
        <v>-244</v>
      </c>
      <c r="M57" s="2"/>
      <c r="N57" s="7">
        <f t="shared" si="40"/>
        <v>-3.1467629610523601E-2</v>
      </c>
      <c r="O57" s="10"/>
      <c r="P57" s="6">
        <v>80580.149999999994</v>
      </c>
      <c r="Q57" s="2"/>
      <c r="R57" s="7">
        <f t="shared" si="41"/>
        <v>1.0442416555748053</v>
      </c>
      <c r="S57" s="2"/>
      <c r="T57" s="6">
        <v>82950.28</v>
      </c>
      <c r="U57" s="2"/>
      <c r="V57" s="7">
        <f t="shared" si="42"/>
        <v>0.12726633419913017</v>
      </c>
      <c r="W57" s="2"/>
      <c r="X57" s="6">
        <f t="shared" si="43"/>
        <v>-2370.1300000000047</v>
      </c>
      <c r="Y57" s="2"/>
      <c r="Z57" s="7">
        <f t="shared" si="44"/>
        <v>-2.8572899331985434E-2</v>
      </c>
    </row>
    <row r="58" spans="1:26" s="26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153.85</v>
      </c>
      <c r="E58" s="1"/>
      <c r="F58" s="5">
        <f t="shared" si="37"/>
        <v>1.1167543641250737E-2</v>
      </c>
      <c r="G58" s="1"/>
      <c r="H58" s="1">
        <f>SUM(OSRRefH22_11x_0)</f>
        <v>102.5</v>
      </c>
      <c r="I58" s="1"/>
      <c r="J58" s="5">
        <f t="shared" si="38"/>
        <v>0</v>
      </c>
      <c r="K58" s="1"/>
      <c r="L58" s="1">
        <f t="shared" si="39"/>
        <v>51.349999999999994</v>
      </c>
      <c r="M58" s="1"/>
      <c r="N58" s="5">
        <f t="shared" si="40"/>
        <v>0.50097560975609745</v>
      </c>
      <c r="O58" s="12"/>
      <c r="P58" s="1">
        <f>SUM(OSRRefP22_11x_0)</f>
        <v>24778.760000000002</v>
      </c>
      <c r="Q58" s="1"/>
      <c r="R58" s="5">
        <f t="shared" si="41"/>
        <v>0.32110902456114526</v>
      </c>
      <c r="S58" s="1"/>
      <c r="T58" s="1">
        <f>SUM(OSRRefT22_11x_0)</f>
        <v>24616.46</v>
      </c>
      <c r="U58" s="1"/>
      <c r="V58" s="5">
        <f t="shared" si="42"/>
        <v>3.7767764318089342E-2</v>
      </c>
      <c r="W58" s="1"/>
      <c r="X58" s="1">
        <f t="shared" si="43"/>
        <v>162.30000000000291</v>
      </c>
      <c r="Y58" s="1"/>
      <c r="Z58" s="5">
        <f t="shared" si="44"/>
        <v>6.5931494617830072E-3</v>
      </c>
    </row>
    <row r="59" spans="1:26" s="23" customFormat="1" hidden="1" outlineLevel="2" x14ac:dyDescent="0.25">
      <c r="A59" s="27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0"/>
      <c r="P59" s="6"/>
      <c r="Q59" s="2"/>
      <c r="R59" s="7">
        <f t="shared" si="41"/>
        <v>0</v>
      </c>
      <c r="S59" s="2"/>
      <c r="T59" s="6">
        <v>2623.84</v>
      </c>
      <c r="U59" s="2"/>
      <c r="V59" s="7">
        <f t="shared" si="42"/>
        <v>4.0256223164653058E-3</v>
      </c>
      <c r="W59" s="2"/>
      <c r="X59" s="6">
        <f t="shared" si="43"/>
        <v>-2623.84</v>
      </c>
      <c r="Y59" s="2"/>
      <c r="Z59" s="7">
        <f t="shared" si="44"/>
        <v>-1</v>
      </c>
    </row>
    <row r="60" spans="1:26" s="23" customFormat="1" hidden="1" outlineLevel="2" x14ac:dyDescent="0.25">
      <c r="A60" s="27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0"/>
      <c r="P60" s="6"/>
      <c r="Q60" s="2"/>
      <c r="R60" s="7">
        <f t="shared" si="41"/>
        <v>0</v>
      </c>
      <c r="S60" s="2"/>
      <c r="T60" s="6">
        <v>-0.01</v>
      </c>
      <c r="U60" s="2"/>
      <c r="V60" s="7">
        <f t="shared" si="42"/>
        <v>-1.5342483979454943E-8</v>
      </c>
      <c r="W60" s="2"/>
      <c r="X60" s="6">
        <f t="shared" si="43"/>
        <v>0.01</v>
      </c>
      <c r="Y60" s="2"/>
      <c r="Z60" s="7">
        <f t="shared" si="44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0"/>
      <c r="P61" s="6">
        <v>7467.86</v>
      </c>
      <c r="Q61" s="2"/>
      <c r="R61" s="7">
        <f t="shared" si="41"/>
        <v>9.677632133969552E-2</v>
      </c>
      <c r="S61" s="2"/>
      <c r="T61" s="6">
        <v>3877.26</v>
      </c>
      <c r="U61" s="2"/>
      <c r="V61" s="7">
        <f t="shared" si="42"/>
        <v>5.9486799434181475E-3</v>
      </c>
      <c r="W61" s="2"/>
      <c r="X61" s="6">
        <f t="shared" si="43"/>
        <v>3590.5999999999995</v>
      </c>
      <c r="Y61" s="2"/>
      <c r="Z61" s="7">
        <f t="shared" si="44"/>
        <v>0.92606634582153358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153.85</v>
      </c>
      <c r="E62" s="2"/>
      <c r="F62" s="7">
        <f t="shared" si="37"/>
        <v>1.1167543641250737E-2</v>
      </c>
      <c r="G62" s="2"/>
      <c r="H62" s="6">
        <v>102.5</v>
      </c>
      <c r="I62" s="2"/>
      <c r="J62" s="7">
        <f t="shared" si="38"/>
        <v>0</v>
      </c>
      <c r="K62" s="2"/>
      <c r="L62" s="6">
        <f t="shared" si="39"/>
        <v>51.349999999999994</v>
      </c>
      <c r="M62" s="2"/>
      <c r="N62" s="7">
        <f t="shared" si="40"/>
        <v>0.50097560975609745</v>
      </c>
      <c r="O62" s="10"/>
      <c r="P62" s="6">
        <v>17310.900000000001</v>
      </c>
      <c r="Q62" s="2"/>
      <c r="R62" s="7">
        <f t="shared" si="41"/>
        <v>0.22433270322144971</v>
      </c>
      <c r="S62" s="2"/>
      <c r="T62" s="6">
        <v>18115.37</v>
      </c>
      <c r="U62" s="2"/>
      <c r="V62" s="7">
        <f t="shared" si="42"/>
        <v>2.7793477400689867E-2</v>
      </c>
      <c r="W62" s="2"/>
      <c r="X62" s="6">
        <f t="shared" si="43"/>
        <v>-804.46999999999753</v>
      </c>
      <c r="Y62" s="2"/>
      <c r="Z62" s="7">
        <f t="shared" si="44"/>
        <v>-4.4408146231625277E-2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4146.5200000000004</v>
      </c>
      <c r="E63" s="1"/>
      <c r="F63" s="5">
        <f t="shared" ref="F63:F68" si="45">IF(D$12=0,0,D63/D$12)</f>
        <v>0.30098435527669165</v>
      </c>
      <c r="G63" s="1"/>
      <c r="H63" s="1">
        <f>SUM(OSRRefH22_12x_0)</f>
        <v>761</v>
      </c>
      <c r="I63" s="1"/>
      <c r="J63" s="5">
        <f t="shared" ref="J63:J68" si="46">IF(H$12=0,0,H63/H$12)</f>
        <v>0</v>
      </c>
      <c r="K63" s="1"/>
      <c r="L63" s="1">
        <f t="shared" ref="L63:L68" si="47">+D63-H63</f>
        <v>3385.5200000000004</v>
      </c>
      <c r="M63" s="1"/>
      <c r="N63" s="5">
        <f t="shared" ref="N63:N68" si="48">IF(H63=0,0,L63/H63)</f>
        <v>4.4487779237844949</v>
      </c>
      <c r="O63" s="12"/>
      <c r="P63" s="1">
        <f>SUM(OSRRefP22_12x_0)</f>
        <v>30791.370000000003</v>
      </c>
      <c r="Q63" s="1"/>
      <c r="R63" s="5">
        <f t="shared" ref="R63:R68" si="49">IF(P$12=0,0,P63/P$12)</f>
        <v>0.39902669809148283</v>
      </c>
      <c r="S63" s="1"/>
      <c r="T63" s="1">
        <f>SUM(OSRRefT22_12x_0)</f>
        <v>43931.07</v>
      </c>
      <c r="U63" s="1"/>
      <c r="V63" s="5">
        <f t="shared" ref="V63:V68" si="50">IF(T$12=0,0,T63/T$12)</f>
        <v>6.7401173767531367E-2</v>
      </c>
      <c r="W63" s="1"/>
      <c r="X63" s="1">
        <f t="shared" ref="X63:X68" si="51">+P63-T63</f>
        <v>-13139.699999999997</v>
      </c>
      <c r="Y63" s="1"/>
      <c r="Z63" s="5">
        <f t="shared" ref="Z63:Z68" si="52">IF(T63=0,0,X63/T63)</f>
        <v>-0.29909810983433816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0"/>
      <c r="P64" s="6">
        <v>4148.63</v>
      </c>
      <c r="Q64" s="2"/>
      <c r="R64" s="7">
        <f t="shared" si="49"/>
        <v>5.3762275939760663E-2</v>
      </c>
      <c r="S64" s="2"/>
      <c r="T64" s="6">
        <v>3285.4</v>
      </c>
      <c r="U64" s="2"/>
      <c r="V64" s="7">
        <f t="shared" si="50"/>
        <v>5.0406196866101269E-3</v>
      </c>
      <c r="W64" s="2"/>
      <c r="X64" s="6">
        <f t="shared" si="51"/>
        <v>863.23</v>
      </c>
      <c r="Y64" s="2"/>
      <c r="Z64" s="7">
        <f t="shared" si="52"/>
        <v>0.26274730626407744</v>
      </c>
    </row>
    <row r="65" spans="1:26" s="23" customFormat="1" hidden="1" outlineLevel="2" x14ac:dyDescent="0.25">
      <c r="A65" s="27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0"/>
      <c r="P65" s="6"/>
      <c r="Q65" s="2"/>
      <c r="R65" s="7">
        <f t="shared" si="49"/>
        <v>0</v>
      </c>
      <c r="S65" s="2"/>
      <c r="T65" s="6">
        <v>553.95000000000005</v>
      </c>
      <c r="U65" s="2"/>
      <c r="V65" s="7">
        <f t="shared" si="50"/>
        <v>8.4989690004190661E-4</v>
      </c>
      <c r="W65" s="2"/>
      <c r="X65" s="6">
        <f t="shared" si="51"/>
        <v>-553.95000000000005</v>
      </c>
      <c r="Y65" s="2"/>
      <c r="Z65" s="7">
        <f t="shared" si="52"/>
        <v>-1</v>
      </c>
    </row>
    <row r="66" spans="1:26" s="23" customFormat="1" hidden="1" outlineLevel="2" x14ac:dyDescent="0.25">
      <c r="A66" s="27"/>
      <c r="B66" s="10" t="str">
        <f>CONCATENATE("          ", "6284", " - ", "TRASH REMOVAL EXPENSE")</f>
        <v xml:space="preserve">          6284 - TRASH REMOVAL EXPENSE</v>
      </c>
      <c r="C66" s="10"/>
      <c r="D66" s="6">
        <v>761</v>
      </c>
      <c r="E66" s="2"/>
      <c r="F66" s="7">
        <f t="shared" si="45"/>
        <v>5.523887364960553E-2</v>
      </c>
      <c r="G66" s="2"/>
      <c r="H66" s="6">
        <v>761</v>
      </c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0"/>
      <c r="P66" s="6">
        <v>4824</v>
      </c>
      <c r="Q66" s="2"/>
      <c r="R66" s="7">
        <f t="shared" si="49"/>
        <v>6.2514425035109289E-2</v>
      </c>
      <c r="S66" s="2"/>
      <c r="T66" s="6">
        <v>8363</v>
      </c>
      <c r="U66" s="2"/>
      <c r="V66" s="7">
        <f t="shared" si="50"/>
        <v>1.2830919352018168E-2</v>
      </c>
      <c r="W66" s="2"/>
      <c r="X66" s="6">
        <f t="shared" si="51"/>
        <v>-3539</v>
      </c>
      <c r="Y66" s="2"/>
      <c r="Z66" s="7">
        <f t="shared" si="52"/>
        <v>-0.42317350233169915</v>
      </c>
    </row>
    <row r="67" spans="1:26" s="23" customFormat="1" hidden="1" outlineLevel="2" x14ac:dyDescent="0.25">
      <c r="A67" s="27"/>
      <c r="B67" s="10" t="str">
        <f>CONCATENATE("          ", "6285", " - ", "JANITORIAL SERVICES")</f>
        <v xml:space="preserve">          6285 - JANITORIAL SERVICES</v>
      </c>
      <c r="C67" s="10"/>
      <c r="D67" s="6">
        <v>3385.52</v>
      </c>
      <c r="E67" s="2"/>
      <c r="F67" s="7">
        <f t="shared" si="45"/>
        <v>0.24574548162708609</v>
      </c>
      <c r="G67" s="2"/>
      <c r="H67" s="6"/>
      <c r="I67" s="2"/>
      <c r="J67" s="7">
        <f t="shared" si="46"/>
        <v>0</v>
      </c>
      <c r="K67" s="2"/>
      <c r="L67" s="6">
        <f t="shared" si="47"/>
        <v>3385.52</v>
      </c>
      <c r="M67" s="2"/>
      <c r="N67" s="7">
        <f t="shared" si="48"/>
        <v>0</v>
      </c>
      <c r="O67" s="10"/>
      <c r="P67" s="6">
        <v>21234.61</v>
      </c>
      <c r="Q67" s="2"/>
      <c r="R67" s="7">
        <f t="shared" si="49"/>
        <v>0.27518023113490508</v>
      </c>
      <c r="S67" s="2"/>
      <c r="T67" s="6">
        <v>29782.3</v>
      </c>
      <c r="U67" s="2"/>
      <c r="V67" s="7">
        <f t="shared" si="50"/>
        <v>4.569344606213209E-2</v>
      </c>
      <c r="W67" s="2"/>
      <c r="X67" s="6">
        <f t="shared" si="51"/>
        <v>-8547.6899999999987</v>
      </c>
      <c r="Y67" s="2"/>
      <c r="Z67" s="7">
        <f t="shared" si="52"/>
        <v>-0.28700570473066211</v>
      </c>
    </row>
    <row r="68" spans="1:26" s="23" customFormat="1" hidden="1" outlineLevel="2" x14ac:dyDescent="0.25">
      <c r="A68" s="27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0"/>
      <c r="P68" s="6">
        <v>584.13</v>
      </c>
      <c r="Q68" s="2"/>
      <c r="R68" s="7">
        <f t="shared" si="49"/>
        <v>7.5697659817077914E-3</v>
      </c>
      <c r="S68" s="2"/>
      <c r="T68" s="6">
        <v>1946.42</v>
      </c>
      <c r="U68" s="2"/>
      <c r="V68" s="7">
        <f t="shared" si="50"/>
        <v>2.986291766729069E-3</v>
      </c>
      <c r="W68" s="2"/>
      <c r="X68" s="6">
        <f t="shared" si="51"/>
        <v>-1362.29</v>
      </c>
      <c r="Y68" s="2"/>
      <c r="Z68" s="7">
        <f t="shared" si="52"/>
        <v>-0.69989519219901153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SUM(OSRRefD22_13x_0)</f>
        <v>132.16999999999999</v>
      </c>
      <c r="E69" s="1"/>
      <c r="F69" s="5">
        <f t="shared" ref="F69:F71" si="53">IF(D$12=0,0,D69/D$12)</f>
        <v>9.593852733598373E-3</v>
      </c>
      <c r="G69" s="1"/>
      <c r="H69" s="1">
        <f>SUM(OSRRefH22_13x_0)</f>
        <v>0</v>
      </c>
      <c r="I69" s="1"/>
      <c r="J69" s="5">
        <f t="shared" ref="J69:J71" si="54">IF(H$12=0,0,H69/H$12)</f>
        <v>0</v>
      </c>
      <c r="K69" s="1"/>
      <c r="L69" s="1">
        <f t="shared" ref="L69:L71" si="55">+D69-H69</f>
        <v>132.16999999999999</v>
      </c>
      <c r="M69" s="1"/>
      <c r="N69" s="5">
        <f t="shared" ref="N69:N71" si="56">IF(H69=0,0,L69/H69)</f>
        <v>0</v>
      </c>
      <c r="O69" s="12"/>
      <c r="P69" s="1">
        <f>SUM(OSRRefP22_13x_0)</f>
        <v>929.18</v>
      </c>
      <c r="Q69" s="1"/>
      <c r="R69" s="5">
        <f t="shared" ref="R69:R71" si="57">IF(P$12=0,0,P69/P$12)</f>
        <v>1.2041283883524635E-2</v>
      </c>
      <c r="S69" s="1"/>
      <c r="T69" s="1">
        <f>SUM(OSRRefT22_13x_0)</f>
        <v>2638.42</v>
      </c>
      <c r="U69" s="1"/>
      <c r="V69" s="5">
        <f t="shared" ref="V69:V71" si="58">IF(T$12=0,0,T69/T$12)</f>
        <v>4.0479916581073506E-3</v>
      </c>
      <c r="W69" s="1"/>
      <c r="X69" s="1">
        <f t="shared" ref="X69:X71" si="59">+P69-T69</f>
        <v>-1709.2400000000002</v>
      </c>
      <c r="Y69" s="1"/>
      <c r="Z69" s="5">
        <f t="shared" ref="Z69:Z71" si="60">IF(T69=0,0,X69/T69)</f>
        <v>-0.6478271086483578</v>
      </c>
    </row>
    <row r="70" spans="1:26" s="23" customFormat="1" hidden="1" outlineLevel="2" x14ac:dyDescent="0.25">
      <c r="A70" s="27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0"/>
      <c r="P70" s="6"/>
      <c r="Q70" s="2"/>
      <c r="R70" s="7">
        <f t="shared" si="57"/>
        <v>0</v>
      </c>
      <c r="S70" s="2"/>
      <c r="T70" s="6">
        <v>978</v>
      </c>
      <c r="U70" s="2"/>
      <c r="V70" s="7">
        <f t="shared" si="58"/>
        <v>1.5004949331906933E-3</v>
      </c>
      <c r="W70" s="2"/>
      <c r="X70" s="6">
        <f t="shared" si="59"/>
        <v>-978</v>
      </c>
      <c r="Y70" s="2"/>
      <c r="Z70" s="7">
        <f t="shared" si="60"/>
        <v>-1</v>
      </c>
    </row>
    <row r="71" spans="1:26" s="23" customFormat="1" hidden="1" outlineLevel="2" x14ac:dyDescent="0.25">
      <c r="A71" s="27"/>
      <c r="B71" s="10" t="str">
        <f>CONCATENATE("          ", "6275", " - ", "SUBSCRIPTIONS")</f>
        <v xml:space="preserve">          6275 - SUBSCRIPTIONS</v>
      </c>
      <c r="C71" s="10"/>
      <c r="D71" s="6">
        <v>132.16999999999999</v>
      </c>
      <c r="E71" s="2"/>
      <c r="F71" s="7">
        <f t="shared" si="53"/>
        <v>9.593852733598373E-3</v>
      </c>
      <c r="G71" s="2"/>
      <c r="H71" s="6"/>
      <c r="I71" s="2"/>
      <c r="J71" s="7">
        <f t="shared" si="54"/>
        <v>0</v>
      </c>
      <c r="K71" s="2"/>
      <c r="L71" s="6">
        <f t="shared" si="55"/>
        <v>132.16999999999999</v>
      </c>
      <c r="M71" s="2"/>
      <c r="N71" s="7">
        <f t="shared" si="56"/>
        <v>0</v>
      </c>
      <c r="O71" s="10"/>
      <c r="P71" s="6">
        <v>929.18</v>
      </c>
      <c r="Q71" s="2"/>
      <c r="R71" s="7">
        <f t="shared" si="57"/>
        <v>1.2041283883524635E-2</v>
      </c>
      <c r="S71" s="2"/>
      <c r="T71" s="6">
        <v>1660.42</v>
      </c>
      <c r="U71" s="2"/>
      <c r="V71" s="7">
        <f t="shared" si="58"/>
        <v>2.5474967249166577E-3</v>
      </c>
      <c r="W71" s="2"/>
      <c r="X71" s="6">
        <f t="shared" si="59"/>
        <v>-731.24000000000012</v>
      </c>
      <c r="Y71" s="2"/>
      <c r="Z71" s="7">
        <f t="shared" si="60"/>
        <v>-0.44039459895689048</v>
      </c>
    </row>
    <row r="72" spans="1:26" s="26" customFormat="1" outlineLevel="1" collapsed="1" x14ac:dyDescent="0.25">
      <c r="A72" s="25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SUM(OSRRefD22_14x_0)</f>
        <v>2.21</v>
      </c>
      <c r="E72" s="1"/>
      <c r="F72" s="5">
        <f t="shared" ref="F72:F81" si="61">IF(D$12=0,0,D72/D$12)</f>
        <v>1.6041775396271777E-4</v>
      </c>
      <c r="G72" s="1"/>
      <c r="H72" s="1">
        <f>SUM(OSRRefH22_14x_0)</f>
        <v>0</v>
      </c>
      <c r="I72" s="1"/>
      <c r="J72" s="5">
        <f t="shared" ref="J72:J81" si="62">IF(H$12=0,0,H72/H$12)</f>
        <v>0</v>
      </c>
      <c r="K72" s="1"/>
      <c r="L72" s="1">
        <f t="shared" ref="L72:L81" si="63">+D72-H72</f>
        <v>2.21</v>
      </c>
      <c r="M72" s="1"/>
      <c r="N72" s="5">
        <f t="shared" ref="N72:N81" si="64">IF(H72=0,0,L72/H72)</f>
        <v>0</v>
      </c>
      <c r="O72" s="12"/>
      <c r="P72" s="1">
        <f>SUM(OSRRefP22_14x_0)</f>
        <v>8375.23</v>
      </c>
      <c r="Q72" s="1"/>
      <c r="R72" s="5">
        <f t="shared" ref="R72:R81" si="65">IF(P$12=0,0,P72/P$12)</f>
        <v>0.10853496848814227</v>
      </c>
      <c r="S72" s="1"/>
      <c r="T72" s="1">
        <f>SUM(OSRRefT22_14x_0)</f>
        <v>21774.560000000001</v>
      </c>
      <c r="U72" s="1"/>
      <c r="V72" s="5">
        <f t="shared" ref="V72:V81" si="66">IF(T$12=0,0,T72/T$12)</f>
        <v>3.3407583795968046E-2</v>
      </c>
      <c r="W72" s="1"/>
      <c r="X72" s="1">
        <f t="shared" ref="X72:X81" si="67">+P72-T72</f>
        <v>-13399.330000000002</v>
      </c>
      <c r="Y72" s="1"/>
      <c r="Z72" s="5">
        <f t="shared" ref="Z72:Z81" si="68">IF(T72=0,0,X72/T72)</f>
        <v>-0.61536628065044718</v>
      </c>
    </row>
    <row r="73" spans="1:26" s="23" customFormat="1" hidden="1" outlineLevel="2" x14ac:dyDescent="0.25">
      <c r="A73" s="27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0"/>
      <c r="P73" s="6">
        <v>337.16</v>
      </c>
      <c r="Q73" s="2"/>
      <c r="R73" s="7">
        <f t="shared" si="65"/>
        <v>4.3692710499248439E-3</v>
      </c>
      <c r="S73" s="2"/>
      <c r="T73" s="6">
        <v>1090.83</v>
      </c>
      <c r="U73" s="2"/>
      <c r="V73" s="7">
        <f t="shared" si="66"/>
        <v>1.6736041799308833E-3</v>
      </c>
      <c r="W73" s="2"/>
      <c r="X73" s="6">
        <f t="shared" si="67"/>
        <v>-753.66999999999985</v>
      </c>
      <c r="Y73" s="2"/>
      <c r="Z73" s="7">
        <f t="shared" si="68"/>
        <v>-0.69091425795036798</v>
      </c>
    </row>
    <row r="74" spans="1:26" s="23" customFormat="1" hidden="1" outlineLevel="2" x14ac:dyDescent="0.25">
      <c r="A74" s="27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0"/>
      <c r="P74" s="6">
        <v>6819.42</v>
      </c>
      <c r="Q74" s="2"/>
      <c r="R74" s="7">
        <f t="shared" si="65"/>
        <v>8.8373159281286265E-2</v>
      </c>
      <c r="S74" s="2"/>
      <c r="T74" s="6"/>
      <c r="U74" s="2"/>
      <c r="V74" s="7">
        <f t="shared" si="66"/>
        <v>0</v>
      </c>
      <c r="W74" s="2"/>
      <c r="X74" s="6">
        <f t="shared" si="67"/>
        <v>6819.42</v>
      </c>
      <c r="Y74" s="2"/>
      <c r="Z74" s="7">
        <f t="shared" si="68"/>
        <v>0</v>
      </c>
    </row>
    <row r="75" spans="1:26" s="23" customFormat="1" hidden="1" outlineLevel="2" x14ac:dyDescent="0.25">
      <c r="A75" s="27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0"/>
      <c r="P75" s="6">
        <v>286.91000000000003</v>
      </c>
      <c r="Q75" s="2"/>
      <c r="R75" s="7">
        <f t="shared" si="65"/>
        <v>3.7180791224757891E-3</v>
      </c>
      <c r="S75" s="2"/>
      <c r="T75" s="6">
        <v>8948.91</v>
      </c>
      <c r="U75" s="2"/>
      <c r="V75" s="7">
        <f t="shared" si="66"/>
        <v>1.3729850830858413E-2</v>
      </c>
      <c r="W75" s="2"/>
      <c r="X75" s="6">
        <f t="shared" si="67"/>
        <v>-8662</v>
      </c>
      <c r="Y75" s="2"/>
      <c r="Z75" s="7">
        <f t="shared" si="68"/>
        <v>-0.96793911213767936</v>
      </c>
    </row>
    <row r="76" spans="1:26" s="23" customFormat="1" hidden="1" outlineLevel="2" x14ac:dyDescent="0.25">
      <c r="A76" s="27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61"/>
        <v>0</v>
      </c>
      <c r="G76" s="2"/>
      <c r="H76" s="6"/>
      <c r="I76" s="2"/>
      <c r="J76" s="7">
        <f t="shared" si="62"/>
        <v>0</v>
      </c>
      <c r="K76" s="2"/>
      <c r="L76" s="6">
        <f t="shared" si="63"/>
        <v>0</v>
      </c>
      <c r="M76" s="2"/>
      <c r="N76" s="7">
        <f t="shared" si="64"/>
        <v>0</v>
      </c>
      <c r="O76" s="10"/>
      <c r="P76" s="6">
        <v>19.829999999999998</v>
      </c>
      <c r="Q76" s="2"/>
      <c r="R76" s="7">
        <f t="shared" si="65"/>
        <v>2.5697782927989576E-4</v>
      </c>
      <c r="S76" s="2"/>
      <c r="T76" s="6">
        <v>425.78</v>
      </c>
      <c r="U76" s="2"/>
      <c r="V76" s="7">
        <f t="shared" si="66"/>
        <v>6.5325228287723249E-4</v>
      </c>
      <c r="W76" s="2"/>
      <c r="X76" s="6">
        <f t="shared" si="67"/>
        <v>-405.95</v>
      </c>
      <c r="Y76" s="2"/>
      <c r="Z76" s="7">
        <f t="shared" si="68"/>
        <v>-0.9534266522617314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>
        <v>2.21</v>
      </c>
      <c r="E77" s="2"/>
      <c r="F77" s="7">
        <f t="shared" si="61"/>
        <v>1.6041775396271777E-4</v>
      </c>
      <c r="G77" s="2"/>
      <c r="H77" s="6"/>
      <c r="I77" s="2"/>
      <c r="J77" s="7">
        <f t="shared" si="62"/>
        <v>0</v>
      </c>
      <c r="K77" s="2"/>
      <c r="L77" s="6">
        <f t="shared" si="63"/>
        <v>2.21</v>
      </c>
      <c r="M77" s="2"/>
      <c r="N77" s="7">
        <f t="shared" si="64"/>
        <v>0</v>
      </c>
      <c r="O77" s="10"/>
      <c r="P77" s="6">
        <v>656.58</v>
      </c>
      <c r="Q77" s="2"/>
      <c r="R77" s="7">
        <f t="shared" si="65"/>
        <v>8.5086486711343397E-3</v>
      </c>
      <c r="S77" s="2"/>
      <c r="T77" s="6">
        <v>5703.34</v>
      </c>
      <c r="U77" s="2"/>
      <c r="V77" s="7">
        <f t="shared" si="66"/>
        <v>8.7503402579384559E-3</v>
      </c>
      <c r="W77" s="2"/>
      <c r="X77" s="6">
        <f t="shared" si="67"/>
        <v>-5046.76</v>
      </c>
      <c r="Y77" s="2"/>
      <c r="Z77" s="7">
        <f t="shared" si="68"/>
        <v>-0.88487798377792659</v>
      </c>
    </row>
    <row r="78" spans="1:26" s="23" customFormat="1" hidden="1" outlineLevel="2" x14ac:dyDescent="0.25">
      <c r="A78" s="27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0"/>
      <c r="P78" s="6">
        <v>255.33</v>
      </c>
      <c r="Q78" s="2"/>
      <c r="R78" s="7">
        <f t="shared" si="65"/>
        <v>3.3088325340411393E-3</v>
      </c>
      <c r="S78" s="2"/>
      <c r="T78" s="6">
        <v>5123.8</v>
      </c>
      <c r="U78" s="2"/>
      <c r="V78" s="7">
        <f t="shared" si="66"/>
        <v>7.8611819413931232E-3</v>
      </c>
      <c r="W78" s="2"/>
      <c r="X78" s="6">
        <f t="shared" si="67"/>
        <v>-4868.47</v>
      </c>
      <c r="Y78" s="2"/>
      <c r="Z78" s="7">
        <f t="shared" si="68"/>
        <v>-0.95016784417814903</v>
      </c>
    </row>
    <row r="79" spans="1:26" s="23" customFormat="1" hidden="1" outlineLevel="2" x14ac:dyDescent="0.25">
      <c r="A79" s="27"/>
      <c r="B79" s="10" t="str">
        <f>CONCATENATE("          ", "6246", " - ", "REPLACEMENTS")</f>
        <v xml:space="preserve">          6246 - REPLACEMENTS</v>
      </c>
      <c r="C79" s="10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0"/>
      <c r="P79" s="6"/>
      <c r="Q79" s="2"/>
      <c r="R79" s="7">
        <f t="shared" si="65"/>
        <v>0</v>
      </c>
      <c r="S79" s="2"/>
      <c r="T79" s="6">
        <v>25.87</v>
      </c>
      <c r="U79" s="2"/>
      <c r="V79" s="7">
        <f t="shared" si="66"/>
        <v>3.9691006054849937E-5</v>
      </c>
      <c r="W79" s="2"/>
      <c r="X79" s="6">
        <f t="shared" si="67"/>
        <v>-25.87</v>
      </c>
      <c r="Y79" s="2"/>
      <c r="Z79" s="7">
        <f t="shared" si="68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0"/>
      <c r="P80" s="6"/>
      <c r="Q80" s="2"/>
      <c r="R80" s="7">
        <f t="shared" si="65"/>
        <v>0</v>
      </c>
      <c r="S80" s="2"/>
      <c r="T80" s="6">
        <v>440.56</v>
      </c>
      <c r="U80" s="2"/>
      <c r="V80" s="7">
        <f t="shared" si="66"/>
        <v>6.7592847419886692E-4</v>
      </c>
      <c r="W80" s="2"/>
      <c r="X80" s="6">
        <f t="shared" si="67"/>
        <v>-440.56</v>
      </c>
      <c r="Y80" s="2"/>
      <c r="Z80" s="7">
        <f t="shared" si="68"/>
        <v>-1</v>
      </c>
    </row>
    <row r="81" spans="1:26" s="23" customFormat="1" hidden="1" outlineLevel="2" x14ac:dyDescent="0.25">
      <c r="A81" s="27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0"/>
      <c r="P81" s="6"/>
      <c r="Q81" s="2"/>
      <c r="R81" s="7">
        <f t="shared" si="65"/>
        <v>0</v>
      </c>
      <c r="S81" s="2"/>
      <c r="T81" s="6">
        <v>15.47</v>
      </c>
      <c r="U81" s="2"/>
      <c r="V81" s="7">
        <f t="shared" si="66"/>
        <v>2.3734822716216798E-5</v>
      </c>
      <c r="W81" s="2"/>
      <c r="X81" s="6">
        <f t="shared" si="67"/>
        <v>-15.47</v>
      </c>
      <c r="Y81" s="2"/>
      <c r="Z81" s="7">
        <f t="shared" si="68"/>
        <v>-1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SUM(OSRRefD22_15x_0)</f>
        <v>157</v>
      </c>
      <c r="E82" s="1"/>
      <c r="F82" s="5">
        <f t="shared" ref="F82:F87" si="69">IF(D$12=0,0,D82/D$12)</f>
        <v>1.1396193381061851E-2</v>
      </c>
      <c r="G82" s="1"/>
      <c r="H82" s="1">
        <f>SUM(OSRRefH22_15x_0)</f>
        <v>132.6</v>
      </c>
      <c r="I82" s="1"/>
      <c r="J82" s="5">
        <f t="shared" ref="J82:J87" si="70">IF(H$12=0,0,H82/H$12)</f>
        <v>0</v>
      </c>
      <c r="K82" s="1"/>
      <c r="L82" s="1">
        <f t="shared" ref="L82:L87" si="71">+D82-H82</f>
        <v>24.400000000000006</v>
      </c>
      <c r="M82" s="1"/>
      <c r="N82" s="5">
        <f t="shared" ref="N82:N87" si="72">IF(H82=0,0,L82/H82)</f>
        <v>0.18401206636500758</v>
      </c>
      <c r="O82" s="12"/>
      <c r="P82" s="1">
        <f>SUM(OSRRefP22_15x_0)</f>
        <v>2080</v>
      </c>
      <c r="Q82" s="1"/>
      <c r="R82" s="5">
        <f t="shared" ref="R82:R87" si="73">IF(P$12=0,0,P82/P$12)</f>
        <v>2.6954810131224569E-2</v>
      </c>
      <c r="S82" s="1"/>
      <c r="T82" s="1">
        <f>SUM(OSRRefT22_15x_0)</f>
        <v>1588.64</v>
      </c>
      <c r="U82" s="1"/>
      <c r="V82" s="5">
        <f t="shared" ref="V82:V87" si="74">IF(T$12=0,0,T82/T$12)</f>
        <v>2.4373683749121301E-3</v>
      </c>
      <c r="W82" s="1"/>
      <c r="X82" s="1">
        <f t="shared" ref="X82:X87" si="75">+P82-T82</f>
        <v>491.3599999999999</v>
      </c>
      <c r="Y82" s="1"/>
      <c r="Z82" s="5">
        <f t="shared" ref="Z82:Z87" si="76">IF(T82=0,0,X82/T82)</f>
        <v>0.30929600161144116</v>
      </c>
    </row>
    <row r="83" spans="1:26" s="23" customFormat="1" hidden="1" outlineLevel="2" x14ac:dyDescent="0.25">
      <c r="A83" s="27"/>
      <c r="B83" s="10" t="str">
        <f>CONCATENATE("          ", "6309", " - ", "TELEPHONE")</f>
        <v xml:space="preserve">          6309 - TELEPHONE</v>
      </c>
      <c r="C83" s="10"/>
      <c r="D83" s="6">
        <v>157</v>
      </c>
      <c r="E83" s="2"/>
      <c r="F83" s="7">
        <f t="shared" si="69"/>
        <v>1.1396193381061851E-2</v>
      </c>
      <c r="G83" s="2"/>
      <c r="H83" s="6">
        <v>132.6</v>
      </c>
      <c r="I83" s="2"/>
      <c r="J83" s="7">
        <f t="shared" si="70"/>
        <v>0</v>
      </c>
      <c r="K83" s="2"/>
      <c r="L83" s="6">
        <f t="shared" si="71"/>
        <v>24.400000000000006</v>
      </c>
      <c r="M83" s="2"/>
      <c r="N83" s="7">
        <f t="shared" si="72"/>
        <v>0.18401206636500758</v>
      </c>
      <c r="O83" s="10"/>
      <c r="P83" s="6">
        <v>2080</v>
      </c>
      <c r="Q83" s="2"/>
      <c r="R83" s="7">
        <f t="shared" si="73"/>
        <v>2.6954810131224569E-2</v>
      </c>
      <c r="S83" s="2"/>
      <c r="T83" s="6">
        <v>1588.64</v>
      </c>
      <c r="U83" s="2"/>
      <c r="V83" s="7">
        <f t="shared" si="74"/>
        <v>2.4373683749121301E-3</v>
      </c>
      <c r="W83" s="2"/>
      <c r="X83" s="6">
        <f t="shared" si="75"/>
        <v>491.3599999999999</v>
      </c>
      <c r="Y83" s="2"/>
      <c r="Z83" s="7">
        <f t="shared" si="76"/>
        <v>0.30929600161144116</v>
      </c>
    </row>
    <row r="84" spans="1:26" s="26" customFormat="1" outlineLevel="1" collapsed="1" x14ac:dyDescent="0.25">
      <c r="A84" s="25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SUM(OSRRefD22_16x_0)</f>
        <v>0</v>
      </c>
      <c r="E84" s="1"/>
      <c r="F84" s="5">
        <f t="shared" si="69"/>
        <v>0</v>
      </c>
      <c r="G84" s="1"/>
      <c r="H84" s="1">
        <f>SUM(OSRRefH22_16x_0)</f>
        <v>0</v>
      </c>
      <c r="I84" s="1"/>
      <c r="J84" s="5">
        <f t="shared" si="70"/>
        <v>0</v>
      </c>
      <c r="K84" s="1"/>
      <c r="L84" s="1">
        <f t="shared" si="71"/>
        <v>0</v>
      </c>
      <c r="M84" s="1"/>
      <c r="N84" s="5">
        <f t="shared" si="72"/>
        <v>0</v>
      </c>
      <c r="O84" s="12"/>
      <c r="P84" s="1">
        <f>SUM(OSRRefP22_16x_0)</f>
        <v>400</v>
      </c>
      <c r="Q84" s="1"/>
      <c r="R84" s="5">
        <f t="shared" si="73"/>
        <v>5.1836173329278014E-3</v>
      </c>
      <c r="S84" s="1"/>
      <c r="T84" s="1">
        <f>SUM(OSRRefT22_16x_0)</f>
        <v>185</v>
      </c>
      <c r="U84" s="1"/>
      <c r="V84" s="5">
        <f t="shared" si="74"/>
        <v>2.8383595361991645E-4</v>
      </c>
      <c r="W84" s="1"/>
      <c r="X84" s="1">
        <f t="shared" si="75"/>
        <v>215</v>
      </c>
      <c r="Y84" s="1"/>
      <c r="Z84" s="5">
        <f t="shared" si="76"/>
        <v>1.1621621621621621</v>
      </c>
    </row>
    <row r="85" spans="1:26" s="23" customFormat="1" hidden="1" outlineLevel="2" x14ac:dyDescent="0.25">
      <c r="A85" s="27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69"/>
        <v>0</v>
      </c>
      <c r="G85" s="2"/>
      <c r="H85" s="6"/>
      <c r="I85" s="2"/>
      <c r="J85" s="7">
        <f t="shared" si="70"/>
        <v>0</v>
      </c>
      <c r="K85" s="2"/>
      <c r="L85" s="6">
        <f t="shared" si="71"/>
        <v>0</v>
      </c>
      <c r="M85" s="2"/>
      <c r="N85" s="7">
        <f t="shared" si="72"/>
        <v>0</v>
      </c>
      <c r="O85" s="10"/>
      <c r="P85" s="6">
        <v>400</v>
      </c>
      <c r="Q85" s="2"/>
      <c r="R85" s="7">
        <f t="shared" si="73"/>
        <v>5.1836173329278014E-3</v>
      </c>
      <c r="S85" s="2"/>
      <c r="T85" s="6">
        <v>185</v>
      </c>
      <c r="U85" s="2"/>
      <c r="V85" s="7">
        <f t="shared" si="74"/>
        <v>2.8383595361991645E-4</v>
      </c>
      <c r="W85" s="2"/>
      <c r="X85" s="6">
        <f t="shared" si="75"/>
        <v>215</v>
      </c>
      <c r="Y85" s="2"/>
      <c r="Z85" s="7">
        <f t="shared" si="76"/>
        <v>1.1621621621621621</v>
      </c>
    </row>
    <row r="86" spans="1:26" s="26" customFormat="1" outlineLevel="1" collapsed="1" x14ac:dyDescent="0.25">
      <c r="A86" s="25"/>
      <c r="B86" s="12" t="str">
        <f>CONCATENATE("     ","Utilities                                         ")</f>
        <v xml:space="preserve">     Utilities                                         </v>
      </c>
      <c r="C86" s="12"/>
      <c r="D86" s="1">
        <f>SUM(OSRRefD22_17x_0)</f>
        <v>2300</v>
      </c>
      <c r="E86" s="1"/>
      <c r="F86" s="5">
        <f t="shared" si="69"/>
        <v>0.16695060367160672</v>
      </c>
      <c r="G86" s="1"/>
      <c r="H86" s="1">
        <f>SUM(OSRRefH22_17x_0)</f>
        <v>2312</v>
      </c>
      <c r="I86" s="1"/>
      <c r="J86" s="5">
        <f t="shared" si="70"/>
        <v>0</v>
      </c>
      <c r="K86" s="1"/>
      <c r="L86" s="1">
        <f t="shared" si="71"/>
        <v>-12</v>
      </c>
      <c r="M86" s="1"/>
      <c r="N86" s="5">
        <f t="shared" si="72"/>
        <v>-5.1903114186851208E-3</v>
      </c>
      <c r="O86" s="12"/>
      <c r="P86" s="1">
        <f>SUM(OSRRefP22_17x_0)</f>
        <v>12925</v>
      </c>
      <c r="Q86" s="1"/>
      <c r="R86" s="5">
        <f t="shared" si="73"/>
        <v>0.16749563507022958</v>
      </c>
      <c r="S86" s="1"/>
      <c r="T86" s="1">
        <f>SUM(OSRRefT22_17x_0)</f>
        <v>24772</v>
      </c>
      <c r="U86" s="1"/>
      <c r="V86" s="5">
        <f t="shared" si="74"/>
        <v>3.8006401313905785E-2</v>
      </c>
      <c r="W86" s="1"/>
      <c r="X86" s="1">
        <f t="shared" si="75"/>
        <v>-11847</v>
      </c>
      <c r="Y86" s="1"/>
      <c r="Z86" s="5">
        <f t="shared" si="76"/>
        <v>-0.47824156305506216</v>
      </c>
    </row>
    <row r="87" spans="1:26" s="23" customFormat="1" hidden="1" outlineLevel="2" x14ac:dyDescent="0.25">
      <c r="A87" s="27"/>
      <c r="B87" s="10" t="str">
        <f>CONCATENATE("          ", "6274", " - ", "UTILITIES")</f>
        <v xml:space="preserve">          6274 - UTILITIES</v>
      </c>
      <c r="C87" s="10"/>
      <c r="D87" s="6">
        <v>2300</v>
      </c>
      <c r="E87" s="2"/>
      <c r="F87" s="7">
        <f t="shared" si="69"/>
        <v>0.16695060367160672</v>
      </c>
      <c r="G87" s="2"/>
      <c r="H87" s="6">
        <v>2312</v>
      </c>
      <c r="I87" s="2"/>
      <c r="J87" s="7">
        <f t="shared" si="70"/>
        <v>0</v>
      </c>
      <c r="K87" s="2"/>
      <c r="L87" s="6">
        <f t="shared" si="71"/>
        <v>-12</v>
      </c>
      <c r="M87" s="2"/>
      <c r="N87" s="7">
        <f t="shared" si="72"/>
        <v>-5.1903114186851208E-3</v>
      </c>
      <c r="O87" s="10"/>
      <c r="P87" s="6">
        <v>12925</v>
      </c>
      <c r="Q87" s="2"/>
      <c r="R87" s="7">
        <f t="shared" si="73"/>
        <v>0.16749563507022958</v>
      </c>
      <c r="S87" s="2"/>
      <c r="T87" s="6">
        <v>24772</v>
      </c>
      <c r="U87" s="2"/>
      <c r="V87" s="7">
        <f t="shared" si="74"/>
        <v>3.8006401313905785E-2</v>
      </c>
      <c r="W87" s="2"/>
      <c r="X87" s="6">
        <f t="shared" si="75"/>
        <v>-11847</v>
      </c>
      <c r="Y87" s="2"/>
      <c r="Z87" s="7">
        <f t="shared" si="76"/>
        <v>-0.47824156305506216</v>
      </c>
    </row>
    <row r="88" spans="1:26" s="57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collapsed="1" x14ac:dyDescent="0.25">
      <c r="A89" s="11"/>
      <c r="B89" s="29" t="s">
        <v>292</v>
      </c>
      <c r="C89" s="11"/>
      <c r="D89" s="4">
        <f>SUM(OSRRefD25x_0)</f>
        <v>0</v>
      </c>
      <c r="E89" s="4"/>
      <c r="F89" s="13">
        <f t="shared" ref="F89:F90" si="77">IF(D$12=0,0,D89/D$12)</f>
        <v>0</v>
      </c>
      <c r="G89" s="4"/>
      <c r="H89" s="4">
        <f>SUM(OSRRefH25x_0)</f>
        <v>0</v>
      </c>
      <c r="I89" s="4"/>
      <c r="J89" s="13">
        <f t="shared" ref="J89:J90" si="78">IF(H$12=0,0,H89/H$12)</f>
        <v>0</v>
      </c>
      <c r="K89" s="4"/>
      <c r="L89" s="4">
        <f t="shared" ref="L89:L90" si="79">+D89-H89</f>
        <v>0</v>
      </c>
      <c r="M89" s="4"/>
      <c r="N89" s="13">
        <f t="shared" ref="N89:N90" si="80">IF(H89=0,0,L89/H89)</f>
        <v>0</v>
      </c>
      <c r="O89" s="11"/>
      <c r="P89" s="4">
        <f>SUM(OSRRefP25x_0)</f>
        <v>0</v>
      </c>
      <c r="Q89" s="4"/>
      <c r="R89" s="13">
        <f t="shared" ref="R89:R90" si="81">IF(P$12=0,0,P89/P$12)</f>
        <v>0</v>
      </c>
      <c r="S89" s="4"/>
      <c r="T89" s="4">
        <f>SUM(OSRRefT25x_0)</f>
        <v>68.760000000000005</v>
      </c>
      <c r="U89" s="4"/>
      <c r="V89" s="13">
        <f t="shared" ref="V89:V90" si="82">IF(T$12=0,0,T89/T$12)</f>
        <v>1.0549491984273219E-4</v>
      </c>
      <c r="W89" s="4"/>
      <c r="X89" s="4">
        <f t="shared" ref="X89:X90" si="83">+P89-T89</f>
        <v>-68.760000000000005</v>
      </c>
      <c r="Y89" s="4"/>
      <c r="Z89" s="13">
        <f t="shared" ref="Z89:Z90" si="84">IF(T89=0,0,X89/T89)</f>
        <v>-1</v>
      </c>
    </row>
    <row r="90" spans="1:26" s="23" customFormat="1" hidden="1" outlineLevel="1" x14ac:dyDescent="0.25">
      <c r="A90" s="44"/>
      <c r="B90" s="10" t="str">
        <f>CONCATENATE("          ", "9150", " - ", "MISC. INCOME")</f>
        <v xml:space="preserve">          9150 - MISC. INCOME</v>
      </c>
      <c r="C90" s="10"/>
      <c r="D90" s="2">
        <f>0</f>
        <v>0</v>
      </c>
      <c r="E90" s="2"/>
      <c r="F90" s="19">
        <f t="shared" si="77"/>
        <v>0</v>
      </c>
      <c r="G90" s="2"/>
      <c r="H90" s="2">
        <f>0</f>
        <v>0</v>
      </c>
      <c r="I90" s="2"/>
      <c r="J90" s="19">
        <f t="shared" si="78"/>
        <v>0</v>
      </c>
      <c r="K90" s="2"/>
      <c r="L90" s="2">
        <f t="shared" si="79"/>
        <v>0</v>
      </c>
      <c r="M90" s="2"/>
      <c r="N90" s="19">
        <f t="shared" si="80"/>
        <v>0</v>
      </c>
      <c r="O90" s="10"/>
      <c r="P90" s="2">
        <f>0</f>
        <v>0</v>
      </c>
      <c r="Q90" s="2"/>
      <c r="R90" s="19">
        <f t="shared" si="81"/>
        <v>0</v>
      </c>
      <c r="S90" s="2"/>
      <c r="T90" s="2">
        <f>--68.76</f>
        <v>68.760000000000005</v>
      </c>
      <c r="U90" s="2"/>
      <c r="V90" s="19">
        <f t="shared" si="82"/>
        <v>1.0549491984273219E-4</v>
      </c>
      <c r="W90" s="2"/>
      <c r="X90" s="2">
        <f t="shared" si="83"/>
        <v>-68.760000000000005</v>
      </c>
      <c r="Y90" s="2"/>
      <c r="Z90" s="19">
        <f t="shared" si="84"/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11"/>
      <c r="B92" s="28" t="s">
        <v>276</v>
      </c>
      <c r="C92" s="28"/>
      <c r="D92" s="20">
        <f>+D20-D22+D89</f>
        <v>-52023.619999999988</v>
      </c>
      <c r="E92" s="14"/>
      <c r="F92" s="21">
        <f>IF(D$12=0,0,D92/D$12)</f>
        <v>-3.7762498974705525</v>
      </c>
      <c r="G92" s="14"/>
      <c r="H92" s="20">
        <f>+H20-H22+H89</f>
        <v>-33822.86</v>
      </c>
      <c r="I92" s="14"/>
      <c r="J92" s="21">
        <f>IF(H$12=0,0,H92/H$12)</f>
        <v>0</v>
      </c>
      <c r="K92" s="15"/>
      <c r="L92" s="20">
        <f>+D92-H92</f>
        <v>-18200.759999999987</v>
      </c>
      <c r="M92" s="15"/>
      <c r="N92" s="21">
        <f>IF(H92=0,0,L92/H92)</f>
        <v>0.53812007618515956</v>
      </c>
      <c r="O92" s="29"/>
      <c r="P92" s="20">
        <f>+P20-P22+P89</f>
        <v>-621308.87000000011</v>
      </c>
      <c r="Q92" s="14"/>
      <c r="R92" s="21">
        <f>IF(P$12=0,0,P92/P$12)</f>
        <v>-8.0515685690844663</v>
      </c>
      <c r="S92" s="14"/>
      <c r="T92" s="20">
        <f>+T20-T22+T89</f>
        <v>-274454.81000000017</v>
      </c>
      <c r="U92" s="14"/>
      <c r="V92" s="21">
        <f>IF(T$12=0,0,T92/T$12)</f>
        <v>-0.42108185255093528</v>
      </c>
      <c r="W92" s="15"/>
      <c r="X92" s="20">
        <f>+P92-T92</f>
        <v>-346854.05999999994</v>
      </c>
      <c r="Y92" s="15"/>
      <c r="Z92" s="21">
        <f>IF(T92=0,0,X92/T92)</f>
        <v>1.2637929719650376</v>
      </c>
    </row>
    <row r="93" spans="1:26" x14ac:dyDescent="0.25">
      <c r="A93" s="9"/>
      <c r="B93" s="11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51"/>
      <c r="B94" s="11" t="s">
        <v>127</v>
      </c>
      <c r="C94" s="11"/>
      <c r="D94" s="4">
        <v>3228.31</v>
      </c>
      <c r="E94" s="4"/>
      <c r="F94" s="13">
        <f>IF(D$12=0,0,D94/D$12)</f>
        <v>0.23433404493003682</v>
      </c>
      <c r="G94" s="4"/>
      <c r="H94" s="4">
        <v>3179.24</v>
      </c>
      <c r="I94" s="4"/>
      <c r="J94" s="13">
        <f>IF(H$12=0,0,H94/H$12)</f>
        <v>0</v>
      </c>
      <c r="K94" s="4"/>
      <c r="L94" s="4">
        <f>+D94-H94</f>
        <v>49.070000000000164</v>
      </c>
      <c r="M94" s="4"/>
      <c r="N94" s="13">
        <f>IF(H94=0,0,L94/H94)</f>
        <v>1.5434506360010621E-2</v>
      </c>
      <c r="O94" s="11"/>
      <c r="P94" s="4">
        <v>16489.68</v>
      </c>
      <c r="Q94" s="4"/>
      <c r="R94" s="13">
        <f>IF(P$12=0,0,P94/P$12)</f>
        <v>0.21369047765608229</v>
      </c>
      <c r="S94" s="4"/>
      <c r="T94" s="4">
        <v>77184.75</v>
      </c>
      <c r="U94" s="4"/>
      <c r="V94" s="13">
        <f>IF(T$12=0,0,T94/T$12)</f>
        <v>0.11842057903332348</v>
      </c>
      <c r="W94" s="4"/>
      <c r="X94" s="4">
        <f>+P94-T94</f>
        <v>-60695.07</v>
      </c>
      <c r="Y94" s="4"/>
      <c r="Z94" s="13">
        <f>IF(T94=0,0,X94/T94)</f>
        <v>-0.78636090678534298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8" t="s">
        <v>125</v>
      </c>
      <c r="C96" s="28"/>
      <c r="D96" s="35">
        <f>+D92-D94</f>
        <v>-55251.929999999986</v>
      </c>
      <c r="E96" s="14"/>
      <c r="F96" s="36">
        <f>IF(D$12=0,0,D96/D$12)</f>
        <v>-4.0105839424005891</v>
      </c>
      <c r="G96" s="14"/>
      <c r="H96" s="35">
        <f>+H92-H94</f>
        <v>-37002.1</v>
      </c>
      <c r="I96" s="14"/>
      <c r="J96" s="36">
        <f>IF(H$12=0,0,H96/H$12)</f>
        <v>0</v>
      </c>
      <c r="K96" s="15"/>
      <c r="L96" s="35">
        <f>D96-H96</f>
        <v>-18249.829999999987</v>
      </c>
      <c r="M96" s="15"/>
      <c r="N96" s="36">
        <f>IF(H96=0,0,L96/H96)</f>
        <v>0.49321065561143795</v>
      </c>
      <c r="O96" s="29"/>
      <c r="P96" s="35">
        <f>+P92-P94</f>
        <v>-637798.55000000016</v>
      </c>
      <c r="Q96" s="14"/>
      <c r="R96" s="36">
        <f>IF(P$12=0,0,P96/P$12)</f>
        <v>-8.2652590467405496</v>
      </c>
      <c r="S96" s="14"/>
      <c r="T96" s="35">
        <f>+T92-T94</f>
        <v>-351639.56000000017</v>
      </c>
      <c r="U96" s="14"/>
      <c r="V96" s="36">
        <f>IF(T$12=0,0,T96/T$12)</f>
        <v>-0.53950243158425881</v>
      </c>
      <c r="W96" s="15"/>
      <c r="X96" s="35">
        <f>P96-T96</f>
        <v>-286158.99</v>
      </c>
      <c r="Y96" s="15"/>
      <c r="Z96" s="36">
        <f>IF(T96=0,0,X96/T96)</f>
        <v>0.8137849734540672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8" t="s">
        <v>293</v>
      </c>
      <c r="C99" s="28"/>
      <c r="D99" s="30">
        <f>SUM(D96:D98)</f>
        <v>-55251.929999999986</v>
      </c>
      <c r="E99" s="14"/>
      <c r="F99" s="31">
        <f>IF(D$12=0,0,D99/D$12)</f>
        <v>-4.0105839424005891</v>
      </c>
      <c r="G99" s="14"/>
      <c r="H99" s="30">
        <f>SUM(H96:H98)</f>
        <v>-37002.1</v>
      </c>
      <c r="I99" s="14"/>
      <c r="J99" s="31">
        <f>IF(H$12=0,0,H99/H$12)</f>
        <v>0</v>
      </c>
      <c r="K99" s="15"/>
      <c r="L99" s="30">
        <f>+D99-H99</f>
        <v>-18249.829999999987</v>
      </c>
      <c r="M99" s="15"/>
      <c r="N99" s="31">
        <f>IF(H99=0,0,L99/H99)</f>
        <v>0.49321065561143795</v>
      </c>
      <c r="O99" s="29"/>
      <c r="P99" s="30">
        <f>SUM(P96:P98)</f>
        <v>-637798.55000000016</v>
      </c>
      <c r="Q99" s="14"/>
      <c r="R99" s="31">
        <f>IF(P$12=0,0,P99/P$12)</f>
        <v>-8.2652590467405496</v>
      </c>
      <c r="S99" s="14"/>
      <c r="T99" s="30">
        <f>SUM(T96:T98)</f>
        <v>-351639.56000000017</v>
      </c>
      <c r="U99" s="14"/>
      <c r="V99" s="31">
        <f>IF(T$12=0,0,T99/T$12)</f>
        <v>-0.53950243158425881</v>
      </c>
      <c r="W99" s="15"/>
      <c r="X99" s="30">
        <f>+P99-T99</f>
        <v>-286158.99</v>
      </c>
      <c r="Y99" s="15"/>
      <c r="Z99" s="31">
        <f>IF(T99=0,0,X99/T99)</f>
        <v>0.8137849734540672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>
        <v>44356.893348032405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2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4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","418", " - ", "Nugget")</f>
        <v>Department 418 - Nugget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1068795.77</v>
      </c>
      <c r="U12" s="4"/>
      <c r="V12" s="13"/>
      <c r="W12" s="4"/>
      <c r="X12" s="4">
        <f t="shared" ref="X12:X14" si="2">+P12-T12</f>
        <v>-1068795.77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--381406.04</f>
        <v>381406.04</v>
      </c>
      <c r="U13" s="2"/>
      <c r="V13" s="19"/>
      <c r="W13" s="2"/>
      <c r="X13" s="2">
        <f t="shared" si="2"/>
        <v>-381406.04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"4155", " - ", "NON-TAXABLE SALES-FOOD")</f>
        <v xml:space="preserve">          4155 -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--687389.73</f>
        <v>687389.73</v>
      </c>
      <c r="U14" s="2"/>
      <c r="V14" s="19"/>
      <c r="W14" s="2"/>
      <c r="X14" s="2">
        <f t="shared" si="2"/>
        <v>-687389.73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-301.68</v>
      </c>
      <c r="Q16" s="4"/>
      <c r="R16" s="13">
        <f t="shared" ref="R16:R18" si="11">IF(P$12=0,0,P16/P$12)</f>
        <v>0</v>
      </c>
      <c r="S16" s="4"/>
      <c r="T16" s="4">
        <f>SUM(OSRRefT16x_0)</f>
        <v>362175.07</v>
      </c>
      <c r="U16" s="4"/>
      <c r="V16" s="13">
        <f t="shared" ref="V16:V18" si="12">IF(T$12=0,0,T16/T$12)</f>
        <v>0.33886274643470943</v>
      </c>
      <c r="W16" s="4"/>
      <c r="X16" s="4">
        <f t="shared" ref="X16:X18" si="13">+P16-T16</f>
        <v>-362476.75</v>
      </c>
      <c r="Y16" s="4"/>
      <c r="Z16" s="13">
        <f t="shared" ref="Z16:Z18" si="14">IF(T16=0,0,X16/T16)</f>
        <v>-1.0008329673270995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>
        <v>-301.68</v>
      </c>
      <c r="Q17" s="2"/>
      <c r="R17" s="19">
        <f t="shared" si="11"/>
        <v>0</v>
      </c>
      <c r="S17" s="2"/>
      <c r="T17" s="2">
        <v>360936.4</v>
      </c>
      <c r="U17" s="2"/>
      <c r="V17" s="19">
        <f t="shared" si="12"/>
        <v>0.3377038065934711</v>
      </c>
      <c r="W17" s="2"/>
      <c r="X17" s="2">
        <f t="shared" si="13"/>
        <v>-361238.08</v>
      </c>
      <c r="Y17" s="2"/>
      <c r="Z17" s="19">
        <f t="shared" si="14"/>
        <v>-1.0008358259239023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1238.67</v>
      </c>
      <c r="U18" s="2"/>
      <c r="V18" s="19">
        <f t="shared" si="12"/>
        <v>1.1589398412383313E-3</v>
      </c>
      <c r="W18" s="2"/>
      <c r="X18" s="2">
        <f t="shared" si="13"/>
        <v>-1238.67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301.68</v>
      </c>
      <c r="Q20" s="14"/>
      <c r="R20" s="21">
        <f>IF(P$12=0,0,P20/P$12)</f>
        <v>0</v>
      </c>
      <c r="S20" s="14"/>
      <c r="T20" s="20">
        <f>T12-T16</f>
        <v>706620.7</v>
      </c>
      <c r="U20" s="14"/>
      <c r="V20" s="21">
        <f>IF(T$12=0,0,T20/T$12)</f>
        <v>0.66113725356529052</v>
      </c>
      <c r="W20" s="15"/>
      <c r="X20" s="20">
        <f>+P20-T20</f>
        <v>-706319.0199999999</v>
      </c>
      <c r="Y20" s="15"/>
      <c r="Z20" s="21">
        <f>IF(T20=0,0,X20/T20)</f>
        <v>-0.99957306656881117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6925.17</v>
      </c>
      <c r="E22" s="22"/>
      <c r="F22" s="32">
        <f t="shared" ref="F22:F31" si="15">IF(D$12=0,0,D22/D$12)</f>
        <v>0</v>
      </c>
      <c r="G22" s="22"/>
      <c r="H22" s="22">
        <f>SUM(OSRRefH22x_0)</f>
        <v>18226.7</v>
      </c>
      <c r="I22" s="22"/>
      <c r="J22" s="32">
        <f t="shared" ref="J22:J31" si="16">IF(H$12=0,0,H22/H$12)</f>
        <v>0</v>
      </c>
      <c r="K22" s="4"/>
      <c r="L22" s="22">
        <f t="shared" ref="L22:L31" si="17">+D22-H22</f>
        <v>-11301.53</v>
      </c>
      <c r="M22" s="4"/>
      <c r="N22" s="32">
        <f t="shared" ref="N22:N31" si="18">IF(H22=0,0,L22/H22)</f>
        <v>-0.62005354781721322</v>
      </c>
      <c r="O22" s="11"/>
      <c r="P22" s="22">
        <f>SUM(OSRRefP22x_0)</f>
        <v>88071.360000000001</v>
      </c>
      <c r="Q22" s="22"/>
      <c r="R22" s="32">
        <f t="shared" ref="R22:R31" si="19">IF(P$12=0,0,P22/P$12)</f>
        <v>0</v>
      </c>
      <c r="S22" s="22"/>
      <c r="T22" s="22">
        <f>SUM(OSRRefT22x_0)</f>
        <v>594622.28999999992</v>
      </c>
      <c r="U22" s="22"/>
      <c r="V22" s="32">
        <f t="shared" ref="V22:V31" si="20">IF(T$12=0,0,T22/T$12)</f>
        <v>0.55634790732751493</v>
      </c>
      <c r="W22" s="4"/>
      <c r="X22" s="22">
        <f t="shared" ref="X22:X31" si="21">+P22-T22</f>
        <v>-506550.92999999993</v>
      </c>
      <c r="Y22" s="4"/>
      <c r="Z22" s="32">
        <f t="shared" ref="Z22:Z31" si="22">IF(T22=0,0,X22/T22)</f>
        <v>-0.85188688436149951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6645.01</v>
      </c>
      <c r="I23" s="1"/>
      <c r="J23" s="5">
        <f t="shared" si="16"/>
        <v>0</v>
      </c>
      <c r="K23" s="1"/>
      <c r="L23" s="1">
        <f t="shared" si="17"/>
        <v>-6645.01</v>
      </c>
      <c r="M23" s="1"/>
      <c r="N23" s="5">
        <f t="shared" si="18"/>
        <v>-1</v>
      </c>
      <c r="O23" s="12"/>
      <c r="P23" s="1">
        <f>SUM(OSRRefP22_0x_0)</f>
        <v>6086.32</v>
      </c>
      <c r="Q23" s="1"/>
      <c r="R23" s="5">
        <f t="shared" si="19"/>
        <v>0</v>
      </c>
      <c r="S23" s="1"/>
      <c r="T23" s="1">
        <f>SUM(OSRRefT22_0x_0)</f>
        <v>86776.140000000014</v>
      </c>
      <c r="U23" s="1"/>
      <c r="V23" s="5">
        <f t="shared" si="20"/>
        <v>8.1190572077207993E-2</v>
      </c>
      <c r="W23" s="1"/>
      <c r="X23" s="1">
        <f t="shared" si="21"/>
        <v>-80689.820000000007</v>
      </c>
      <c r="Y23" s="1"/>
      <c r="Z23" s="5">
        <f t="shared" si="22"/>
        <v>-0.9298618260733883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470.3</v>
      </c>
      <c r="I24" s="2"/>
      <c r="J24" s="7">
        <f t="shared" si="16"/>
        <v>0</v>
      </c>
      <c r="K24" s="2"/>
      <c r="L24" s="6">
        <f t="shared" si="17"/>
        <v>-470.3</v>
      </c>
      <c r="M24" s="2"/>
      <c r="N24" s="7">
        <f t="shared" si="18"/>
        <v>-1</v>
      </c>
      <c r="O24" s="10"/>
      <c r="P24" s="6">
        <v>237.51</v>
      </c>
      <c r="Q24" s="2"/>
      <c r="R24" s="7">
        <f t="shared" si="19"/>
        <v>0</v>
      </c>
      <c r="S24" s="2"/>
      <c r="T24" s="6">
        <v>18533.169999999998</v>
      </c>
      <c r="U24" s="2"/>
      <c r="V24" s="7">
        <f t="shared" si="20"/>
        <v>1.7340235169531031E-2</v>
      </c>
      <c r="W24" s="2"/>
      <c r="X24" s="6">
        <f t="shared" si="21"/>
        <v>-18295.66</v>
      </c>
      <c r="Y24" s="2"/>
      <c r="Z24" s="7">
        <f t="shared" si="22"/>
        <v>-0.98718459928873481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20.9</v>
      </c>
      <c r="I25" s="2"/>
      <c r="J25" s="7">
        <f t="shared" si="16"/>
        <v>0</v>
      </c>
      <c r="K25" s="2"/>
      <c r="L25" s="6">
        <f t="shared" si="17"/>
        <v>-20.9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10577.82</v>
      </c>
      <c r="U25" s="2"/>
      <c r="V25" s="7">
        <f t="shared" si="20"/>
        <v>9.8969515944098471E-3</v>
      </c>
      <c r="W25" s="2"/>
      <c r="X25" s="6">
        <f t="shared" si="21"/>
        <v>-10577.82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4780.67</v>
      </c>
      <c r="I26" s="2"/>
      <c r="J26" s="7">
        <f t="shared" si="16"/>
        <v>0</v>
      </c>
      <c r="K26" s="2"/>
      <c r="L26" s="6">
        <f t="shared" si="17"/>
        <v>-4780.67</v>
      </c>
      <c r="M26" s="2"/>
      <c r="N26" s="7">
        <f t="shared" si="18"/>
        <v>-1</v>
      </c>
      <c r="O26" s="10"/>
      <c r="P26" s="6">
        <v>4780.67</v>
      </c>
      <c r="Q26" s="2"/>
      <c r="R26" s="7">
        <f t="shared" si="19"/>
        <v>0</v>
      </c>
      <c r="S26" s="2"/>
      <c r="T26" s="6">
        <v>44806.3</v>
      </c>
      <c r="U26" s="2"/>
      <c r="V26" s="7">
        <f t="shared" si="20"/>
        <v>4.1922228041752073E-2</v>
      </c>
      <c r="W26" s="2"/>
      <c r="X26" s="6">
        <f t="shared" si="21"/>
        <v>-40025.630000000005</v>
      </c>
      <c r="Y26" s="2"/>
      <c r="Z26" s="7">
        <f t="shared" si="22"/>
        <v>-0.89330362024983101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15.98</v>
      </c>
      <c r="I27" s="2"/>
      <c r="J27" s="7">
        <f t="shared" si="16"/>
        <v>0</v>
      </c>
      <c r="K27" s="2"/>
      <c r="L27" s="6">
        <f t="shared" si="17"/>
        <v>-15.98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860.67</v>
      </c>
      <c r="U27" s="2"/>
      <c r="V27" s="7">
        <f t="shared" si="20"/>
        <v>8.0527077684822796E-4</v>
      </c>
      <c r="W27" s="2"/>
      <c r="X27" s="6">
        <f t="shared" si="21"/>
        <v>-860.67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314.18</v>
      </c>
      <c r="I28" s="2"/>
      <c r="J28" s="7">
        <f t="shared" si="16"/>
        <v>0</v>
      </c>
      <c r="K28" s="2"/>
      <c r="L28" s="6">
        <f t="shared" si="17"/>
        <v>-314.18</v>
      </c>
      <c r="M28" s="2"/>
      <c r="N28" s="7">
        <f t="shared" si="18"/>
        <v>-1</v>
      </c>
      <c r="O28" s="10"/>
      <c r="P28" s="6">
        <v>678.15</v>
      </c>
      <c r="Q28" s="2"/>
      <c r="R28" s="7">
        <f t="shared" si="19"/>
        <v>0</v>
      </c>
      <c r="S28" s="2"/>
      <c r="T28" s="6">
        <v>5667.89</v>
      </c>
      <c r="U28" s="2"/>
      <c r="V28" s="7">
        <f t="shared" si="20"/>
        <v>5.3030617813915942E-3</v>
      </c>
      <c r="W28" s="2"/>
      <c r="X28" s="6">
        <f t="shared" si="21"/>
        <v>-4989.7400000000007</v>
      </c>
      <c r="Y28" s="2"/>
      <c r="Z28" s="7">
        <f t="shared" si="22"/>
        <v>-0.88035230041514578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496.42</v>
      </c>
      <c r="I29" s="2"/>
      <c r="J29" s="7">
        <f t="shared" si="16"/>
        <v>0</v>
      </c>
      <c r="K29" s="2"/>
      <c r="L29" s="6">
        <f t="shared" si="17"/>
        <v>-496.42</v>
      </c>
      <c r="M29" s="2"/>
      <c r="N29" s="7">
        <f t="shared" si="18"/>
        <v>-1</v>
      </c>
      <c r="O29" s="10"/>
      <c r="P29" s="6">
        <v>248.21</v>
      </c>
      <c r="Q29" s="2"/>
      <c r="R29" s="7">
        <f t="shared" si="19"/>
        <v>0</v>
      </c>
      <c r="S29" s="2"/>
      <c r="T29" s="6">
        <v>6022.31</v>
      </c>
      <c r="U29" s="2"/>
      <c r="V29" s="7">
        <f t="shared" si="20"/>
        <v>5.6346686327173618E-3</v>
      </c>
      <c r="W29" s="2"/>
      <c r="X29" s="6">
        <f t="shared" si="21"/>
        <v>-5774.1</v>
      </c>
      <c r="Y29" s="2"/>
      <c r="Z29" s="7">
        <f t="shared" si="22"/>
        <v>-0.95878491807960731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283.56</v>
      </c>
      <c r="I30" s="2"/>
      <c r="J30" s="7">
        <f t="shared" si="16"/>
        <v>0</v>
      </c>
      <c r="K30" s="2"/>
      <c r="L30" s="6">
        <f t="shared" si="17"/>
        <v>-283.56</v>
      </c>
      <c r="M30" s="2"/>
      <c r="N30" s="7">
        <f t="shared" si="18"/>
        <v>-1</v>
      </c>
      <c r="O30" s="10"/>
      <c r="P30" s="6">
        <v>141.78</v>
      </c>
      <c r="Q30" s="2"/>
      <c r="R30" s="7">
        <f t="shared" si="19"/>
        <v>0</v>
      </c>
      <c r="S30" s="2"/>
      <c r="T30" s="6">
        <v>-4012.79</v>
      </c>
      <c r="U30" s="2"/>
      <c r="V30" s="7">
        <f t="shared" si="20"/>
        <v>-3.7544965208834986E-3</v>
      </c>
      <c r="W30" s="2"/>
      <c r="X30" s="6">
        <f t="shared" si="21"/>
        <v>4154.57</v>
      </c>
      <c r="Y30" s="2"/>
      <c r="Z30" s="7">
        <f t="shared" si="22"/>
        <v>-1.0353320258473531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263</v>
      </c>
      <c r="I31" s="2"/>
      <c r="J31" s="7">
        <f t="shared" si="16"/>
        <v>0</v>
      </c>
      <c r="K31" s="2"/>
      <c r="L31" s="6">
        <f t="shared" si="17"/>
        <v>-263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4320.7700000000004</v>
      </c>
      <c r="U31" s="2"/>
      <c r="V31" s="7">
        <f t="shared" si="20"/>
        <v>4.0426526014413402E-3</v>
      </c>
      <c r="W31" s="2"/>
      <c r="X31" s="6">
        <f t="shared" si="21"/>
        <v>-4320.7700000000004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4034.42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-4034.42</v>
      </c>
      <c r="M32" s="1"/>
      <c r="N32" s="5">
        <f t="shared" ref="N32:N38" si="26">IF(H32=0,0,L32/H32)</f>
        <v>-1</v>
      </c>
      <c r="O32" s="12"/>
      <c r="P32" s="1">
        <f>SUM(OSRRefP22_1x_0)</f>
        <v>2151.69</v>
      </c>
      <c r="Q32" s="1"/>
      <c r="R32" s="5">
        <f t="shared" ref="R32:R38" si="27">IF(P$12=0,0,P32/P$12)</f>
        <v>0</v>
      </c>
      <c r="S32" s="1"/>
      <c r="T32" s="1">
        <f>SUM(OSRRefT22_1x_0)</f>
        <v>316688.39</v>
      </c>
      <c r="U32" s="1"/>
      <c r="V32" s="5">
        <f t="shared" ref="V32:V38" si="28">IF(T$12=0,0,T32/T$12)</f>
        <v>0.29630393278970407</v>
      </c>
      <c r="W32" s="1"/>
      <c r="X32" s="1">
        <f t="shared" ref="X32:X38" si="29">+P32-T32</f>
        <v>-314536.7</v>
      </c>
      <c r="Y32" s="1"/>
      <c r="Z32" s="5">
        <f t="shared" ref="Z32:Z38" si="30">IF(T32=0,0,X32/T32)</f>
        <v>-0.99320565556571239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4034.42</v>
      </c>
      <c r="I33" s="2"/>
      <c r="J33" s="7">
        <f t="shared" si="24"/>
        <v>0</v>
      </c>
      <c r="K33" s="2"/>
      <c r="L33" s="6">
        <f t="shared" si="25"/>
        <v>-4034.42</v>
      </c>
      <c r="M33" s="2"/>
      <c r="N33" s="7">
        <f t="shared" si="26"/>
        <v>-1</v>
      </c>
      <c r="O33" s="10"/>
      <c r="P33" s="6">
        <v>2151.69</v>
      </c>
      <c r="Q33" s="2"/>
      <c r="R33" s="7">
        <f t="shared" si="27"/>
        <v>0</v>
      </c>
      <c r="S33" s="2"/>
      <c r="T33" s="6">
        <v>84332.42</v>
      </c>
      <c r="U33" s="2"/>
      <c r="V33" s="7">
        <f t="shared" si="28"/>
        <v>7.8904148357548234E-2</v>
      </c>
      <c r="W33" s="2"/>
      <c r="X33" s="6">
        <f t="shared" si="29"/>
        <v>-82180.73</v>
      </c>
      <c r="Y33" s="2"/>
      <c r="Z33" s="7">
        <f t="shared" si="30"/>
        <v>-0.97448561300624359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38197.160000000003</v>
      </c>
      <c r="U34" s="2"/>
      <c r="V34" s="7">
        <f t="shared" si="28"/>
        <v>3.5738502221055762E-2</v>
      </c>
      <c r="W34" s="2"/>
      <c r="X34" s="6">
        <f t="shared" si="29"/>
        <v>-38197.160000000003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91629.97</v>
      </c>
      <c r="U35" s="2"/>
      <c r="V35" s="7">
        <f t="shared" si="28"/>
        <v>8.5731972910034995E-2</v>
      </c>
      <c r="W35" s="2"/>
      <c r="X35" s="6">
        <f t="shared" si="29"/>
        <v>-91629.97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7215.01</v>
      </c>
      <c r="U36" s="2"/>
      <c r="V36" s="7">
        <f t="shared" si="28"/>
        <v>6.7505974504371404E-3</v>
      </c>
      <c r="W36" s="2"/>
      <c r="X36" s="6">
        <f t="shared" si="29"/>
        <v>-7215.01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93483.83</v>
      </c>
      <c r="U37" s="2"/>
      <c r="V37" s="7">
        <f t="shared" si="28"/>
        <v>8.7466504475405993E-2</v>
      </c>
      <c r="W37" s="2"/>
      <c r="X37" s="6">
        <f t="shared" si="29"/>
        <v>-93483.83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1830</v>
      </c>
      <c r="U38" s="2"/>
      <c r="V38" s="7">
        <f t="shared" si="28"/>
        <v>1.7122073752219285E-3</v>
      </c>
      <c r="W38" s="2"/>
      <c r="X38" s="6">
        <f t="shared" si="29"/>
        <v>-1830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31">IF(D$12=0,0,D39/D$12)</f>
        <v>0</v>
      </c>
      <c r="G39" s="1"/>
      <c r="H39" s="1">
        <f>SUM(OSRRefH22_2x_0)</f>
        <v>0</v>
      </c>
      <c r="I39" s="1"/>
      <c r="J39" s="5">
        <f t="shared" ref="J39:J47" si="32">IF(H$12=0,0,H39/H$12)</f>
        <v>0</v>
      </c>
      <c r="K39" s="1"/>
      <c r="L39" s="1">
        <f t="shared" ref="L39:L47" si="33">+D39-H39</f>
        <v>0</v>
      </c>
      <c r="M39" s="1"/>
      <c r="N39" s="5">
        <f t="shared" ref="N39:N47" si="34">IF(H39=0,0,L39/H39)</f>
        <v>0</v>
      </c>
      <c r="O39" s="12"/>
      <c r="P39" s="1">
        <f>SUM(OSRRefP22_2x_0)</f>
        <v>0</v>
      </c>
      <c r="Q39" s="1"/>
      <c r="R39" s="5">
        <f t="shared" ref="R39:R47" si="35">IF(P$12=0,0,P39/P$12)</f>
        <v>0</v>
      </c>
      <c r="S39" s="1"/>
      <c r="T39" s="1">
        <f>SUM(OSRRefT22_2x_0)</f>
        <v>4363.6499999999996</v>
      </c>
      <c r="U39" s="1"/>
      <c r="V39" s="5">
        <f t="shared" ref="V39:V47" si="36">IF(T$12=0,0,T39/T$12)</f>
        <v>4.0827725207033703E-3</v>
      </c>
      <c r="W39" s="1"/>
      <c r="X39" s="1">
        <f t="shared" ref="X39:X47" si="37">+P39-T39</f>
        <v>-4363.6499999999996</v>
      </c>
      <c r="Y39" s="1"/>
      <c r="Z39" s="5">
        <f t="shared" ref="Z39:Z47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4363.6499999999996</v>
      </c>
      <c r="U40" s="2"/>
      <c r="V40" s="7">
        <f t="shared" si="36"/>
        <v>4.0827725207033703E-3</v>
      </c>
      <c r="W40" s="2"/>
      <c r="X40" s="6">
        <f t="shared" si="37"/>
        <v>-4363.6499999999996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-326.89</v>
      </c>
      <c r="U41" s="1"/>
      <c r="V41" s="5">
        <f t="shared" si="36"/>
        <v>-3.0584889010180119E-4</v>
      </c>
      <c r="W41" s="1"/>
      <c r="X41" s="1">
        <f t="shared" si="37"/>
        <v>326.89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-326.89</v>
      </c>
      <c r="U42" s="2"/>
      <c r="V42" s="7">
        <f t="shared" si="36"/>
        <v>-3.0584889010180119E-4</v>
      </c>
      <c r="W42" s="2"/>
      <c r="X42" s="6">
        <f t="shared" si="37"/>
        <v>326.89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42823.43</v>
      </c>
      <c r="U43" s="1"/>
      <c r="V43" s="5">
        <f t="shared" si="36"/>
        <v>4.0066990534590161E-2</v>
      </c>
      <c r="W43" s="1"/>
      <c r="X43" s="1">
        <f t="shared" si="37"/>
        <v>-42823.43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42823.43</v>
      </c>
      <c r="U44" s="2"/>
      <c r="V44" s="7">
        <f t="shared" si="36"/>
        <v>4.0066990534590161E-2</v>
      </c>
      <c r="W44" s="2"/>
      <c r="X44" s="6">
        <f t="shared" si="37"/>
        <v>-42823.43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6745.17</v>
      </c>
      <c r="E45" s="1"/>
      <c r="F45" s="5">
        <f t="shared" si="31"/>
        <v>0</v>
      </c>
      <c r="G45" s="1"/>
      <c r="H45" s="1">
        <f>SUM(OSRRefH22_5x_0)</f>
        <v>7177.55</v>
      </c>
      <c r="I45" s="1"/>
      <c r="J45" s="5">
        <f t="shared" si="32"/>
        <v>0</v>
      </c>
      <c r="K45" s="1"/>
      <c r="L45" s="1">
        <f t="shared" si="33"/>
        <v>-432.38000000000011</v>
      </c>
      <c r="M45" s="1"/>
      <c r="N45" s="5">
        <f t="shared" si="34"/>
        <v>-6.0240611350669812E-2</v>
      </c>
      <c r="O45" s="12"/>
      <c r="P45" s="1">
        <f>SUM(OSRRefP22_5x_0)</f>
        <v>75494.02</v>
      </c>
      <c r="Q45" s="1"/>
      <c r="R45" s="5">
        <f t="shared" si="35"/>
        <v>0</v>
      </c>
      <c r="S45" s="1"/>
      <c r="T45" s="1">
        <f>SUM(OSRRefT22_5x_0)</f>
        <v>88934.450000000012</v>
      </c>
      <c r="U45" s="1"/>
      <c r="V45" s="5">
        <f t="shared" si="36"/>
        <v>8.320995694060429E-2</v>
      </c>
      <c r="W45" s="1"/>
      <c r="X45" s="1">
        <f t="shared" si="37"/>
        <v>-13440.430000000008</v>
      </c>
      <c r="Y45" s="1"/>
      <c r="Z45" s="5">
        <f t="shared" si="38"/>
        <v>-0.15112737527471082</v>
      </c>
    </row>
    <row r="46" spans="1:26" s="23" customFormat="1" hidden="1" outlineLevel="2" x14ac:dyDescent="0.25">
      <c r="A46" s="27"/>
      <c r="B46" s="10" t="str">
        <f>CONCATENATE("          ", "6321", " - ", "BUILDING DEPRECIATION")</f>
        <v xml:space="preserve">          6321 - BUILDING DEPRECIATION</v>
      </c>
      <c r="C46" s="10"/>
      <c r="D46" s="6">
        <v>6537.05</v>
      </c>
      <c r="E46" s="2"/>
      <c r="F46" s="7">
        <f t="shared" si="31"/>
        <v>0</v>
      </c>
      <c r="G46" s="2"/>
      <c r="H46" s="6">
        <v>6537.05</v>
      </c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>
        <v>71907.55</v>
      </c>
      <c r="Q46" s="2"/>
      <c r="R46" s="7">
        <f t="shared" si="35"/>
        <v>0</v>
      </c>
      <c r="S46" s="2"/>
      <c r="T46" s="6">
        <v>71907.55</v>
      </c>
      <c r="U46" s="2"/>
      <c r="V46" s="7">
        <f t="shared" si="36"/>
        <v>6.7279036854721086E-2</v>
      </c>
      <c r="W46" s="2"/>
      <c r="X46" s="6">
        <f t="shared" si="37"/>
        <v>0</v>
      </c>
      <c r="Y46" s="2"/>
      <c r="Z46" s="7">
        <f t="shared" si="38"/>
        <v>0</v>
      </c>
    </row>
    <row r="47" spans="1:26" s="23" customFormat="1" hidden="1" outlineLevel="2" x14ac:dyDescent="0.25">
      <c r="A47" s="27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208.12</v>
      </c>
      <c r="E47" s="2"/>
      <c r="F47" s="7">
        <f t="shared" si="31"/>
        <v>0</v>
      </c>
      <c r="G47" s="2"/>
      <c r="H47" s="6">
        <v>640.5</v>
      </c>
      <c r="I47" s="2"/>
      <c r="J47" s="7">
        <f t="shared" si="32"/>
        <v>0</v>
      </c>
      <c r="K47" s="2"/>
      <c r="L47" s="6">
        <f t="shared" si="33"/>
        <v>-432.38</v>
      </c>
      <c r="M47" s="2"/>
      <c r="N47" s="7">
        <f t="shared" si="34"/>
        <v>-0.67506635441061669</v>
      </c>
      <c r="O47" s="10"/>
      <c r="P47" s="6">
        <v>3586.47</v>
      </c>
      <c r="Q47" s="2"/>
      <c r="R47" s="7">
        <f t="shared" si="35"/>
        <v>0</v>
      </c>
      <c r="S47" s="2"/>
      <c r="T47" s="6">
        <v>17026.900000000001</v>
      </c>
      <c r="U47" s="2"/>
      <c r="V47" s="7">
        <f t="shared" si="36"/>
        <v>1.5930920085883201E-2</v>
      </c>
      <c r="W47" s="2"/>
      <c r="X47" s="6">
        <f t="shared" si="37"/>
        <v>-13440.430000000002</v>
      </c>
      <c r="Y47" s="2"/>
      <c r="Z47" s="7">
        <f t="shared" si="38"/>
        <v>-0.78936447621117178</v>
      </c>
    </row>
    <row r="48" spans="1:26" s="26" customFormat="1" outlineLevel="1" collapsed="1" x14ac:dyDescent="0.25">
      <c r="A48" s="25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SUM(OSRRefD22_6x_0)</f>
        <v>0</v>
      </c>
      <c r="E48" s="1"/>
      <c r="F48" s="5">
        <f t="shared" ref="F48:F58" si="39">IF(D$12=0,0,D48/D$12)</f>
        <v>0</v>
      </c>
      <c r="G48" s="1"/>
      <c r="H48" s="1">
        <f>SUM(OSRRefH22_6x_0)</f>
        <v>0</v>
      </c>
      <c r="I48" s="1"/>
      <c r="J48" s="5">
        <f t="shared" ref="J48:J58" si="40">IF(H$12=0,0,H48/H$12)</f>
        <v>0</v>
      </c>
      <c r="K48" s="1"/>
      <c r="L48" s="1">
        <f t="shared" ref="L48:L58" si="41">+D48-H48</f>
        <v>0</v>
      </c>
      <c r="M48" s="1"/>
      <c r="N48" s="5">
        <f t="shared" ref="N48:N58" si="42">IF(H48=0,0,L48/H48)</f>
        <v>0</v>
      </c>
      <c r="O48" s="12"/>
      <c r="P48" s="1">
        <f>SUM(OSRRefP22_6x_0)</f>
        <v>0</v>
      </c>
      <c r="Q48" s="1"/>
      <c r="R48" s="5">
        <f t="shared" ref="R48:R58" si="43">IF(P$12=0,0,P48/P$12)</f>
        <v>0</v>
      </c>
      <c r="S48" s="1"/>
      <c r="T48" s="1">
        <f>SUM(OSRRefT22_6x_0)</f>
        <v>0.09</v>
      </c>
      <c r="U48" s="1"/>
      <c r="V48" s="5">
        <f t="shared" ref="V48:V58" si="44">IF(T$12=0,0,T48/T$12)</f>
        <v>8.4206920092881724E-8</v>
      </c>
      <c r="W48" s="1"/>
      <c r="X48" s="1">
        <f t="shared" ref="X48:X58" si="45">+P48-T48</f>
        <v>-0.09</v>
      </c>
      <c r="Y48" s="1"/>
      <c r="Z48" s="5">
        <f t="shared" ref="Z48:Z58" si="46">IF(T48=0,0,X48/T48)</f>
        <v>-1</v>
      </c>
    </row>
    <row r="49" spans="1:26" s="23" customFormat="1" hidden="1" outlineLevel="2" x14ac:dyDescent="0.25">
      <c r="A49" s="27"/>
      <c r="B49" s="10" t="str">
        <f>CONCATENATE("          ", "6382", " - ", "DISCOUNTS/MARK DOWNS")</f>
        <v xml:space="preserve">          6382 - DISCOUNTS/MARK DOWNS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/>
      <c r="Q49" s="2"/>
      <c r="R49" s="7">
        <f t="shared" si="43"/>
        <v>0</v>
      </c>
      <c r="S49" s="2"/>
      <c r="T49" s="6">
        <v>0.09</v>
      </c>
      <c r="U49" s="2"/>
      <c r="V49" s="7">
        <f t="shared" si="44"/>
        <v>8.4206920092881724E-8</v>
      </c>
      <c r="W49" s="2"/>
      <c r="X49" s="6">
        <f t="shared" si="45"/>
        <v>-0.09</v>
      </c>
      <c r="Y49" s="2"/>
      <c r="Z49" s="7">
        <f t="shared" si="46"/>
        <v>-1</v>
      </c>
    </row>
    <row r="50" spans="1:26" s="26" customFormat="1" outlineLevel="1" collapsed="1" x14ac:dyDescent="0.25">
      <c r="A50" s="25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si="39"/>
        <v>0</v>
      </c>
      <c r="G50" s="1"/>
      <c r="H50" s="1">
        <f>SUM(OSRRefH22_7x_0)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SUM(OSRRefP22_7x_0)</f>
        <v>0</v>
      </c>
      <c r="Q50" s="1"/>
      <c r="R50" s="5">
        <f t="shared" si="43"/>
        <v>0</v>
      </c>
      <c r="S50" s="1"/>
      <c r="T50" s="1">
        <f>SUM(OSRRefT22_7x_0)</f>
        <v>73</v>
      </c>
      <c r="U50" s="1"/>
      <c r="V50" s="5">
        <f t="shared" si="44"/>
        <v>6.8301168519781851E-5</v>
      </c>
      <c r="W50" s="1"/>
      <c r="X50" s="1">
        <f t="shared" si="45"/>
        <v>-73</v>
      </c>
      <c r="Y50" s="1"/>
      <c r="Z50" s="5">
        <f t="shared" si="46"/>
        <v>-1</v>
      </c>
    </row>
    <row r="51" spans="1:26" s="23" customFormat="1" hidden="1" outlineLevel="2" x14ac:dyDescent="0.25">
      <c r="A51" s="27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/>
      <c r="Q51" s="2"/>
      <c r="R51" s="7">
        <f t="shared" si="43"/>
        <v>0</v>
      </c>
      <c r="S51" s="2"/>
      <c r="T51" s="6">
        <v>73</v>
      </c>
      <c r="U51" s="2"/>
      <c r="V51" s="7">
        <f t="shared" si="44"/>
        <v>6.8301168519781851E-5</v>
      </c>
      <c r="W51" s="2"/>
      <c r="X51" s="6">
        <f t="shared" si="45"/>
        <v>-73</v>
      </c>
      <c r="Y51" s="2"/>
      <c r="Z51" s="7">
        <f t="shared" si="46"/>
        <v>-1</v>
      </c>
    </row>
    <row r="52" spans="1:26" s="26" customFormat="1" outlineLevel="1" collapsed="1" x14ac:dyDescent="0.25">
      <c r="A52" s="25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0</v>
      </c>
      <c r="E52" s="1"/>
      <c r="F52" s="5">
        <f t="shared" si="39"/>
        <v>0</v>
      </c>
      <c r="G52" s="1"/>
      <c r="H52" s="1">
        <f>SUM(OSRRefH22_8x_0)</f>
        <v>0</v>
      </c>
      <c r="I52" s="1"/>
      <c r="J52" s="5">
        <f t="shared" si="40"/>
        <v>0</v>
      </c>
      <c r="K52" s="1"/>
      <c r="L52" s="1">
        <f t="shared" si="41"/>
        <v>0</v>
      </c>
      <c r="M52" s="1"/>
      <c r="N52" s="5">
        <f t="shared" si="42"/>
        <v>0</v>
      </c>
      <c r="O52" s="12"/>
      <c r="P52" s="1">
        <f>SUM(OSRRefP22_8x_0)</f>
        <v>0</v>
      </c>
      <c r="Q52" s="1"/>
      <c r="R52" s="5">
        <f t="shared" si="43"/>
        <v>0</v>
      </c>
      <c r="S52" s="1"/>
      <c r="T52" s="1">
        <f>SUM(OSRRefT22_8x_0)</f>
        <v>8.25</v>
      </c>
      <c r="U52" s="1"/>
      <c r="V52" s="5">
        <f t="shared" si="44"/>
        <v>7.7189676751808245E-6</v>
      </c>
      <c r="W52" s="1"/>
      <c r="X52" s="1">
        <f t="shared" si="45"/>
        <v>-8.25</v>
      </c>
      <c r="Y52" s="1"/>
      <c r="Z52" s="5">
        <f t="shared" si="46"/>
        <v>-1</v>
      </c>
    </row>
    <row r="53" spans="1:26" s="23" customFormat="1" hidden="1" outlineLevel="2" x14ac:dyDescent="0.25">
      <c r="A53" s="27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8.25</v>
      </c>
      <c r="U53" s="2"/>
      <c r="V53" s="7">
        <f t="shared" si="44"/>
        <v>7.7189676751808245E-6</v>
      </c>
      <c r="W53" s="2"/>
      <c r="X53" s="6">
        <f t="shared" si="45"/>
        <v>-8.25</v>
      </c>
      <c r="Y53" s="2"/>
      <c r="Z53" s="7">
        <f t="shared" si="46"/>
        <v>-1</v>
      </c>
    </row>
    <row r="54" spans="1:26" s="26" customFormat="1" outlineLevel="1" collapsed="1" x14ac:dyDescent="0.25">
      <c r="A54" s="25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180</v>
      </c>
      <c r="E54" s="1"/>
      <c r="F54" s="5">
        <f t="shared" si="39"/>
        <v>0</v>
      </c>
      <c r="G54" s="1"/>
      <c r="H54" s="1">
        <f>SUM(OSRRefH22_9x_0)</f>
        <v>263.72000000000003</v>
      </c>
      <c r="I54" s="1"/>
      <c r="J54" s="5">
        <f t="shared" si="40"/>
        <v>0</v>
      </c>
      <c r="K54" s="1"/>
      <c r="L54" s="1">
        <f t="shared" si="41"/>
        <v>-83.720000000000027</v>
      </c>
      <c r="M54" s="1"/>
      <c r="N54" s="5">
        <f t="shared" si="42"/>
        <v>-0.31745790990444417</v>
      </c>
      <c r="O54" s="12"/>
      <c r="P54" s="1">
        <f>SUM(OSRRefP22_9x_0)</f>
        <v>443.72</v>
      </c>
      <c r="Q54" s="1"/>
      <c r="R54" s="5">
        <f t="shared" si="43"/>
        <v>0</v>
      </c>
      <c r="S54" s="1"/>
      <c r="T54" s="1">
        <f>SUM(OSRRefT22_9x_0)</f>
        <v>6851.14</v>
      </c>
      <c r="U54" s="1"/>
      <c r="V54" s="5">
        <f t="shared" si="44"/>
        <v>6.4101488725016196E-3</v>
      </c>
      <c r="W54" s="1"/>
      <c r="X54" s="1">
        <f t="shared" si="45"/>
        <v>-6407.42</v>
      </c>
      <c r="Y54" s="1"/>
      <c r="Z54" s="5">
        <f t="shared" si="46"/>
        <v>-0.93523413621674634</v>
      </c>
    </row>
    <row r="55" spans="1:26" s="23" customFormat="1" hidden="1" outlineLevel="2" x14ac:dyDescent="0.25">
      <c r="A55" s="27"/>
      <c r="B55" s="10" t="str">
        <f>CONCATENATE("          ", "6351", " - ", "EQUIPMENT RENTAL")</f>
        <v xml:space="preserve">          6351 - EQUIPMENT RENTAL</v>
      </c>
      <c r="C55" s="10"/>
      <c r="D55" s="6">
        <v>180</v>
      </c>
      <c r="E55" s="2"/>
      <c r="F55" s="7">
        <f t="shared" si="39"/>
        <v>0</v>
      </c>
      <c r="G55" s="2"/>
      <c r="H55" s="6">
        <v>263.72000000000003</v>
      </c>
      <c r="I55" s="2"/>
      <c r="J55" s="7">
        <f t="shared" si="40"/>
        <v>0</v>
      </c>
      <c r="K55" s="2"/>
      <c r="L55" s="6">
        <f t="shared" si="41"/>
        <v>-83.720000000000027</v>
      </c>
      <c r="M55" s="2"/>
      <c r="N55" s="7">
        <f t="shared" si="42"/>
        <v>-0.31745790990444417</v>
      </c>
      <c r="O55" s="10"/>
      <c r="P55" s="6">
        <v>443.72</v>
      </c>
      <c r="Q55" s="2"/>
      <c r="R55" s="7">
        <f t="shared" si="43"/>
        <v>0</v>
      </c>
      <c r="S55" s="2"/>
      <c r="T55" s="6">
        <v>6851.14</v>
      </c>
      <c r="U55" s="2"/>
      <c r="V55" s="7">
        <f t="shared" si="44"/>
        <v>6.4101488725016196E-3</v>
      </c>
      <c r="W55" s="2"/>
      <c r="X55" s="6">
        <f t="shared" si="45"/>
        <v>-6407.42</v>
      </c>
      <c r="Y55" s="2"/>
      <c r="Z55" s="7">
        <f t="shared" si="46"/>
        <v>-0.93523413621674634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0</v>
      </c>
      <c r="E56" s="1"/>
      <c r="F56" s="5">
        <f t="shared" si="39"/>
        <v>0</v>
      </c>
      <c r="G56" s="1"/>
      <c r="H56" s="1">
        <f>SUM(OSRRefH22_10x_0)</f>
        <v>0</v>
      </c>
      <c r="I56" s="1"/>
      <c r="J56" s="5">
        <f t="shared" si="40"/>
        <v>0</v>
      </c>
      <c r="K56" s="1"/>
      <c r="L56" s="1">
        <f t="shared" si="41"/>
        <v>0</v>
      </c>
      <c r="M56" s="1"/>
      <c r="N56" s="5">
        <f t="shared" si="42"/>
        <v>0</v>
      </c>
      <c r="O56" s="12"/>
      <c r="P56" s="1">
        <f>SUM(OSRRefP22_10x_0)</f>
        <v>2969.55</v>
      </c>
      <c r="Q56" s="1"/>
      <c r="R56" s="5">
        <f t="shared" si="43"/>
        <v>0</v>
      </c>
      <c r="S56" s="1"/>
      <c r="T56" s="1">
        <f>SUM(OSRRefT22_10x_0)</f>
        <v>13442.380000000001</v>
      </c>
      <c r="U56" s="1"/>
      <c r="V56" s="5">
        <f t="shared" si="44"/>
        <v>1.2577126872423907E-2</v>
      </c>
      <c r="W56" s="1"/>
      <c r="X56" s="1">
        <f t="shared" si="45"/>
        <v>-10472.830000000002</v>
      </c>
      <c r="Y56" s="1"/>
      <c r="Z56" s="5">
        <f t="shared" si="46"/>
        <v>-0.77909045868365578</v>
      </c>
    </row>
    <row r="57" spans="1:26" s="23" customFormat="1" hidden="1" outlineLevel="2" x14ac:dyDescent="0.25">
      <c r="A57" s="27"/>
      <c r="B57" s="10" t="str">
        <f>CONCATENATE("          ", "6269", " - ", "ENTERTAINMENT")</f>
        <v xml:space="preserve">          6269 - ENTERTAINMENT</v>
      </c>
      <c r="C57" s="10"/>
      <c r="D57" s="6"/>
      <c r="E57" s="2"/>
      <c r="F57" s="7">
        <f t="shared" si="39"/>
        <v>0</v>
      </c>
      <c r="G57" s="2"/>
      <c r="H57" s="6"/>
      <c r="I57" s="2"/>
      <c r="J57" s="7">
        <f t="shared" si="40"/>
        <v>0</v>
      </c>
      <c r="K57" s="2"/>
      <c r="L57" s="6">
        <f t="shared" si="41"/>
        <v>0</v>
      </c>
      <c r="M57" s="2"/>
      <c r="N57" s="7">
        <f t="shared" si="42"/>
        <v>0</v>
      </c>
      <c r="O57" s="10"/>
      <c r="P57" s="6"/>
      <c r="Q57" s="2"/>
      <c r="R57" s="7">
        <f t="shared" si="43"/>
        <v>0</v>
      </c>
      <c r="S57" s="2"/>
      <c r="T57" s="6">
        <v>10050</v>
      </c>
      <c r="U57" s="2"/>
      <c r="V57" s="7">
        <f t="shared" si="44"/>
        <v>9.4031060770384603E-3</v>
      </c>
      <c r="W57" s="2"/>
      <c r="X57" s="6">
        <f t="shared" si="45"/>
        <v>-10050</v>
      </c>
      <c r="Y57" s="2"/>
      <c r="Z57" s="7">
        <f t="shared" si="46"/>
        <v>-1</v>
      </c>
    </row>
    <row r="58" spans="1:26" s="23" customFormat="1" hidden="1" outlineLevel="2" x14ac:dyDescent="0.25">
      <c r="A58" s="27"/>
      <c r="B58" s="10" t="str">
        <f>CONCATENATE("          ", "6279", " - ", "GENERAL EXPENSE")</f>
        <v xml:space="preserve">          6279 - GENERAL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>
        <v>2969.55</v>
      </c>
      <c r="Q58" s="2"/>
      <c r="R58" s="7">
        <f t="shared" si="43"/>
        <v>0</v>
      </c>
      <c r="S58" s="2"/>
      <c r="T58" s="6">
        <v>3392.38</v>
      </c>
      <c r="U58" s="2"/>
      <c r="V58" s="7">
        <f t="shared" si="44"/>
        <v>3.1740207953854459E-3</v>
      </c>
      <c r="W58" s="2"/>
      <c r="X58" s="6">
        <f t="shared" si="45"/>
        <v>-422.82999999999993</v>
      </c>
      <c r="Y58" s="2"/>
      <c r="Z58" s="7">
        <f t="shared" si="46"/>
        <v>-0.12464110742310705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0</v>
      </c>
      <c r="E59" s="1"/>
      <c r="F59" s="5">
        <f t="shared" ref="F59:F62" si="47">IF(D$12=0,0,D59/D$12)</f>
        <v>0</v>
      </c>
      <c r="G59" s="1"/>
      <c r="H59" s="1">
        <f>SUM(OSRRefH22_11x_0)</f>
        <v>0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0</v>
      </c>
      <c r="M59" s="1"/>
      <c r="N59" s="5">
        <f t="shared" ref="N59:N62" si="50">IF(H59=0,0,L59/H59)</f>
        <v>0</v>
      </c>
      <c r="O59" s="12"/>
      <c r="P59" s="1">
        <f>SUM(OSRRefP22_11x_0)</f>
        <v>675.19</v>
      </c>
      <c r="Q59" s="1"/>
      <c r="R59" s="5">
        <f t="shared" ref="R59:R62" si="51">IF(P$12=0,0,P59/P$12)</f>
        <v>0</v>
      </c>
      <c r="S59" s="1"/>
      <c r="T59" s="1">
        <f>SUM(OSRRefT22_11x_0)</f>
        <v>17856.98</v>
      </c>
      <c r="U59" s="1"/>
      <c r="V59" s="5">
        <f t="shared" ref="V59:V62" si="52">IF(T$12=0,0,T59/T$12)</f>
        <v>1.6707569866224303E-2</v>
      </c>
      <c r="W59" s="1"/>
      <c r="X59" s="1">
        <f t="shared" ref="X59:X62" si="53">+P59-T59</f>
        <v>-17181.79</v>
      </c>
      <c r="Y59" s="1"/>
      <c r="Z59" s="5">
        <f t="shared" ref="Z59:Z62" si="54">IF(T59=0,0,X59/T59)</f>
        <v>-0.96218901516381838</v>
      </c>
    </row>
    <row r="60" spans="1:26" s="23" customFormat="1" hidden="1" outlineLevel="2" x14ac:dyDescent="0.25">
      <c r="A60" s="27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2623.85</v>
      </c>
      <c r="U60" s="2"/>
      <c r="V60" s="7">
        <f t="shared" si="52"/>
        <v>2.454959192063419E-3</v>
      </c>
      <c r="W60" s="2"/>
      <c r="X60" s="6">
        <f t="shared" si="53"/>
        <v>-2623.85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675.19</v>
      </c>
      <c r="Q61" s="2"/>
      <c r="R61" s="7">
        <f t="shared" si="51"/>
        <v>0</v>
      </c>
      <c r="S61" s="2"/>
      <c r="T61" s="6">
        <v>1443.95</v>
      </c>
      <c r="U61" s="2"/>
      <c r="V61" s="7">
        <f t="shared" si="52"/>
        <v>1.3510064696457397E-3</v>
      </c>
      <c r="W61" s="2"/>
      <c r="X61" s="6">
        <f t="shared" si="53"/>
        <v>-768.76</v>
      </c>
      <c r="Y61" s="2"/>
      <c r="Z61" s="7">
        <f t="shared" si="54"/>
        <v>-0.53240070639565085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13789.18</v>
      </c>
      <c r="U62" s="2"/>
      <c r="V62" s="7">
        <f t="shared" si="52"/>
        <v>1.2901604204515143E-2</v>
      </c>
      <c r="W62" s="2"/>
      <c r="X62" s="6">
        <f t="shared" si="53"/>
        <v>-13789.18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0</v>
      </c>
      <c r="E63" s="1"/>
      <c r="F63" s="5">
        <f t="shared" ref="F63:F66" si="55">IF(D$12=0,0,D63/D$12)</f>
        <v>0</v>
      </c>
      <c r="G63" s="1"/>
      <c r="H63" s="1">
        <f>SUM(OSRRefH22_12x_0)</f>
        <v>0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0</v>
      </c>
      <c r="M63" s="1"/>
      <c r="N63" s="5">
        <f t="shared" ref="N63:N66" si="58">IF(H63=0,0,L63/H63)</f>
        <v>0</v>
      </c>
      <c r="O63" s="12"/>
      <c r="P63" s="1">
        <f>SUM(OSRRefP22_12x_0)</f>
        <v>0</v>
      </c>
      <c r="Q63" s="1"/>
      <c r="R63" s="5">
        <f t="shared" ref="R63:R66" si="59">IF(P$12=0,0,P63/P$12)</f>
        <v>0</v>
      </c>
      <c r="S63" s="1"/>
      <c r="T63" s="1">
        <f>SUM(OSRRefT22_12x_0)</f>
        <v>3851.3999999999996</v>
      </c>
      <c r="U63" s="1"/>
      <c r="V63" s="5">
        <f t="shared" ref="V63:V66" si="60">IF(T$12=0,0,T63/T$12)</f>
        <v>3.6034948005080518E-3</v>
      </c>
      <c r="W63" s="1"/>
      <c r="X63" s="1">
        <f t="shared" ref="X63:X66" si="61">+P63-T63</f>
        <v>-3851.3999999999996</v>
      </c>
      <c r="Y63" s="1"/>
      <c r="Z63" s="5">
        <f t="shared" ref="Z63:Z66" si="62">IF(T63=0,0,X63/T63)</f>
        <v>-1</v>
      </c>
    </row>
    <row r="64" spans="1:26" s="23" customFormat="1" hidden="1" outlineLevel="2" x14ac:dyDescent="0.25">
      <c r="A64" s="27"/>
      <c r="B64" s="10" t="str">
        <f>CONCATENATE("          ", "6283", " - ", "PLANT SERVICE")</f>
        <v xml:space="preserve">          6283 - PLANT SERVICE</v>
      </c>
      <c r="C64" s="10"/>
      <c r="D64" s="6"/>
      <c r="E64" s="2"/>
      <c r="F64" s="7">
        <f t="shared" si="55"/>
        <v>0</v>
      </c>
      <c r="G64" s="2"/>
      <c r="H64" s="6"/>
      <c r="I64" s="2"/>
      <c r="J64" s="7">
        <f t="shared" si="56"/>
        <v>0</v>
      </c>
      <c r="K64" s="2"/>
      <c r="L64" s="6">
        <f t="shared" si="57"/>
        <v>0</v>
      </c>
      <c r="M64" s="2"/>
      <c r="N64" s="7">
        <f t="shared" si="58"/>
        <v>0</v>
      </c>
      <c r="O64" s="10"/>
      <c r="P64" s="6"/>
      <c r="Q64" s="2"/>
      <c r="R64" s="7">
        <f t="shared" si="59"/>
        <v>0</v>
      </c>
      <c r="S64" s="2"/>
      <c r="T64" s="6">
        <v>357.75</v>
      </c>
      <c r="U64" s="2"/>
      <c r="V64" s="7">
        <f t="shared" si="60"/>
        <v>3.3472250736920489E-4</v>
      </c>
      <c r="W64" s="2"/>
      <c r="X64" s="6">
        <f t="shared" si="61"/>
        <v>-357.75</v>
      </c>
      <c r="Y64" s="2"/>
      <c r="Z64" s="7">
        <f t="shared" si="62"/>
        <v>-1</v>
      </c>
    </row>
    <row r="65" spans="1:26" s="23" customFormat="1" hidden="1" outlineLevel="2" x14ac:dyDescent="0.25">
      <c r="A65" s="27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1876.6</v>
      </c>
      <c r="U65" s="2"/>
      <c r="V65" s="7">
        <f t="shared" si="60"/>
        <v>1.7558078471811315E-3</v>
      </c>
      <c r="W65" s="2"/>
      <c r="X65" s="6">
        <f t="shared" si="61"/>
        <v>-1876.6</v>
      </c>
      <c r="Y65" s="2"/>
      <c r="Z65" s="7">
        <f t="shared" si="62"/>
        <v>-1</v>
      </c>
    </row>
    <row r="66" spans="1:26" s="23" customFormat="1" hidden="1" outlineLevel="2" x14ac:dyDescent="0.25">
      <c r="A66" s="27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1617.05</v>
      </c>
      <c r="U66" s="2"/>
      <c r="V66" s="7">
        <f t="shared" si="60"/>
        <v>1.5129644459577155E-3</v>
      </c>
      <c r="W66" s="2"/>
      <c r="X66" s="6">
        <f t="shared" si="61"/>
        <v>-1617.05</v>
      </c>
      <c r="Y66" s="2"/>
      <c r="Z66" s="7">
        <f t="shared" si="62"/>
        <v>-1</v>
      </c>
    </row>
    <row r="67" spans="1:26" s="26" customFormat="1" outlineLevel="1" collapsed="1" x14ac:dyDescent="0.25">
      <c r="A67" s="25"/>
      <c r="B67" s="12" t="str">
        <f>CONCATENATE("     ","Subscriptions &amp; Dues                              ")</f>
        <v xml:space="preserve">     Subscriptions &amp; Dues                              </v>
      </c>
      <c r="C67" s="12"/>
      <c r="D67" s="1">
        <f>SUM(OSRRefD22_13x_0)</f>
        <v>0</v>
      </c>
      <c r="E67" s="1"/>
      <c r="F67" s="5">
        <f t="shared" ref="F67:F69" si="63">IF(D$12=0,0,D67/D$12)</f>
        <v>0</v>
      </c>
      <c r="G67" s="1"/>
      <c r="H67" s="1">
        <f>SUM(OSRRefH22_13x_0)</f>
        <v>0</v>
      </c>
      <c r="I67" s="1"/>
      <c r="J67" s="5">
        <f t="shared" ref="J67:J69" si="64">IF(H$12=0,0,H67/H$12)</f>
        <v>0</v>
      </c>
      <c r="K67" s="1"/>
      <c r="L67" s="1">
        <f t="shared" ref="L67:L69" si="65">+D67-H67</f>
        <v>0</v>
      </c>
      <c r="M67" s="1"/>
      <c r="N67" s="5">
        <f t="shared" ref="N67:N69" si="66">IF(H67=0,0,L67/H67)</f>
        <v>0</v>
      </c>
      <c r="O67" s="12"/>
      <c r="P67" s="1">
        <f>SUM(OSRRefP22_13x_0)</f>
        <v>0</v>
      </c>
      <c r="Q67" s="1"/>
      <c r="R67" s="5">
        <f t="shared" ref="R67:R69" si="67">IF(P$12=0,0,P67/P$12)</f>
        <v>0</v>
      </c>
      <c r="S67" s="1"/>
      <c r="T67" s="1">
        <f>SUM(OSRRefT22_13x_0)</f>
        <v>2642.69</v>
      </c>
      <c r="U67" s="1"/>
      <c r="V67" s="5">
        <f t="shared" ref="V67:V69" si="68">IF(T$12=0,0,T67/T$12)</f>
        <v>2.4725865073361958E-3</v>
      </c>
      <c r="W67" s="1"/>
      <c r="X67" s="1">
        <f t="shared" ref="X67:X69" si="69">+P67-T67</f>
        <v>-2642.69</v>
      </c>
      <c r="Y67" s="1"/>
      <c r="Z67" s="5">
        <f t="shared" ref="Z67:Z69" si="70">IF(T67=0,0,X67/T67)</f>
        <v>-1</v>
      </c>
    </row>
    <row r="68" spans="1:26" s="23" customFormat="1" hidden="1" outlineLevel="2" x14ac:dyDescent="0.25">
      <c r="A68" s="27"/>
      <c r="B68" s="10" t="str">
        <f>CONCATENATE("          ", "6258", " - ", "MEMBERSHIP DUES")</f>
        <v xml:space="preserve">          6258 - MEMBERSHIP DUES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978</v>
      </c>
      <c r="U68" s="2"/>
      <c r="V68" s="7">
        <f t="shared" si="68"/>
        <v>9.1504853167598146E-4</v>
      </c>
      <c r="W68" s="2"/>
      <c r="X68" s="6">
        <f t="shared" si="69"/>
        <v>-978</v>
      </c>
      <c r="Y68" s="2"/>
      <c r="Z68" s="7">
        <f t="shared" si="70"/>
        <v>-1</v>
      </c>
    </row>
    <row r="69" spans="1:26" s="23" customFormat="1" hidden="1" outlineLevel="2" x14ac:dyDescent="0.25">
      <c r="A69" s="27"/>
      <c r="B69" s="10" t="str">
        <f>CONCATENATE("          ", "6275", " - ", "SUBSCRIPTIONS")</f>
        <v xml:space="preserve">          6275 - SUBSCRIPTIONS</v>
      </c>
      <c r="C69" s="10"/>
      <c r="D69" s="6"/>
      <c r="E69" s="2"/>
      <c r="F69" s="7">
        <f t="shared" si="63"/>
        <v>0</v>
      </c>
      <c r="G69" s="2"/>
      <c r="H69" s="6"/>
      <c r="I69" s="2"/>
      <c r="J69" s="7">
        <f t="shared" si="64"/>
        <v>0</v>
      </c>
      <c r="K69" s="2"/>
      <c r="L69" s="6">
        <f t="shared" si="65"/>
        <v>0</v>
      </c>
      <c r="M69" s="2"/>
      <c r="N69" s="7">
        <f t="shared" si="66"/>
        <v>0</v>
      </c>
      <c r="O69" s="10"/>
      <c r="P69" s="6"/>
      <c r="Q69" s="2"/>
      <c r="R69" s="7">
        <f t="shared" si="67"/>
        <v>0</v>
      </c>
      <c r="S69" s="2"/>
      <c r="T69" s="6">
        <v>1664.69</v>
      </c>
      <c r="U69" s="2"/>
      <c r="V69" s="7">
        <f t="shared" si="68"/>
        <v>1.5575379756602144E-3</v>
      </c>
      <c r="W69" s="2"/>
      <c r="X69" s="6">
        <f t="shared" si="69"/>
        <v>-1664.69</v>
      </c>
      <c r="Y69" s="2"/>
      <c r="Z69" s="7">
        <f t="shared" si="70"/>
        <v>-1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0</v>
      </c>
      <c r="E70" s="1"/>
      <c r="F70" s="5">
        <f t="shared" ref="F70:F78" si="71">IF(D$12=0,0,D70/D$12)</f>
        <v>0</v>
      </c>
      <c r="G70" s="1"/>
      <c r="H70" s="1">
        <f>SUM(OSRRefH22_14x_0)</f>
        <v>0</v>
      </c>
      <c r="I70" s="1"/>
      <c r="J70" s="5">
        <f t="shared" ref="J70:J78" si="72">IF(H$12=0,0,H70/H$12)</f>
        <v>0</v>
      </c>
      <c r="K70" s="1"/>
      <c r="L70" s="1">
        <f t="shared" ref="L70:L78" si="73">+D70-H70</f>
        <v>0</v>
      </c>
      <c r="M70" s="1"/>
      <c r="N70" s="5">
        <f t="shared" ref="N70:N78" si="74">IF(H70=0,0,L70/H70)</f>
        <v>0</v>
      </c>
      <c r="O70" s="12"/>
      <c r="P70" s="1">
        <f>SUM(OSRRefP22_14x_0)</f>
        <v>0</v>
      </c>
      <c r="Q70" s="1"/>
      <c r="R70" s="5">
        <f t="shared" ref="R70:R78" si="75">IF(P$12=0,0,P70/P$12)</f>
        <v>0</v>
      </c>
      <c r="S70" s="1"/>
      <c r="T70" s="1">
        <f>SUM(OSRRefT22_14x_0)</f>
        <v>8790.9</v>
      </c>
      <c r="U70" s="1"/>
      <c r="V70" s="5">
        <f t="shared" ref="V70:V78" si="76">IF(T$12=0,0,T70/T$12)</f>
        <v>8.2250512649390435E-3</v>
      </c>
      <c r="W70" s="1"/>
      <c r="X70" s="1">
        <f t="shared" ref="X70:X78" si="77">+P70-T70</f>
        <v>-8790.9</v>
      </c>
      <c r="Y70" s="1"/>
      <c r="Z70" s="5">
        <f t="shared" ref="Z70:Z78" si="78">IF(T70=0,0,X70/T70)</f>
        <v>-1</v>
      </c>
    </row>
    <row r="71" spans="1:26" s="23" customFormat="1" hidden="1" outlineLevel="2" x14ac:dyDescent="0.25">
      <c r="A71" s="27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71"/>
        <v>0</v>
      </c>
      <c r="G71" s="2"/>
      <c r="H71" s="6"/>
      <c r="I71" s="2"/>
      <c r="J71" s="7">
        <f t="shared" si="72"/>
        <v>0</v>
      </c>
      <c r="K71" s="2"/>
      <c r="L71" s="6">
        <f t="shared" si="73"/>
        <v>0</v>
      </c>
      <c r="M71" s="2"/>
      <c r="N71" s="7">
        <f t="shared" si="74"/>
        <v>0</v>
      </c>
      <c r="O71" s="10"/>
      <c r="P71" s="6"/>
      <c r="Q71" s="2"/>
      <c r="R71" s="7">
        <f t="shared" si="75"/>
        <v>0</v>
      </c>
      <c r="S71" s="2"/>
      <c r="T71" s="6">
        <v>333.92</v>
      </c>
      <c r="U71" s="2"/>
      <c r="V71" s="7">
        <f t="shared" si="76"/>
        <v>3.1242638619350077E-4</v>
      </c>
      <c r="W71" s="2"/>
      <c r="X71" s="6">
        <f t="shared" si="77"/>
        <v>-333.92</v>
      </c>
      <c r="Y71" s="2"/>
      <c r="Z71" s="7">
        <f t="shared" si="78"/>
        <v>-1</v>
      </c>
    </row>
    <row r="72" spans="1:26" s="23" customFormat="1" hidden="1" outlineLevel="2" x14ac:dyDescent="0.25">
      <c r="A72" s="27"/>
      <c r="B72" s="10" t="str">
        <f>CONCATENATE("          ", "6237", " - ", "JANITORIAL SUPPLIES")</f>
        <v xml:space="preserve">          6237 - JANITORIAL SUPPLIES</v>
      </c>
      <c r="C72" s="10"/>
      <c r="D72" s="6"/>
      <c r="E72" s="2"/>
      <c r="F72" s="7">
        <f t="shared" si="71"/>
        <v>0</v>
      </c>
      <c r="G72" s="2"/>
      <c r="H72" s="6"/>
      <c r="I72" s="2"/>
      <c r="J72" s="7">
        <f t="shared" si="72"/>
        <v>0</v>
      </c>
      <c r="K72" s="2"/>
      <c r="L72" s="6">
        <f t="shared" si="73"/>
        <v>0</v>
      </c>
      <c r="M72" s="2"/>
      <c r="N72" s="7">
        <f t="shared" si="74"/>
        <v>0</v>
      </c>
      <c r="O72" s="10"/>
      <c r="P72" s="6"/>
      <c r="Q72" s="2"/>
      <c r="R72" s="7">
        <f t="shared" si="75"/>
        <v>0</v>
      </c>
      <c r="S72" s="2"/>
      <c r="T72" s="6">
        <v>17.62</v>
      </c>
      <c r="U72" s="2"/>
      <c r="V72" s="7">
        <f t="shared" si="76"/>
        <v>1.6485843689295292E-5</v>
      </c>
      <c r="W72" s="2"/>
      <c r="X72" s="6">
        <f t="shared" si="77"/>
        <v>-17.62</v>
      </c>
      <c r="Y72" s="2"/>
      <c r="Z72" s="7">
        <f t="shared" si="78"/>
        <v>-1</v>
      </c>
    </row>
    <row r="73" spans="1:26" s="23" customFormat="1" hidden="1" outlineLevel="2" x14ac:dyDescent="0.25">
      <c r="A73" s="27"/>
      <c r="B73" s="10" t="str">
        <f>CONCATENATE("          ", "6239", " - ", "KITCHEN SUPPLIES")</f>
        <v xml:space="preserve">          6239 - KITCHEN SUPPLIES</v>
      </c>
      <c r="C73" s="10"/>
      <c r="D73" s="6"/>
      <c r="E73" s="2"/>
      <c r="F73" s="7">
        <f t="shared" si="71"/>
        <v>0</v>
      </c>
      <c r="G73" s="2"/>
      <c r="H73" s="6"/>
      <c r="I73" s="2"/>
      <c r="J73" s="7">
        <f t="shared" si="72"/>
        <v>0</v>
      </c>
      <c r="K73" s="2"/>
      <c r="L73" s="6">
        <f t="shared" si="73"/>
        <v>0</v>
      </c>
      <c r="M73" s="2"/>
      <c r="N73" s="7">
        <f t="shared" si="74"/>
        <v>0</v>
      </c>
      <c r="O73" s="10"/>
      <c r="P73" s="6"/>
      <c r="Q73" s="2"/>
      <c r="R73" s="7">
        <f t="shared" si="75"/>
        <v>0</v>
      </c>
      <c r="S73" s="2"/>
      <c r="T73" s="6">
        <v>788.08</v>
      </c>
      <c r="U73" s="2"/>
      <c r="V73" s="7">
        <f t="shared" si="76"/>
        <v>7.3735321763109148E-4</v>
      </c>
      <c r="W73" s="2"/>
      <c r="X73" s="6">
        <f t="shared" si="77"/>
        <v>-788.08</v>
      </c>
      <c r="Y73" s="2"/>
      <c r="Z73" s="7">
        <f t="shared" si="78"/>
        <v>-1</v>
      </c>
    </row>
    <row r="74" spans="1:26" s="23" customFormat="1" hidden="1" outlineLevel="2" x14ac:dyDescent="0.25">
      <c r="A74" s="27"/>
      <c r="B74" s="10" t="str">
        <f>CONCATENATE("          ", "6241", " - ", "OFFICE EXPENSE")</f>
        <v xml:space="preserve">          6241 - OFFICE EXPENSE</v>
      </c>
      <c r="C74" s="10"/>
      <c r="D74" s="6"/>
      <c r="E74" s="2"/>
      <c r="F74" s="7">
        <f t="shared" si="71"/>
        <v>0</v>
      </c>
      <c r="G74" s="2"/>
      <c r="H74" s="6"/>
      <c r="I74" s="2"/>
      <c r="J74" s="7">
        <f t="shared" si="72"/>
        <v>0</v>
      </c>
      <c r="K74" s="2"/>
      <c r="L74" s="6">
        <f t="shared" si="73"/>
        <v>0</v>
      </c>
      <c r="M74" s="2"/>
      <c r="N74" s="7">
        <f t="shared" si="74"/>
        <v>0</v>
      </c>
      <c r="O74" s="10"/>
      <c r="P74" s="6"/>
      <c r="Q74" s="2"/>
      <c r="R74" s="7">
        <f t="shared" si="75"/>
        <v>0</v>
      </c>
      <c r="S74" s="2"/>
      <c r="T74" s="6">
        <v>1698.1</v>
      </c>
      <c r="U74" s="2"/>
      <c r="V74" s="7">
        <f t="shared" si="76"/>
        <v>1.5887974556635829E-3</v>
      </c>
      <c r="W74" s="2"/>
      <c r="X74" s="6">
        <f t="shared" si="77"/>
        <v>-1698.1</v>
      </c>
      <c r="Y74" s="2"/>
      <c r="Z74" s="7">
        <f t="shared" si="78"/>
        <v>-1</v>
      </c>
    </row>
    <row r="75" spans="1:26" s="23" customFormat="1" hidden="1" outlineLevel="2" x14ac:dyDescent="0.25">
      <c r="A75" s="27"/>
      <c r="B75" s="10" t="str">
        <f>CONCATENATE("          ", "6243", " - ", "PAPER SUPPLIES")</f>
        <v xml:space="preserve">          6243 - PAPER SUPPLIES</v>
      </c>
      <c r="C75" s="10"/>
      <c r="D75" s="6"/>
      <c r="E75" s="2"/>
      <c r="F75" s="7">
        <f t="shared" si="71"/>
        <v>0</v>
      </c>
      <c r="G75" s="2"/>
      <c r="H75" s="6"/>
      <c r="I75" s="2"/>
      <c r="J75" s="7">
        <f t="shared" si="72"/>
        <v>0</v>
      </c>
      <c r="K75" s="2"/>
      <c r="L75" s="6">
        <f t="shared" si="73"/>
        <v>0</v>
      </c>
      <c r="M75" s="2"/>
      <c r="N75" s="7">
        <f t="shared" si="74"/>
        <v>0</v>
      </c>
      <c r="O75" s="10"/>
      <c r="P75" s="6"/>
      <c r="Q75" s="2"/>
      <c r="R75" s="7">
        <f t="shared" si="75"/>
        <v>0</v>
      </c>
      <c r="S75" s="2"/>
      <c r="T75" s="6">
        <v>3574.75</v>
      </c>
      <c r="U75" s="2"/>
      <c r="V75" s="7">
        <f t="shared" si="76"/>
        <v>3.3446520844669886E-3</v>
      </c>
      <c r="W75" s="2"/>
      <c r="X75" s="6">
        <f t="shared" si="77"/>
        <v>-3574.75</v>
      </c>
      <c r="Y75" s="2"/>
      <c r="Z75" s="7">
        <f t="shared" si="78"/>
        <v>-1</v>
      </c>
    </row>
    <row r="76" spans="1:26" s="23" customFormat="1" hidden="1" outlineLevel="2" x14ac:dyDescent="0.25">
      <c r="A76" s="27"/>
      <c r="B76" s="10" t="str">
        <f>CONCATENATE("          ", "6245", " - ", "PRINTING")</f>
        <v xml:space="preserve">          6245 - PRINTING</v>
      </c>
      <c r="C76" s="10"/>
      <c r="D76" s="6"/>
      <c r="E76" s="2"/>
      <c r="F76" s="7">
        <f t="shared" si="71"/>
        <v>0</v>
      </c>
      <c r="G76" s="2"/>
      <c r="H76" s="6"/>
      <c r="I76" s="2"/>
      <c r="J76" s="7">
        <f t="shared" si="72"/>
        <v>0</v>
      </c>
      <c r="K76" s="2"/>
      <c r="L76" s="6">
        <f t="shared" si="73"/>
        <v>0</v>
      </c>
      <c r="M76" s="2"/>
      <c r="N76" s="7">
        <f t="shared" si="74"/>
        <v>0</v>
      </c>
      <c r="O76" s="10"/>
      <c r="P76" s="6"/>
      <c r="Q76" s="2"/>
      <c r="R76" s="7">
        <f t="shared" si="75"/>
        <v>0</v>
      </c>
      <c r="S76" s="2"/>
      <c r="T76" s="6">
        <v>22.05</v>
      </c>
      <c r="U76" s="2"/>
      <c r="V76" s="7">
        <f t="shared" si="76"/>
        <v>2.0630695422756023E-5</v>
      </c>
      <c r="W76" s="2"/>
      <c r="X76" s="6">
        <f t="shared" si="77"/>
        <v>-22.05</v>
      </c>
      <c r="Y76" s="2"/>
      <c r="Z76" s="7">
        <f t="shared" si="78"/>
        <v>-1</v>
      </c>
    </row>
    <row r="77" spans="1:26" s="23" customFormat="1" hidden="1" outlineLevel="2" x14ac:dyDescent="0.25">
      <c r="A77" s="27"/>
      <c r="B77" s="10" t="str">
        <f>CONCATENATE("          ", "6247", " - ", "STORE SUPPLIES")</f>
        <v xml:space="preserve">          6247 - STORE SUPPLIES</v>
      </c>
      <c r="C77" s="10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0"/>
      <c r="P77" s="6"/>
      <c r="Q77" s="2"/>
      <c r="R77" s="7">
        <f t="shared" si="75"/>
        <v>0</v>
      </c>
      <c r="S77" s="2"/>
      <c r="T77" s="6">
        <v>1534.61</v>
      </c>
      <c r="U77" s="2"/>
      <c r="V77" s="7">
        <f t="shared" si="76"/>
        <v>1.4358309071526357E-3</v>
      </c>
      <c r="W77" s="2"/>
      <c r="X77" s="6">
        <f t="shared" si="77"/>
        <v>-1534.61</v>
      </c>
      <c r="Y77" s="2"/>
      <c r="Z77" s="7">
        <f t="shared" si="78"/>
        <v>-1</v>
      </c>
    </row>
    <row r="78" spans="1:26" s="23" customFormat="1" hidden="1" outlineLevel="2" x14ac:dyDescent="0.25">
      <c r="A78" s="27"/>
      <c r="B78" s="10" t="str">
        <f>CONCATENATE("          ", "6248", " - ", "UNIFORMS")</f>
        <v xml:space="preserve">          6248 - UNIFORMS</v>
      </c>
      <c r="C78" s="10"/>
      <c r="D78" s="6"/>
      <c r="E78" s="2"/>
      <c r="F78" s="7">
        <f t="shared" si="71"/>
        <v>0</v>
      </c>
      <c r="G78" s="2"/>
      <c r="H78" s="6"/>
      <c r="I78" s="2"/>
      <c r="J78" s="7">
        <f t="shared" si="72"/>
        <v>0</v>
      </c>
      <c r="K78" s="2"/>
      <c r="L78" s="6">
        <f t="shared" si="73"/>
        <v>0</v>
      </c>
      <c r="M78" s="2"/>
      <c r="N78" s="7">
        <f t="shared" si="74"/>
        <v>0</v>
      </c>
      <c r="O78" s="10"/>
      <c r="P78" s="6"/>
      <c r="Q78" s="2"/>
      <c r="R78" s="7">
        <f t="shared" si="75"/>
        <v>0</v>
      </c>
      <c r="S78" s="2"/>
      <c r="T78" s="6">
        <v>821.77</v>
      </c>
      <c r="U78" s="2"/>
      <c r="V78" s="7">
        <f t="shared" si="76"/>
        <v>7.6887467471919351E-4</v>
      </c>
      <c r="W78" s="2"/>
      <c r="X78" s="6">
        <f t="shared" si="77"/>
        <v>-821.77</v>
      </c>
      <c r="Y78" s="2"/>
      <c r="Z78" s="7">
        <f t="shared" si="78"/>
        <v>-1</v>
      </c>
    </row>
    <row r="79" spans="1:26" s="26" customFormat="1" outlineLevel="1" collapsed="1" x14ac:dyDescent="0.25">
      <c r="A79" s="25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SUM(OSRRefD22_15x_0)</f>
        <v>0</v>
      </c>
      <c r="E79" s="1"/>
      <c r="F79" s="5">
        <f t="shared" ref="F79:F82" si="79">IF(D$12=0,0,D79/D$12)</f>
        <v>0</v>
      </c>
      <c r="G79" s="1"/>
      <c r="H79" s="1">
        <f>SUM(OSRRefH22_15x_0)</f>
        <v>106</v>
      </c>
      <c r="I79" s="1"/>
      <c r="J79" s="5">
        <f t="shared" ref="J79:J82" si="80">IF(H$12=0,0,H79/H$12)</f>
        <v>0</v>
      </c>
      <c r="K79" s="1"/>
      <c r="L79" s="1">
        <f t="shared" ref="L79:L82" si="81">+D79-H79</f>
        <v>-106</v>
      </c>
      <c r="M79" s="1"/>
      <c r="N79" s="5">
        <f t="shared" ref="N79:N82" si="82">IF(H79=0,0,L79/H79)</f>
        <v>-1</v>
      </c>
      <c r="O79" s="12"/>
      <c r="P79" s="1">
        <f>SUM(OSRRefP22_15x_0)</f>
        <v>250.87</v>
      </c>
      <c r="Q79" s="1"/>
      <c r="R79" s="5">
        <f t="shared" ref="R79:R82" si="83">IF(P$12=0,0,P79/P$12)</f>
        <v>0</v>
      </c>
      <c r="S79" s="1"/>
      <c r="T79" s="1">
        <f>SUM(OSRRefT22_15x_0)</f>
        <v>1566.34</v>
      </c>
      <c r="U79" s="1"/>
      <c r="V79" s="5">
        <f t="shared" ref="V79:V82" si="84">IF(T$12=0,0,T79/T$12)</f>
        <v>1.4655185246476041E-3</v>
      </c>
      <c r="W79" s="1"/>
      <c r="X79" s="1">
        <f t="shared" ref="X79:X82" si="85">+P79-T79</f>
        <v>-1315.4699999999998</v>
      </c>
      <c r="Y79" s="1"/>
      <c r="Z79" s="5">
        <f t="shared" ref="Z79:Z82" si="86">IF(T79=0,0,X79/T79)</f>
        <v>-0.83983681703844626</v>
      </c>
    </row>
    <row r="80" spans="1:26" s="23" customFormat="1" hidden="1" outlineLevel="2" x14ac:dyDescent="0.25">
      <c r="A80" s="27"/>
      <c r="B80" s="10" t="str">
        <f>CONCATENATE("          ", "6309", " - ", "TELEPHONE")</f>
        <v xml:space="preserve">          6309 - TELEPHONE</v>
      </c>
      <c r="C80" s="10"/>
      <c r="D80" s="6"/>
      <c r="E80" s="2"/>
      <c r="F80" s="7">
        <f t="shared" si="79"/>
        <v>0</v>
      </c>
      <c r="G80" s="2"/>
      <c r="H80" s="6">
        <v>106</v>
      </c>
      <c r="I80" s="2"/>
      <c r="J80" s="7">
        <f t="shared" si="80"/>
        <v>0</v>
      </c>
      <c r="K80" s="2"/>
      <c r="L80" s="6">
        <f t="shared" si="81"/>
        <v>-106</v>
      </c>
      <c r="M80" s="2"/>
      <c r="N80" s="7">
        <f t="shared" si="82"/>
        <v>-1</v>
      </c>
      <c r="O80" s="10"/>
      <c r="P80" s="6">
        <v>250.87</v>
      </c>
      <c r="Q80" s="2"/>
      <c r="R80" s="7">
        <f t="shared" si="83"/>
        <v>0</v>
      </c>
      <c r="S80" s="2"/>
      <c r="T80" s="6">
        <v>1566.34</v>
      </c>
      <c r="U80" s="2"/>
      <c r="V80" s="7">
        <f t="shared" si="84"/>
        <v>1.4655185246476041E-3</v>
      </c>
      <c r="W80" s="2"/>
      <c r="X80" s="6">
        <f t="shared" si="85"/>
        <v>-1315.4699999999998</v>
      </c>
      <c r="Y80" s="2"/>
      <c r="Z80" s="7">
        <f t="shared" si="86"/>
        <v>-0.83983681703844626</v>
      </c>
    </row>
    <row r="81" spans="1:26" s="26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SUM(OSRRefD22_16x_0)</f>
        <v>0</v>
      </c>
      <c r="E81" s="1"/>
      <c r="F81" s="5">
        <f t="shared" si="79"/>
        <v>0</v>
      </c>
      <c r="G81" s="1"/>
      <c r="H81" s="1">
        <f>SUM(OSRRefH22_16x_0)</f>
        <v>0</v>
      </c>
      <c r="I81" s="1"/>
      <c r="J81" s="5">
        <f t="shared" si="80"/>
        <v>0</v>
      </c>
      <c r="K81" s="1"/>
      <c r="L81" s="1">
        <f t="shared" si="81"/>
        <v>0</v>
      </c>
      <c r="M81" s="1"/>
      <c r="N81" s="5">
        <f t="shared" si="82"/>
        <v>0</v>
      </c>
      <c r="O81" s="12"/>
      <c r="P81" s="1">
        <f>SUM(OSRRefP22_16x_0)</f>
        <v>0</v>
      </c>
      <c r="Q81" s="1"/>
      <c r="R81" s="5">
        <f t="shared" si="83"/>
        <v>0</v>
      </c>
      <c r="S81" s="1"/>
      <c r="T81" s="1">
        <f>SUM(OSRRefT22_16x_0)</f>
        <v>279.95</v>
      </c>
      <c r="U81" s="1"/>
      <c r="V81" s="5">
        <f t="shared" si="84"/>
        <v>2.6193030311113597E-4</v>
      </c>
      <c r="W81" s="1"/>
      <c r="X81" s="1">
        <f t="shared" si="85"/>
        <v>-279.95</v>
      </c>
      <c r="Y81" s="1"/>
      <c r="Z81" s="5">
        <f t="shared" si="86"/>
        <v>-1</v>
      </c>
    </row>
    <row r="82" spans="1:26" s="23" customFormat="1" hidden="1" outlineLevel="2" x14ac:dyDescent="0.25">
      <c r="A82" s="27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79"/>
        <v>0</v>
      </c>
      <c r="G82" s="2"/>
      <c r="H82" s="6"/>
      <c r="I82" s="2"/>
      <c r="J82" s="7">
        <f t="shared" si="80"/>
        <v>0</v>
      </c>
      <c r="K82" s="2"/>
      <c r="L82" s="6">
        <f t="shared" si="81"/>
        <v>0</v>
      </c>
      <c r="M82" s="2"/>
      <c r="N82" s="7">
        <f t="shared" si="82"/>
        <v>0</v>
      </c>
      <c r="O82" s="10"/>
      <c r="P82" s="6"/>
      <c r="Q82" s="2"/>
      <c r="R82" s="7">
        <f t="shared" si="83"/>
        <v>0</v>
      </c>
      <c r="S82" s="2"/>
      <c r="T82" s="6">
        <v>279.95</v>
      </c>
      <c r="U82" s="2"/>
      <c r="V82" s="7">
        <f t="shared" si="84"/>
        <v>2.6193030311113597E-4</v>
      </c>
      <c r="W82" s="2"/>
      <c r="X82" s="6">
        <f t="shared" si="85"/>
        <v>-279.95</v>
      </c>
      <c r="Y82" s="2"/>
      <c r="Z82" s="7">
        <f t="shared" si="86"/>
        <v>-1</v>
      </c>
    </row>
    <row r="83" spans="1:26" s="57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collapsed="1" x14ac:dyDescent="0.25">
      <c r="A84" s="11"/>
      <c r="B84" s="29" t="s">
        <v>292</v>
      </c>
      <c r="C84" s="11"/>
      <c r="D84" s="4">
        <f>SUM(OSRRefD25x_0)</f>
        <v>0</v>
      </c>
      <c r="E84" s="4"/>
      <c r="F84" s="13">
        <f t="shared" ref="F84:F85" si="87">IF(D$12=0,0,D84/D$12)</f>
        <v>0</v>
      </c>
      <c r="G84" s="4"/>
      <c r="H84" s="4">
        <f>SUM(OSRRefH25x_0)</f>
        <v>0</v>
      </c>
      <c r="I84" s="4"/>
      <c r="J84" s="13">
        <f t="shared" ref="J84:J85" si="88">IF(H$12=0,0,H84/H$12)</f>
        <v>0</v>
      </c>
      <c r="K84" s="4"/>
      <c r="L84" s="4">
        <f t="shared" ref="L84:L85" si="89">+D84-H84</f>
        <v>0</v>
      </c>
      <c r="M84" s="4"/>
      <c r="N84" s="13">
        <f t="shared" ref="N84:N85" si="90">IF(H84=0,0,L84/H84)</f>
        <v>0</v>
      </c>
      <c r="O84" s="11"/>
      <c r="P84" s="4">
        <f>SUM(OSRRefP25x_0)</f>
        <v>111.42</v>
      </c>
      <c r="Q84" s="4"/>
      <c r="R84" s="13">
        <f t="shared" ref="R84:R85" si="91">IF(P$12=0,0,P84/P$12)</f>
        <v>0</v>
      </c>
      <c r="S84" s="4"/>
      <c r="T84" s="4">
        <f>SUM(OSRRefT25x_0)</f>
        <v>0</v>
      </c>
      <c r="U84" s="4"/>
      <c r="V84" s="13">
        <f t="shared" ref="V84:V85" si="92">IF(T$12=0,0,T84/T$12)</f>
        <v>0</v>
      </c>
      <c r="W84" s="4"/>
      <c r="X84" s="4">
        <f t="shared" ref="X84:X85" si="93">+P84-T84</f>
        <v>111.42</v>
      </c>
      <c r="Y84" s="4"/>
      <c r="Z84" s="13">
        <f t="shared" ref="Z84:Z85" si="94">IF(T84=0,0,X84/T84)</f>
        <v>0</v>
      </c>
    </row>
    <row r="85" spans="1:26" s="23" customFormat="1" hidden="1" outlineLevel="1" x14ac:dyDescent="0.25">
      <c r="A85" s="44"/>
      <c r="B85" s="10" t="str">
        <f>CONCATENATE("          ", "9150", " - ", "MISC. INCOME")</f>
        <v xml:space="preserve">          9150 - MISC. INCOME</v>
      </c>
      <c r="C85" s="10"/>
      <c r="D85" s="2">
        <f>0</f>
        <v>0</v>
      </c>
      <c r="E85" s="2"/>
      <c r="F85" s="19">
        <f t="shared" si="87"/>
        <v>0</v>
      </c>
      <c r="G85" s="2"/>
      <c r="H85" s="2">
        <f>0</f>
        <v>0</v>
      </c>
      <c r="I85" s="2"/>
      <c r="J85" s="19">
        <f t="shared" si="88"/>
        <v>0</v>
      </c>
      <c r="K85" s="2"/>
      <c r="L85" s="2">
        <f t="shared" si="89"/>
        <v>0</v>
      </c>
      <c r="M85" s="2"/>
      <c r="N85" s="19">
        <f t="shared" si="90"/>
        <v>0</v>
      </c>
      <c r="O85" s="10"/>
      <c r="P85" s="2">
        <f>--111.42</f>
        <v>111.42</v>
      </c>
      <c r="Q85" s="2"/>
      <c r="R85" s="19">
        <f t="shared" si="91"/>
        <v>0</v>
      </c>
      <c r="S85" s="2"/>
      <c r="T85" s="2">
        <f>0</f>
        <v>0</v>
      </c>
      <c r="U85" s="2"/>
      <c r="V85" s="19">
        <f t="shared" si="92"/>
        <v>0</v>
      </c>
      <c r="W85" s="2"/>
      <c r="X85" s="2">
        <f t="shared" si="93"/>
        <v>111.42</v>
      </c>
      <c r="Y85" s="2"/>
      <c r="Z85" s="19">
        <f t="shared" si="94"/>
        <v>0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11"/>
      <c r="B87" s="28" t="s">
        <v>276</v>
      </c>
      <c r="C87" s="28"/>
      <c r="D87" s="20">
        <f>+D20-D22+D84</f>
        <v>-6925.17</v>
      </c>
      <c r="E87" s="14"/>
      <c r="F87" s="21">
        <f>IF(D$12=0,0,D87/D$12)</f>
        <v>0</v>
      </c>
      <c r="G87" s="14"/>
      <c r="H87" s="20">
        <f>+H20-H22+H84</f>
        <v>-18226.7</v>
      </c>
      <c r="I87" s="14"/>
      <c r="J87" s="21">
        <f>IF(H$12=0,0,H87/H$12)</f>
        <v>0</v>
      </c>
      <c r="K87" s="15"/>
      <c r="L87" s="20">
        <f>+D87-H87</f>
        <v>11301.53</v>
      </c>
      <c r="M87" s="15"/>
      <c r="N87" s="21">
        <f>IF(H87=0,0,L87/H87)</f>
        <v>-0.62005354781721322</v>
      </c>
      <c r="O87" s="29"/>
      <c r="P87" s="20">
        <f>+P20-P22+P84</f>
        <v>-87658.260000000009</v>
      </c>
      <c r="Q87" s="14"/>
      <c r="R87" s="21">
        <f>IF(P$12=0,0,P87/P$12)</f>
        <v>0</v>
      </c>
      <c r="S87" s="14"/>
      <c r="T87" s="20">
        <f>+T20-T22+T84</f>
        <v>111998.41000000003</v>
      </c>
      <c r="U87" s="14"/>
      <c r="V87" s="21">
        <f>IF(T$12=0,0,T87/T$12)</f>
        <v>0.10478934623777565</v>
      </c>
      <c r="W87" s="15"/>
      <c r="X87" s="20">
        <f>+P87-T87</f>
        <v>-199656.67000000004</v>
      </c>
      <c r="Y87" s="15"/>
      <c r="Z87" s="21">
        <f>IF(T87=0,0,X87/T87)</f>
        <v>-1.7826741468919067</v>
      </c>
    </row>
    <row r="88" spans="1:26" x14ac:dyDescent="0.25">
      <c r="A88" s="9"/>
      <c r="B88" s="11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51"/>
      <c r="B89" s="11" t="s">
        <v>127</v>
      </c>
      <c r="C89" s="11"/>
      <c r="D89" s="4"/>
      <c r="E89" s="4"/>
      <c r="F89" s="13">
        <f>IF(D$12=0,0,D89/D$12)</f>
        <v>0</v>
      </c>
      <c r="G89" s="4"/>
      <c r="H89" s="4">
        <v>5213.3</v>
      </c>
      <c r="I89" s="4"/>
      <c r="J89" s="13">
        <f>IF(H$12=0,0,H89/H$12)</f>
        <v>0</v>
      </c>
      <c r="K89" s="4"/>
      <c r="L89" s="4">
        <f>+D89-H89</f>
        <v>-5213.3</v>
      </c>
      <c r="M89" s="4"/>
      <c r="N89" s="13">
        <f>IF(H89=0,0,L89/H89)</f>
        <v>-1</v>
      </c>
      <c r="O89" s="11"/>
      <c r="P89" s="4"/>
      <c r="Q89" s="4"/>
      <c r="R89" s="13">
        <f>IF(P$12=0,0,P89/P$12)</f>
        <v>0</v>
      </c>
      <c r="S89" s="4"/>
      <c r="T89" s="4">
        <v>126567.41</v>
      </c>
      <c r="U89" s="4"/>
      <c r="V89" s="13">
        <f>IF(T$12=0,0,T89/T$12)</f>
        <v>0.11842057533592222</v>
      </c>
      <c r="W89" s="4"/>
      <c r="X89" s="4">
        <f>+P89-T89</f>
        <v>-126567.41</v>
      </c>
      <c r="Y89" s="4"/>
      <c r="Z89" s="13">
        <f>IF(T89=0,0,X89/T89)</f>
        <v>-1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8" t="s">
        <v>125</v>
      </c>
      <c r="C91" s="28"/>
      <c r="D91" s="35">
        <f>+D87-D89</f>
        <v>-6925.17</v>
      </c>
      <c r="E91" s="14"/>
      <c r="F91" s="36">
        <f>IF(D$12=0,0,D91/D$12)</f>
        <v>0</v>
      </c>
      <c r="G91" s="14"/>
      <c r="H91" s="35">
        <f>+H87-H89</f>
        <v>-23440</v>
      </c>
      <c r="I91" s="14"/>
      <c r="J91" s="36">
        <f>IF(H$12=0,0,H91/H$12)</f>
        <v>0</v>
      </c>
      <c r="K91" s="15"/>
      <c r="L91" s="35">
        <f>D91-H91</f>
        <v>16514.830000000002</v>
      </c>
      <c r="M91" s="15"/>
      <c r="N91" s="36">
        <f>IF(H91=0,0,L91/H91)</f>
        <v>-0.7045575938566554</v>
      </c>
      <c r="O91" s="29"/>
      <c r="P91" s="35">
        <f>+P87-P89</f>
        <v>-87658.260000000009</v>
      </c>
      <c r="Q91" s="14"/>
      <c r="R91" s="36">
        <f>IF(P$12=0,0,P91/P$12)</f>
        <v>0</v>
      </c>
      <c r="S91" s="14"/>
      <c r="T91" s="35">
        <f>+T87-T89</f>
        <v>-14568.999999999971</v>
      </c>
      <c r="U91" s="14"/>
      <c r="V91" s="36">
        <f>IF(T$12=0,0,T91/T$12)</f>
        <v>-1.3631229098146572E-2</v>
      </c>
      <c r="W91" s="15"/>
      <c r="X91" s="35">
        <f>P91-T91</f>
        <v>-73089.260000000038</v>
      </c>
      <c r="Y91" s="15"/>
      <c r="Z91" s="36">
        <f>IF(T91=0,0,X91/T91)</f>
        <v>5.0167657354657278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8" t="s">
        <v>293</v>
      </c>
      <c r="C94" s="28"/>
      <c r="D94" s="30">
        <f>SUM(D91:D93)</f>
        <v>-6925.17</v>
      </c>
      <c r="E94" s="14"/>
      <c r="F94" s="31">
        <f>IF(D$12=0,0,D94/D$12)</f>
        <v>0</v>
      </c>
      <c r="G94" s="14"/>
      <c r="H94" s="30">
        <f>SUM(H91:H93)</f>
        <v>-23440</v>
      </c>
      <c r="I94" s="14"/>
      <c r="J94" s="31">
        <f>IF(H$12=0,0,H94/H$12)</f>
        <v>0</v>
      </c>
      <c r="K94" s="15"/>
      <c r="L94" s="30">
        <f>+D94-H94</f>
        <v>16514.830000000002</v>
      </c>
      <c r="M94" s="15"/>
      <c r="N94" s="31">
        <f>IF(H94=0,0,L94/H94)</f>
        <v>-0.7045575938566554</v>
      </c>
      <c r="O94" s="29"/>
      <c r="P94" s="30">
        <f>SUM(P91:P93)</f>
        <v>-87658.260000000009</v>
      </c>
      <c r="Q94" s="14"/>
      <c r="R94" s="31">
        <f>IF(P$12=0,0,P94/P$12)</f>
        <v>0</v>
      </c>
      <c r="S94" s="14"/>
      <c r="T94" s="30">
        <f>SUM(T91:T93)</f>
        <v>-14568.999999999971</v>
      </c>
      <c r="U94" s="14"/>
      <c r="V94" s="31">
        <f>IF(T$12=0,0,T94/T$12)</f>
        <v>-1.3631229098146572E-2</v>
      </c>
      <c r="W94" s="15"/>
      <c r="X94" s="30">
        <f>+P94-T94</f>
        <v>-73089.260000000038</v>
      </c>
      <c r="Y94" s="15"/>
      <c r="Z94" s="31">
        <f>IF(T94=0,0,X94/T94)</f>
        <v>5.0167657354657278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>
        <v>44356.893348032405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2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4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","420", " - ", "Catering")</f>
        <v>Department 420 - Catering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47978.22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47978.22</v>
      </c>
      <c r="M12" s="4"/>
      <c r="N12" s="13">
        <f t="shared" ref="N12:N14" si="1">IF(H12=0,0,L12/H12)</f>
        <v>0</v>
      </c>
      <c r="O12" s="11"/>
      <c r="P12" s="4">
        <f>SUM(OSRRefP13x_0)</f>
        <v>440233.96</v>
      </c>
      <c r="Q12" s="4"/>
      <c r="R12" s="13"/>
      <c r="S12" s="4"/>
      <c r="T12" s="4">
        <f>SUM(OSRRefT13x_0)</f>
        <v>211082.08000000002</v>
      </c>
      <c r="U12" s="4"/>
      <c r="V12" s="13"/>
      <c r="W12" s="4"/>
      <c r="X12" s="4">
        <f t="shared" ref="X12:X14" si="2">+P12-T12</f>
        <v>229151.88</v>
      </c>
      <c r="Y12" s="4"/>
      <c r="Z12" s="13">
        <f t="shared" ref="Z12:Z14" si="3">IF(T12=0,0,X12/T12)</f>
        <v>1.0856055615900695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>--47978.22</f>
        <v>47978.22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47978.22</v>
      </c>
      <c r="M13" s="2"/>
      <c r="N13" s="19">
        <f t="shared" si="1"/>
        <v>0</v>
      </c>
      <c r="O13" s="10"/>
      <c r="P13" s="2">
        <f>--428653.01</f>
        <v>428653.01</v>
      </c>
      <c r="Q13" s="2"/>
      <c r="R13" s="19"/>
      <c r="S13" s="2"/>
      <c r="T13" s="2">
        <f>--210141.41</f>
        <v>210141.41</v>
      </c>
      <c r="U13" s="2"/>
      <c r="V13" s="19"/>
      <c r="W13" s="2"/>
      <c r="X13" s="2">
        <f t="shared" si="2"/>
        <v>218511.6</v>
      </c>
      <c r="Y13" s="2"/>
      <c r="Z13" s="19">
        <f t="shared" si="3"/>
        <v>1.039831226030129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--11580.95</f>
        <v>11580.95</v>
      </c>
      <c r="Q14" s="2"/>
      <c r="R14" s="19"/>
      <c r="S14" s="2"/>
      <c r="T14" s="2">
        <f>--940.67</f>
        <v>940.67</v>
      </c>
      <c r="U14" s="2"/>
      <c r="V14" s="19"/>
      <c r="W14" s="2"/>
      <c r="X14" s="2">
        <f t="shared" si="2"/>
        <v>10640.28</v>
      </c>
      <c r="Y14" s="2"/>
      <c r="Z14" s="19">
        <f t="shared" si="3"/>
        <v>11.311384438751103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0</v>
      </c>
      <c r="M16" s="4"/>
      <c r="N16" s="13">
        <f t="shared" ref="N16:N18" si="8">IF(H16=0,0,L16/H16)</f>
        <v>0</v>
      </c>
      <c r="O16" s="11"/>
      <c r="P16" s="4">
        <f>SUM(OSRRefP16x_0)</f>
        <v>0</v>
      </c>
      <c r="Q16" s="4"/>
      <c r="R16" s="13">
        <f t="shared" ref="R16:R18" si="9">IF(P$12=0,0,P16/P$12)</f>
        <v>0</v>
      </c>
      <c r="S16" s="4"/>
      <c r="T16" s="4">
        <f>SUM(OSRRefT16x_0)</f>
        <v>9795.24</v>
      </c>
      <c r="U16" s="4"/>
      <c r="V16" s="13">
        <f t="shared" ref="V16:V18" si="10">IF(T$12=0,0,T16/T$12)</f>
        <v>4.6404886667783446E-2</v>
      </c>
      <c r="W16" s="4"/>
      <c r="X16" s="4">
        <f t="shared" ref="X16:X18" si="11">+P16-T16</f>
        <v>-9795.24</v>
      </c>
      <c r="Y16" s="4"/>
      <c r="Z16" s="13">
        <f t="shared" ref="Z16:Z18" si="12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0"/>
      <c r="P17" s="2"/>
      <c r="Q17" s="2"/>
      <c r="R17" s="19">
        <f t="shared" si="9"/>
        <v>0</v>
      </c>
      <c r="S17" s="2"/>
      <c r="T17" s="2">
        <v>373.24</v>
      </c>
      <c r="U17" s="2"/>
      <c r="V17" s="19">
        <f t="shared" si="10"/>
        <v>1.7682221058272687E-3</v>
      </c>
      <c r="W17" s="2"/>
      <c r="X17" s="2">
        <f t="shared" si="11"/>
        <v>-373.24</v>
      </c>
      <c r="Y17" s="2"/>
      <c r="Z17" s="19">
        <f t="shared" si="12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0"/>
      <c r="P18" s="2"/>
      <c r="Q18" s="2"/>
      <c r="R18" s="19">
        <f t="shared" si="9"/>
        <v>0</v>
      </c>
      <c r="S18" s="2"/>
      <c r="T18" s="2">
        <v>9422</v>
      </c>
      <c r="U18" s="2"/>
      <c r="V18" s="19">
        <f t="shared" si="10"/>
        <v>4.4636664561956182E-2</v>
      </c>
      <c r="W18" s="2"/>
      <c r="X18" s="2">
        <f t="shared" si="11"/>
        <v>-9422</v>
      </c>
      <c r="Y18" s="2"/>
      <c r="Z18" s="19">
        <f t="shared" si="12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47978.22</v>
      </c>
      <c r="E20" s="14"/>
      <c r="F20" s="21">
        <f>IF(D$12=0,0,D20/D$12)</f>
        <v>1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47978.22</v>
      </c>
      <c r="M20" s="15"/>
      <c r="N20" s="21">
        <f>IF(H20=0,0,L20/H20)</f>
        <v>0</v>
      </c>
      <c r="O20" s="29"/>
      <c r="P20" s="20">
        <f>P12-P16</f>
        <v>440233.96</v>
      </c>
      <c r="Q20" s="14"/>
      <c r="R20" s="21">
        <f>IF(P$12=0,0,P20/P$12)</f>
        <v>1</v>
      </c>
      <c r="S20" s="14"/>
      <c r="T20" s="20">
        <f>T12-T16</f>
        <v>201286.84000000003</v>
      </c>
      <c r="U20" s="14"/>
      <c r="V20" s="21">
        <f>IF(T$12=0,0,T20/T$12)</f>
        <v>0.95359511333221658</v>
      </c>
      <c r="W20" s="15"/>
      <c r="X20" s="20">
        <f>+P20-T20</f>
        <v>238947.12</v>
      </c>
      <c r="Y20" s="15"/>
      <c r="Z20" s="21">
        <f>IF(T20=0,0,X20/T20)</f>
        <v>1.1870975767715364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0</v>
      </c>
      <c r="E22" s="22"/>
      <c r="F22" s="32">
        <f t="shared" ref="F22:F31" si="13">IF(D$12=0,0,D22/D$12)</f>
        <v>0</v>
      </c>
      <c r="G22" s="22"/>
      <c r="H22" s="22">
        <f>SUM(OSRRefH22x_0)</f>
        <v>0</v>
      </c>
      <c r="I22" s="22"/>
      <c r="J22" s="32">
        <f t="shared" ref="J22:J31" si="14">IF(H$12=0,0,H22/H$12)</f>
        <v>0</v>
      </c>
      <c r="K22" s="4"/>
      <c r="L22" s="22">
        <f t="shared" ref="L22:L31" si="15">+D22-H22</f>
        <v>0</v>
      </c>
      <c r="M22" s="4"/>
      <c r="N22" s="32">
        <f t="shared" ref="N22:N31" si="16">IF(H22=0,0,L22/H22)</f>
        <v>0</v>
      </c>
      <c r="O22" s="11"/>
      <c r="P22" s="22">
        <f>SUM(OSRRefP22x_0)</f>
        <v>349.08000000000004</v>
      </c>
      <c r="Q22" s="22"/>
      <c r="R22" s="32">
        <f t="shared" ref="R22:R31" si="17">IF(P$12=0,0,P22/P$12)</f>
        <v>7.9294200747257219E-4</v>
      </c>
      <c r="S22" s="22"/>
      <c r="T22" s="22">
        <f>SUM(OSRRefT22x_0)</f>
        <v>200125.53999999998</v>
      </c>
      <c r="U22" s="22"/>
      <c r="V22" s="32">
        <f t="shared" ref="V22:V31" si="18">IF(T$12=0,0,T22/T$12)</f>
        <v>0.94809346203145228</v>
      </c>
      <c r="W22" s="4"/>
      <c r="X22" s="22">
        <f t="shared" ref="X22:X31" si="19">+P22-T22</f>
        <v>-199776.46</v>
      </c>
      <c r="Y22" s="4"/>
      <c r="Z22" s="32">
        <f t="shared" ref="Z22:Z31" si="20">IF(T22=0,0,X22/T22)</f>
        <v>-0.99825569490031119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2"/>
      <c r="P23" s="1">
        <f>SUM(OSRRefP22_0x_0)</f>
        <v>7.86</v>
      </c>
      <c r="Q23" s="1"/>
      <c r="R23" s="5">
        <f t="shared" si="17"/>
        <v>1.7854142828963035E-5</v>
      </c>
      <c r="S23" s="1"/>
      <c r="T23" s="1">
        <f>SUM(OSRRefT22_0x_0)</f>
        <v>34814.620000000003</v>
      </c>
      <c r="U23" s="1"/>
      <c r="V23" s="5">
        <f t="shared" si="18"/>
        <v>0.1649340389293113</v>
      </c>
      <c r="W23" s="1"/>
      <c r="X23" s="1">
        <f t="shared" si="19"/>
        <v>-34806.76</v>
      </c>
      <c r="Y23" s="1"/>
      <c r="Z23" s="5">
        <f t="shared" si="20"/>
        <v>-0.9997742327792174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0"/>
      <c r="P24" s="6">
        <v>7.86</v>
      </c>
      <c r="Q24" s="2"/>
      <c r="R24" s="7">
        <f t="shared" si="17"/>
        <v>1.7854142828963035E-5</v>
      </c>
      <c r="S24" s="2"/>
      <c r="T24" s="6">
        <v>14309.01</v>
      </c>
      <c r="U24" s="2"/>
      <c r="V24" s="7">
        <f t="shared" si="18"/>
        <v>6.7788843088906453E-2</v>
      </c>
      <c r="W24" s="2"/>
      <c r="X24" s="6">
        <f t="shared" si="19"/>
        <v>-14301.15</v>
      </c>
      <c r="Y24" s="2"/>
      <c r="Z24" s="7">
        <f t="shared" si="20"/>
        <v>-0.99945069575043977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0"/>
      <c r="P25" s="6"/>
      <c r="Q25" s="2"/>
      <c r="R25" s="7">
        <f t="shared" si="17"/>
        <v>0</v>
      </c>
      <c r="S25" s="2"/>
      <c r="T25" s="6">
        <v>8030.89</v>
      </c>
      <c r="U25" s="2"/>
      <c r="V25" s="7">
        <f t="shared" si="18"/>
        <v>3.8046289860323525E-2</v>
      </c>
      <c r="W25" s="2"/>
      <c r="X25" s="6">
        <f t="shared" si="19"/>
        <v>-8030.89</v>
      </c>
      <c r="Y25" s="2"/>
      <c r="Z25" s="7">
        <f t="shared" si="20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0"/>
      <c r="P26" s="6"/>
      <c r="Q26" s="2"/>
      <c r="R26" s="7">
        <f t="shared" si="17"/>
        <v>0</v>
      </c>
      <c r="S26" s="2"/>
      <c r="T26" s="6">
        <v>19739.060000000001</v>
      </c>
      <c r="U26" s="2"/>
      <c r="V26" s="7">
        <f t="shared" si="18"/>
        <v>9.3513670132490637E-2</v>
      </c>
      <c r="W26" s="2"/>
      <c r="X26" s="6">
        <f t="shared" si="19"/>
        <v>-19739.060000000001</v>
      </c>
      <c r="Y26" s="2"/>
      <c r="Z26" s="7">
        <f t="shared" si="20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3"/>
        <v>0</v>
      </c>
      <c r="G27" s="2"/>
      <c r="H27" s="6"/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0"/>
      <c r="P27" s="6"/>
      <c r="Q27" s="2"/>
      <c r="R27" s="7">
        <f t="shared" si="17"/>
        <v>0</v>
      </c>
      <c r="S27" s="2"/>
      <c r="T27" s="6">
        <v>538.16</v>
      </c>
      <c r="U27" s="2"/>
      <c r="V27" s="7">
        <f t="shared" si="18"/>
        <v>2.5495295479369918E-3</v>
      </c>
      <c r="W27" s="2"/>
      <c r="X27" s="6">
        <f t="shared" si="19"/>
        <v>-538.16</v>
      </c>
      <c r="Y27" s="2"/>
      <c r="Z27" s="7">
        <f t="shared" si="20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0"/>
      <c r="P28" s="6"/>
      <c r="Q28" s="2"/>
      <c r="R28" s="7">
        <f t="shared" si="17"/>
        <v>0</v>
      </c>
      <c r="S28" s="2"/>
      <c r="T28" s="6">
        <v>10221.48</v>
      </c>
      <c r="U28" s="2"/>
      <c r="V28" s="7">
        <f t="shared" si="18"/>
        <v>4.8424195933638697E-2</v>
      </c>
      <c r="W28" s="2"/>
      <c r="X28" s="6">
        <f t="shared" si="19"/>
        <v>-10221.48</v>
      </c>
      <c r="Y28" s="2"/>
      <c r="Z28" s="7">
        <f t="shared" si="20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0"/>
      <c r="P29" s="6"/>
      <c r="Q29" s="2"/>
      <c r="R29" s="7">
        <f t="shared" si="17"/>
        <v>0</v>
      </c>
      <c r="S29" s="2"/>
      <c r="T29" s="6">
        <v>6534.07</v>
      </c>
      <c r="U29" s="2"/>
      <c r="V29" s="7">
        <f t="shared" si="18"/>
        <v>3.0955114711774676E-2</v>
      </c>
      <c r="W29" s="2"/>
      <c r="X29" s="6">
        <f t="shared" si="19"/>
        <v>-6534.07</v>
      </c>
      <c r="Y29" s="2"/>
      <c r="Z29" s="7">
        <f t="shared" si="20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0"/>
      <c r="P30" s="6"/>
      <c r="Q30" s="2"/>
      <c r="R30" s="7">
        <f t="shared" si="17"/>
        <v>0</v>
      </c>
      <c r="S30" s="2"/>
      <c r="T30" s="6">
        <v>-25661.23</v>
      </c>
      <c r="U30" s="2"/>
      <c r="V30" s="7">
        <f t="shared" si="18"/>
        <v>-0.12156991251933844</v>
      </c>
      <c r="W30" s="2"/>
      <c r="X30" s="6">
        <f t="shared" si="19"/>
        <v>25661.23</v>
      </c>
      <c r="Y30" s="2"/>
      <c r="Z30" s="7">
        <f t="shared" si="20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0"/>
      <c r="P31" s="6"/>
      <c r="Q31" s="2"/>
      <c r="R31" s="7">
        <f t="shared" si="17"/>
        <v>0</v>
      </c>
      <c r="S31" s="2"/>
      <c r="T31" s="6">
        <v>1103.18</v>
      </c>
      <c r="U31" s="2"/>
      <c r="V31" s="7">
        <f t="shared" si="18"/>
        <v>5.2263081735787328E-3</v>
      </c>
      <c r="W31" s="2"/>
      <c r="X31" s="6">
        <f t="shared" si="19"/>
        <v>-1103.18</v>
      </c>
      <c r="Y31" s="2"/>
      <c r="Z31" s="7">
        <f t="shared" si="20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2"/>
      <c r="P32" s="1">
        <f>SUM(OSRRefP22_1x_0)</f>
        <v>0</v>
      </c>
      <c r="Q32" s="1"/>
      <c r="R32" s="5">
        <f t="shared" ref="R32:R36" si="25">IF(P$12=0,0,P32/P$12)</f>
        <v>0</v>
      </c>
      <c r="S32" s="1"/>
      <c r="T32" s="1">
        <f>SUM(OSRRefT22_1x_0)</f>
        <v>160569.98000000001</v>
      </c>
      <c r="U32" s="1"/>
      <c r="V32" s="5">
        <f t="shared" ref="V32:V36" si="26">IF(T$12=0,0,T32/T$12)</f>
        <v>0.76069925026321517</v>
      </c>
      <c r="W32" s="1"/>
      <c r="X32" s="1">
        <f t="shared" ref="X32:X36" si="27">+P32-T32</f>
        <v>-160569.98000000001</v>
      </c>
      <c r="Y32" s="1"/>
      <c r="Z32" s="5">
        <f t="shared" ref="Z32:Z36" si="28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0"/>
      <c r="P33" s="6"/>
      <c r="Q33" s="2"/>
      <c r="R33" s="7">
        <f t="shared" si="25"/>
        <v>0</v>
      </c>
      <c r="S33" s="2"/>
      <c r="T33" s="6">
        <v>113004.92</v>
      </c>
      <c r="U33" s="2"/>
      <c r="V33" s="7">
        <f t="shared" si="26"/>
        <v>0.53536008362244669</v>
      </c>
      <c r="W33" s="2"/>
      <c r="X33" s="6">
        <f t="shared" si="27"/>
        <v>-113004.92</v>
      </c>
      <c r="Y33" s="2"/>
      <c r="Z33" s="7">
        <f t="shared" si="28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0"/>
      <c r="P34" s="6"/>
      <c r="Q34" s="2"/>
      <c r="R34" s="7">
        <f t="shared" si="25"/>
        <v>0</v>
      </c>
      <c r="S34" s="2"/>
      <c r="T34" s="6">
        <v>18036.650000000001</v>
      </c>
      <c r="U34" s="2"/>
      <c r="V34" s="7">
        <f t="shared" si="26"/>
        <v>8.5448513677712487E-2</v>
      </c>
      <c r="W34" s="2"/>
      <c r="X34" s="6">
        <f t="shared" si="27"/>
        <v>-18036.650000000001</v>
      </c>
      <c r="Y34" s="2"/>
      <c r="Z34" s="7">
        <f t="shared" si="28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0"/>
      <c r="P35" s="6"/>
      <c r="Q35" s="2"/>
      <c r="R35" s="7">
        <f t="shared" si="25"/>
        <v>0</v>
      </c>
      <c r="S35" s="2"/>
      <c r="T35" s="6">
        <v>25720.959999999999</v>
      </c>
      <c r="U35" s="2"/>
      <c r="V35" s="7">
        <f t="shared" si="26"/>
        <v>0.12185288301119639</v>
      </c>
      <c r="W35" s="2"/>
      <c r="X35" s="6">
        <f t="shared" si="27"/>
        <v>-25720.959999999999</v>
      </c>
      <c r="Y35" s="2"/>
      <c r="Z35" s="7">
        <f t="shared" si="28"/>
        <v>-1</v>
      </c>
    </row>
    <row r="36" spans="1:26" s="23" customFormat="1" hidden="1" outlineLevel="2" x14ac:dyDescent="0.25">
      <c r="A36" s="27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3807.45</v>
      </c>
      <c r="U36" s="2"/>
      <c r="V36" s="7">
        <f t="shared" si="26"/>
        <v>1.8037769951859482E-2</v>
      </c>
      <c r="W36" s="2"/>
      <c r="X36" s="6">
        <f t="shared" si="27"/>
        <v>-3807.45</v>
      </c>
      <c r="Y36" s="2"/>
      <c r="Z36" s="7">
        <f t="shared" si="28"/>
        <v>-1</v>
      </c>
    </row>
    <row r="37" spans="1:26" s="26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2"/>
      <c r="P37" s="1">
        <f>SUM(OSRRefP22_2x_0)</f>
        <v>0</v>
      </c>
      <c r="Q37" s="1"/>
      <c r="R37" s="5">
        <f t="shared" ref="R37:R47" si="33">IF(P$12=0,0,P37/P$12)</f>
        <v>0</v>
      </c>
      <c r="S37" s="1"/>
      <c r="T37" s="1">
        <f>SUM(OSRRefT22_2x_0)</f>
        <v>500</v>
      </c>
      <c r="U37" s="1"/>
      <c r="V37" s="5">
        <f t="shared" ref="V37:V47" si="34">IF(T$12=0,0,T37/T$12)</f>
        <v>2.3687467927168424E-3</v>
      </c>
      <c r="W37" s="1"/>
      <c r="X37" s="1">
        <f t="shared" ref="X37:X47" si="35">+P37-T37</f>
        <v>-500</v>
      </c>
      <c r="Y37" s="1"/>
      <c r="Z37" s="5">
        <f t="shared" ref="Z37:Z47" si="36">IF(T37=0,0,X37/T37)</f>
        <v>-1</v>
      </c>
    </row>
    <row r="38" spans="1:26" s="23" customFormat="1" hidden="1" outlineLevel="2" x14ac:dyDescent="0.25">
      <c r="A38" s="27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29"/>
        <v>0</v>
      </c>
      <c r="G38" s="2"/>
      <c r="H38" s="6"/>
      <c r="I38" s="2"/>
      <c r="J38" s="7">
        <f t="shared" si="30"/>
        <v>0</v>
      </c>
      <c r="K38" s="2"/>
      <c r="L38" s="6">
        <f t="shared" si="31"/>
        <v>0</v>
      </c>
      <c r="M38" s="2"/>
      <c r="N38" s="7">
        <f t="shared" si="32"/>
        <v>0</v>
      </c>
      <c r="O38" s="10"/>
      <c r="P38" s="6"/>
      <c r="Q38" s="2"/>
      <c r="R38" s="7">
        <f t="shared" si="33"/>
        <v>0</v>
      </c>
      <c r="S38" s="2"/>
      <c r="T38" s="6">
        <v>500</v>
      </c>
      <c r="U38" s="2"/>
      <c r="V38" s="7">
        <f t="shared" si="34"/>
        <v>2.3687467927168424E-3</v>
      </c>
      <c r="W38" s="2"/>
      <c r="X38" s="6">
        <f t="shared" si="35"/>
        <v>-500</v>
      </c>
      <c r="Y38" s="2"/>
      <c r="Z38" s="7">
        <f t="shared" si="36"/>
        <v>-1</v>
      </c>
    </row>
    <row r="39" spans="1:26" s="26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2"/>
      <c r="P39" s="1">
        <f>SUM(OSRRefP22_3x_0)</f>
        <v>0</v>
      </c>
      <c r="Q39" s="1"/>
      <c r="R39" s="5">
        <f t="shared" si="33"/>
        <v>0</v>
      </c>
      <c r="S39" s="1"/>
      <c r="T39" s="1">
        <f>SUM(OSRRefT22_3x_0)</f>
        <v>-1.98</v>
      </c>
      <c r="U39" s="1"/>
      <c r="V39" s="5">
        <f t="shared" si="34"/>
        <v>-9.3802372991586962E-6</v>
      </c>
      <c r="W39" s="1"/>
      <c r="X39" s="1">
        <f t="shared" si="35"/>
        <v>1.98</v>
      </c>
      <c r="Y39" s="1"/>
      <c r="Z39" s="5">
        <f t="shared" si="36"/>
        <v>-1</v>
      </c>
    </row>
    <row r="40" spans="1:26" s="23" customFormat="1" hidden="1" outlineLevel="2" x14ac:dyDescent="0.25">
      <c r="A40" s="27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29"/>
        <v>0</v>
      </c>
      <c r="G40" s="2"/>
      <c r="H40" s="6"/>
      <c r="I40" s="2"/>
      <c r="J40" s="7">
        <f t="shared" si="30"/>
        <v>0</v>
      </c>
      <c r="K40" s="2"/>
      <c r="L40" s="6">
        <f t="shared" si="31"/>
        <v>0</v>
      </c>
      <c r="M40" s="2"/>
      <c r="N40" s="7">
        <f t="shared" si="32"/>
        <v>0</v>
      </c>
      <c r="O40" s="10"/>
      <c r="P40" s="6"/>
      <c r="Q40" s="2"/>
      <c r="R40" s="7">
        <f t="shared" si="33"/>
        <v>0</v>
      </c>
      <c r="S40" s="2"/>
      <c r="T40" s="6">
        <v>-1.98</v>
      </c>
      <c r="U40" s="2"/>
      <c r="V40" s="7">
        <f t="shared" si="34"/>
        <v>-9.3802372991586962E-6</v>
      </c>
      <c r="W40" s="2"/>
      <c r="X40" s="6">
        <f t="shared" si="35"/>
        <v>1.98</v>
      </c>
      <c r="Y40" s="2"/>
      <c r="Z40" s="7">
        <f t="shared" si="36"/>
        <v>-1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2"/>
      <c r="P41" s="1">
        <f>SUM(OSRRefP22_4x_0)</f>
        <v>0</v>
      </c>
      <c r="Q41" s="1"/>
      <c r="R41" s="5">
        <f t="shared" si="33"/>
        <v>0</v>
      </c>
      <c r="S41" s="1"/>
      <c r="T41" s="1">
        <f>SUM(OSRRefT22_4x_0)</f>
        <v>685.09</v>
      </c>
      <c r="U41" s="1"/>
      <c r="V41" s="5">
        <f t="shared" si="34"/>
        <v>3.2456094804447634E-3</v>
      </c>
      <c r="W41" s="1"/>
      <c r="X41" s="1">
        <f t="shared" si="35"/>
        <v>-685.09</v>
      </c>
      <c r="Y41" s="1"/>
      <c r="Z41" s="5">
        <f t="shared" si="36"/>
        <v>-1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0"/>
      <c r="P42" s="6"/>
      <c r="Q42" s="2"/>
      <c r="R42" s="7">
        <f t="shared" si="33"/>
        <v>0</v>
      </c>
      <c r="S42" s="2"/>
      <c r="T42" s="6">
        <v>685.09</v>
      </c>
      <c r="U42" s="2"/>
      <c r="V42" s="7">
        <f t="shared" si="34"/>
        <v>3.2456094804447634E-3</v>
      </c>
      <c r="W42" s="2"/>
      <c r="X42" s="6">
        <f t="shared" si="35"/>
        <v>-685.09</v>
      </c>
      <c r="Y42" s="2"/>
      <c r="Z42" s="7">
        <f t="shared" si="36"/>
        <v>-1</v>
      </c>
    </row>
    <row r="43" spans="1:26" s="26" customFormat="1" outlineLevel="1" collapsed="1" x14ac:dyDescent="0.25">
      <c r="A43" s="25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SUM(OSRRefP22_5x_0)</f>
        <v>341.22</v>
      </c>
      <c r="Q43" s="1"/>
      <c r="R43" s="5">
        <f t="shared" si="33"/>
        <v>7.7508786464360903E-4</v>
      </c>
      <c r="S43" s="1"/>
      <c r="T43" s="1">
        <f>SUM(OSRRefT22_5x_0)</f>
        <v>1151.21</v>
      </c>
      <c r="U43" s="1"/>
      <c r="V43" s="5">
        <f t="shared" si="34"/>
        <v>5.4538499904871127E-3</v>
      </c>
      <c r="W43" s="1"/>
      <c r="X43" s="1">
        <f t="shared" si="35"/>
        <v>-809.99</v>
      </c>
      <c r="Y43" s="1"/>
      <c r="Z43" s="5">
        <f t="shared" si="36"/>
        <v>-0.70359882210891145</v>
      </c>
    </row>
    <row r="44" spans="1:26" s="23" customFormat="1" hidden="1" outlineLevel="2" x14ac:dyDescent="0.25">
      <c r="A44" s="27"/>
      <c r="B44" s="10" t="str">
        <f>CONCATENATE("          ", "6375", " - ", "OUTSIDE REPAIRS &amp; MAINTENANCE")</f>
        <v xml:space="preserve">          6375 - OUTSIDE REPAIRS &amp; MAINTENANCE</v>
      </c>
      <c r="C44" s="10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0"/>
      <c r="P44" s="6">
        <v>341.22</v>
      </c>
      <c r="Q44" s="2"/>
      <c r="R44" s="7">
        <f t="shared" si="33"/>
        <v>7.7508786464360903E-4</v>
      </c>
      <c r="S44" s="2"/>
      <c r="T44" s="6">
        <v>1151.21</v>
      </c>
      <c r="U44" s="2"/>
      <c r="V44" s="7">
        <f t="shared" si="34"/>
        <v>5.4538499904871127E-3</v>
      </c>
      <c r="W44" s="2"/>
      <c r="X44" s="6">
        <f t="shared" si="35"/>
        <v>-809.99</v>
      </c>
      <c r="Y44" s="2"/>
      <c r="Z44" s="7">
        <f t="shared" si="36"/>
        <v>-0.70359882210891145</v>
      </c>
    </row>
    <row r="45" spans="1:26" s="26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0</v>
      </c>
      <c r="Q45" s="1"/>
      <c r="R45" s="5">
        <f t="shared" si="33"/>
        <v>0</v>
      </c>
      <c r="S45" s="1"/>
      <c r="T45" s="1">
        <f>SUM(OSRRefT22_6x_0)</f>
        <v>1137.47</v>
      </c>
      <c r="U45" s="1"/>
      <c r="V45" s="5">
        <f t="shared" si="34"/>
        <v>5.388756828623254E-3</v>
      </c>
      <c r="W45" s="1"/>
      <c r="X45" s="1">
        <f t="shared" si="35"/>
        <v>-1137.47</v>
      </c>
      <c r="Y45" s="1"/>
      <c r="Z45" s="5">
        <f t="shared" si="36"/>
        <v>-1</v>
      </c>
    </row>
    <row r="46" spans="1:26" s="23" customFormat="1" hidden="1" outlineLevel="2" x14ac:dyDescent="0.25">
      <c r="A46" s="27"/>
      <c r="B46" s="10" t="str">
        <f>CONCATENATE("          ", "6241", " - ", "OFFICE EXPENSE")</f>
        <v xml:space="preserve">          6241 - OFFICE EXPENSE</v>
      </c>
      <c r="C46" s="10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0"/>
      <c r="P46" s="6"/>
      <c r="Q46" s="2"/>
      <c r="R46" s="7">
        <f t="shared" si="33"/>
        <v>0</v>
      </c>
      <c r="S46" s="2"/>
      <c r="T46" s="6">
        <v>914.08</v>
      </c>
      <c r="U46" s="2"/>
      <c r="V46" s="7">
        <f t="shared" si="34"/>
        <v>4.330448136573223E-3</v>
      </c>
      <c r="W46" s="2"/>
      <c r="X46" s="6">
        <f t="shared" si="35"/>
        <v>-914.08</v>
      </c>
      <c r="Y46" s="2"/>
      <c r="Z46" s="7">
        <f t="shared" si="36"/>
        <v>-1</v>
      </c>
    </row>
    <row r="47" spans="1:26" s="23" customFormat="1" hidden="1" outlineLevel="2" x14ac:dyDescent="0.25">
      <c r="A47" s="27"/>
      <c r="B47" s="10" t="str">
        <f>CONCATENATE("          ", "6247", " - ", "STORE SUPPLIES")</f>
        <v xml:space="preserve">          6247 - STORE SUPPLIES</v>
      </c>
      <c r="C47" s="10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0"/>
      <c r="P47" s="6"/>
      <c r="Q47" s="2"/>
      <c r="R47" s="7">
        <f t="shared" si="33"/>
        <v>0</v>
      </c>
      <c r="S47" s="2"/>
      <c r="T47" s="6">
        <v>223.39</v>
      </c>
      <c r="U47" s="2"/>
      <c r="V47" s="7">
        <f t="shared" si="34"/>
        <v>1.0583086920500308E-3</v>
      </c>
      <c r="W47" s="2"/>
      <c r="X47" s="6">
        <f t="shared" si="35"/>
        <v>-223.39</v>
      </c>
      <c r="Y47" s="2"/>
      <c r="Z47" s="7">
        <f t="shared" si="36"/>
        <v>-1</v>
      </c>
    </row>
    <row r="48" spans="1:26" s="26" customFormat="1" outlineLevel="1" collapsed="1" x14ac:dyDescent="0.25">
      <c r="A48" s="25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2"/>
      <c r="P48" s="1">
        <f>SUM(OSRRefP22_7x_0)</f>
        <v>0</v>
      </c>
      <c r="Q48" s="1"/>
      <c r="R48" s="5">
        <f t="shared" ref="R48:R49" si="41">IF(P$12=0,0,P48/P$12)</f>
        <v>0</v>
      </c>
      <c r="S48" s="1"/>
      <c r="T48" s="1">
        <f>SUM(OSRRefT22_7x_0)</f>
        <v>1269.1500000000001</v>
      </c>
      <c r="U48" s="1"/>
      <c r="V48" s="5">
        <f t="shared" ref="V48:V49" si="42">IF(T$12=0,0,T48/T$12)</f>
        <v>6.0125899839531616E-3</v>
      </c>
      <c r="W48" s="1"/>
      <c r="X48" s="1">
        <f t="shared" ref="X48:X49" si="43">+P48-T48</f>
        <v>-1269.1500000000001</v>
      </c>
      <c r="Y48" s="1"/>
      <c r="Z48" s="5">
        <f t="shared" ref="Z48:Z49" si="44">IF(T48=0,0,X48/T48)</f>
        <v>-1</v>
      </c>
    </row>
    <row r="49" spans="1:26" s="23" customFormat="1" hidden="1" outlineLevel="2" x14ac:dyDescent="0.25">
      <c r="A49" s="27"/>
      <c r="B49" s="10" t="str">
        <f>CONCATENATE("          ", "6292", " - ", "TRAVEL/CONFERENCE")</f>
        <v xml:space="preserve">          6292 - TRAVEL/CONFERENCE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/>
      <c r="Q49" s="2"/>
      <c r="R49" s="7">
        <f t="shared" si="41"/>
        <v>0</v>
      </c>
      <c r="S49" s="2"/>
      <c r="T49" s="6">
        <v>1269.1500000000001</v>
      </c>
      <c r="U49" s="2"/>
      <c r="V49" s="7">
        <f t="shared" si="42"/>
        <v>6.0125899839531616E-3</v>
      </c>
      <c r="W49" s="2"/>
      <c r="X49" s="6">
        <f t="shared" si="43"/>
        <v>-1269.1500000000001</v>
      </c>
      <c r="Y49" s="2"/>
      <c r="Z49" s="7">
        <f t="shared" si="44"/>
        <v>-1</v>
      </c>
    </row>
    <row r="50" spans="1:26" s="57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4" customFormat="1" x14ac:dyDescent="0.25">
      <c r="A51" s="11"/>
      <c r="B51" s="29" t="s">
        <v>292</v>
      </c>
      <c r="C51" s="11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1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1"/>
      <c r="C52" s="11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1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11"/>
      <c r="B53" s="28" t="s">
        <v>276</v>
      </c>
      <c r="C53" s="28"/>
      <c r="D53" s="20">
        <f>+D20-D22+D51</f>
        <v>47978.22</v>
      </c>
      <c r="E53" s="14"/>
      <c r="F53" s="21">
        <f>IF(D$12=0,0,D53/D$12)</f>
        <v>1</v>
      </c>
      <c r="G53" s="14"/>
      <c r="H53" s="20">
        <f>+H20-H22+H51</f>
        <v>0</v>
      </c>
      <c r="I53" s="14"/>
      <c r="J53" s="21">
        <f>IF(H$12=0,0,H53/H$12)</f>
        <v>0</v>
      </c>
      <c r="K53" s="15"/>
      <c r="L53" s="20">
        <f>+D53-H53</f>
        <v>47978.22</v>
      </c>
      <c r="M53" s="15"/>
      <c r="N53" s="21">
        <f>IF(H53=0,0,L53/H53)</f>
        <v>0</v>
      </c>
      <c r="O53" s="29"/>
      <c r="P53" s="20">
        <f>+P20-P22+P51</f>
        <v>439884.88</v>
      </c>
      <c r="Q53" s="14"/>
      <c r="R53" s="21">
        <f>IF(P$12=0,0,P53/P$12)</f>
        <v>0.9992070579925274</v>
      </c>
      <c r="S53" s="14"/>
      <c r="T53" s="20">
        <f>+T20-T22+T51</f>
        <v>1161.3000000000466</v>
      </c>
      <c r="U53" s="14"/>
      <c r="V53" s="21">
        <f>IF(T$12=0,0,T53/T$12)</f>
        <v>5.5016513007643594E-3</v>
      </c>
      <c r="W53" s="15"/>
      <c r="X53" s="20">
        <f>+P53-T53</f>
        <v>438723.57999999996</v>
      </c>
      <c r="Y53" s="15"/>
      <c r="Z53" s="21">
        <f>IF(T53=0,0,X53/T53)</f>
        <v>377.78660122275238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x14ac:dyDescent="0.25">
      <c r="A55" s="51"/>
      <c r="B55" s="11" t="s">
        <v>127</v>
      </c>
      <c r="C55" s="11"/>
      <c r="D55" s="4">
        <v>12012.33</v>
      </c>
      <c r="E55" s="4"/>
      <c r="F55" s="13">
        <f>IF(D$12=0,0,D55/D$12)</f>
        <v>0.25037048060557476</v>
      </c>
      <c r="G55" s="4"/>
      <c r="H55" s="4">
        <v>1029.5999999999999</v>
      </c>
      <c r="I55" s="4"/>
      <c r="J55" s="13">
        <f>IF(H$12=0,0,H55/H$12)</f>
        <v>0</v>
      </c>
      <c r="K55" s="4"/>
      <c r="L55" s="4">
        <f>+D55-H55</f>
        <v>10982.73</v>
      </c>
      <c r="M55" s="4"/>
      <c r="N55" s="13">
        <f>IF(H55=0,0,L55/H55)</f>
        <v>10.66698717948718</v>
      </c>
      <c r="O55" s="11"/>
      <c r="P55" s="4">
        <v>94073.82</v>
      </c>
      <c r="Q55" s="4"/>
      <c r="R55" s="13">
        <f>IF(P$12=0,0,P55/P$12)</f>
        <v>0.21369051129085997</v>
      </c>
      <c r="S55" s="4"/>
      <c r="T55" s="4">
        <v>24996.46</v>
      </c>
      <c r="U55" s="4"/>
      <c r="V55" s="13">
        <f>IF(T$12=0,0,T55/T$12)</f>
        <v>0.11842056890854968</v>
      </c>
      <c r="W55" s="4"/>
      <c r="X55" s="4">
        <f>+P55-T55</f>
        <v>69077.360000000015</v>
      </c>
      <c r="Y55" s="4"/>
      <c r="Z55" s="13">
        <f>IF(T55=0,0,X55/T55)</f>
        <v>2.7634857095764769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ht="15.75" thickBot="1" x14ac:dyDescent="0.3">
      <c r="A57" s="11"/>
      <c r="B57" s="28" t="s">
        <v>125</v>
      </c>
      <c r="C57" s="28"/>
      <c r="D57" s="35">
        <f>+D53-D55</f>
        <v>35965.89</v>
      </c>
      <c r="E57" s="14"/>
      <c r="F57" s="36">
        <f>IF(D$12=0,0,D57/D$12)</f>
        <v>0.74962951939442524</v>
      </c>
      <c r="G57" s="14"/>
      <c r="H57" s="35">
        <f>+H53-H55</f>
        <v>-1029.5999999999999</v>
      </c>
      <c r="I57" s="14"/>
      <c r="J57" s="36">
        <f>IF(H$12=0,0,H57/H$12)</f>
        <v>0</v>
      </c>
      <c r="K57" s="15"/>
      <c r="L57" s="35">
        <f>D57-H57</f>
        <v>36995.49</v>
      </c>
      <c r="M57" s="15"/>
      <c r="N57" s="36">
        <f>IF(H57=0,0,L57/H57)</f>
        <v>-35.931905594405599</v>
      </c>
      <c r="O57" s="29"/>
      <c r="P57" s="35">
        <f>+P53-P55</f>
        <v>345811.06</v>
      </c>
      <c r="Q57" s="14"/>
      <c r="R57" s="36">
        <f>IF(P$12=0,0,P57/P$12)</f>
        <v>0.78551654670166737</v>
      </c>
      <c r="S57" s="14"/>
      <c r="T57" s="35">
        <f>+T53-T55</f>
        <v>-23835.159999999953</v>
      </c>
      <c r="U57" s="14"/>
      <c r="V57" s="36">
        <f>IF(T$12=0,0,T57/T$12)</f>
        <v>-0.11291891760778533</v>
      </c>
      <c r="W57" s="15"/>
      <c r="X57" s="35">
        <f>P57-T57</f>
        <v>369646.22</v>
      </c>
      <c r="Y57" s="15"/>
      <c r="Z57" s="36">
        <f>IF(T57=0,0,X57/T57)</f>
        <v>-15.508442989264628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ht="15.75" thickBot="1" x14ac:dyDescent="0.3">
      <c r="A60" s="11"/>
      <c r="B60" s="28" t="s">
        <v>293</v>
      </c>
      <c r="C60" s="28"/>
      <c r="D60" s="30">
        <f>SUM(D57:D59)</f>
        <v>35965.89</v>
      </c>
      <c r="E60" s="14"/>
      <c r="F60" s="31">
        <f>IF(D$12=0,0,D60/D$12)</f>
        <v>0.74962951939442524</v>
      </c>
      <c r="G60" s="14"/>
      <c r="H60" s="30">
        <f>SUM(H57:H59)</f>
        <v>-1029.5999999999999</v>
      </c>
      <c r="I60" s="14"/>
      <c r="J60" s="31">
        <f>IF(H$12=0,0,H60/H$12)</f>
        <v>0</v>
      </c>
      <c r="K60" s="15"/>
      <c r="L60" s="30">
        <f>+D60-H60</f>
        <v>36995.49</v>
      </c>
      <c r="M60" s="15"/>
      <c r="N60" s="31">
        <f>IF(H60=0,0,L60/H60)</f>
        <v>-35.931905594405599</v>
      </c>
      <c r="O60" s="29"/>
      <c r="P60" s="30">
        <f>SUM(P57:P59)</f>
        <v>345811.06</v>
      </c>
      <c r="Q60" s="14"/>
      <c r="R60" s="31">
        <f>IF(P$12=0,0,P60/P$12)</f>
        <v>0.78551654670166737</v>
      </c>
      <c r="S60" s="14"/>
      <c r="T60" s="30">
        <f>SUM(T57:T59)</f>
        <v>-23835.159999999953</v>
      </c>
      <c r="U60" s="14"/>
      <c r="V60" s="31">
        <f>IF(T$12=0,0,T60/T$12)</f>
        <v>-0.11291891760778533</v>
      </c>
      <c r="W60" s="15"/>
      <c r="X60" s="30">
        <f>+P60-T60</f>
        <v>369646.22</v>
      </c>
      <c r="Y60" s="15"/>
      <c r="Z60" s="31">
        <f>IF(T60=0,0,X60/T60)</f>
        <v>-15.508442989264628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9">
        <v>44356.893348032405</v>
      </c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A63" s="9"/>
      <c r="B63" s="52" t="s">
        <v>56</v>
      </c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4"/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4:24" x14ac:dyDescent="0.25"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","423", " - ", "Contract/Vending Revenue")</f>
        <v>Department 423 - Contract/Vending Revenue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9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-729.38</v>
      </c>
      <c r="U14" s="4"/>
      <c r="V14" s="13">
        <f t="shared" ref="V14:V15" si="5">IF(T$12=0,0,T14/T$12)</f>
        <v>0</v>
      </c>
      <c r="W14" s="4"/>
      <c r="X14" s="4">
        <f t="shared" ref="X14:X15" si="6">+P14-T14</f>
        <v>729.38</v>
      </c>
      <c r="Y14" s="4"/>
      <c r="Z14" s="13">
        <f t="shared" ref="Z14:Z15" si="7">IF(T14=0,0,X14/T14)</f>
        <v>-1</v>
      </c>
    </row>
    <row r="15" spans="1:26" s="23" customFormat="1" hidden="1" outlineLevel="1" x14ac:dyDescent="0.25">
      <c r="A15" s="44"/>
      <c r="B15" s="10" t="str">
        <f>CONCATENATE("          ", "5053", " - ", "PURCHASES @ COST-FOOD")</f>
        <v xml:space="preserve">          5053 - PURCHASES @ COST-FOOD</v>
      </c>
      <c r="C15" s="10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/>
      <c r="Q15" s="2"/>
      <c r="R15" s="19">
        <f t="shared" si="4"/>
        <v>0</v>
      </c>
      <c r="S15" s="2"/>
      <c r="T15" s="2">
        <v>-729.38</v>
      </c>
      <c r="U15" s="2"/>
      <c r="V15" s="19">
        <f t="shared" si="5"/>
        <v>0</v>
      </c>
      <c r="W15" s="2"/>
      <c r="X15" s="2">
        <f t="shared" si="6"/>
        <v>729.38</v>
      </c>
      <c r="Y15" s="2"/>
      <c r="Z15" s="19">
        <f t="shared" si="7"/>
        <v>-1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P12-P14</f>
        <v>0</v>
      </c>
      <c r="Q17" s="14"/>
      <c r="R17" s="21">
        <f>IF(P$12=0,0,P17/P$12)</f>
        <v>0</v>
      </c>
      <c r="S17" s="14"/>
      <c r="T17" s="20">
        <f>T12-T14</f>
        <v>729.38</v>
      </c>
      <c r="U17" s="14"/>
      <c r="V17" s="21">
        <f>IF(T$12=0,0,T17/T$12)</f>
        <v>0</v>
      </c>
      <c r="W17" s="15"/>
      <c r="X17" s="20">
        <f>+P17-T17</f>
        <v>-729.38</v>
      </c>
      <c r="Y17" s="15"/>
      <c r="Z17" s="21">
        <f>IF(T17=0,0,X17/T17)</f>
        <v>-1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2">
        <f>SUM(OSRRefD22x_0)</f>
        <v>36</v>
      </c>
      <c r="E19" s="22"/>
      <c r="F19" s="32">
        <f t="shared" ref="F19:F28" si="8">IF(D$12=0,0,D19/D$12)</f>
        <v>0</v>
      </c>
      <c r="G19" s="22"/>
      <c r="H19" s="22">
        <f>SUM(OSRRefH22x_0)</f>
        <v>15392.11</v>
      </c>
      <c r="I19" s="22"/>
      <c r="J19" s="32">
        <f t="shared" ref="J19:J28" si="9">IF(H$12=0,0,H19/H$12)</f>
        <v>0</v>
      </c>
      <c r="K19" s="4"/>
      <c r="L19" s="22">
        <f t="shared" ref="L19:L28" si="10">+D19-H19</f>
        <v>-15356.11</v>
      </c>
      <c r="M19" s="4"/>
      <c r="N19" s="32">
        <f t="shared" ref="N19:N28" si="11">IF(H19=0,0,L19/H19)</f>
        <v>-0.99766113937595302</v>
      </c>
      <c r="O19" s="11"/>
      <c r="P19" s="22">
        <f>SUM(OSRRefP22x_0)</f>
        <v>3216.9900000000002</v>
      </c>
      <c r="Q19" s="22"/>
      <c r="R19" s="32">
        <f t="shared" ref="R19:R28" si="12">IF(P$12=0,0,P19/P$12)</f>
        <v>0</v>
      </c>
      <c r="S19" s="22"/>
      <c r="T19" s="22">
        <f>SUM(OSRRefT22x_0)</f>
        <v>152120.79999999999</v>
      </c>
      <c r="U19" s="22"/>
      <c r="V19" s="32">
        <f t="shared" ref="V19:V28" si="13">IF(T$12=0,0,T19/T$12)</f>
        <v>0</v>
      </c>
      <c r="W19" s="4"/>
      <c r="X19" s="22">
        <f t="shared" ref="X19:X28" si="14">+P19-T19</f>
        <v>-148903.81</v>
      </c>
      <c r="Y19" s="4"/>
      <c r="Z19" s="32">
        <f t="shared" ref="Z19:Z28" si="15">IF(T19=0,0,X19/T19)</f>
        <v>-0.97885239888299302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5487.1100000000006</v>
      </c>
      <c r="I20" s="1"/>
      <c r="J20" s="5">
        <f t="shared" si="9"/>
        <v>0</v>
      </c>
      <c r="K20" s="1"/>
      <c r="L20" s="1">
        <f t="shared" si="10"/>
        <v>-5487.1100000000006</v>
      </c>
      <c r="M20" s="1"/>
      <c r="N20" s="5">
        <f t="shared" si="11"/>
        <v>-1</v>
      </c>
      <c r="O20" s="12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64224.45</v>
      </c>
      <c r="U20" s="1"/>
      <c r="V20" s="5">
        <f t="shared" si="13"/>
        <v>0</v>
      </c>
      <c r="W20" s="1"/>
      <c r="X20" s="1">
        <f t="shared" si="14"/>
        <v>-61745.719999999994</v>
      </c>
      <c r="Y20" s="1"/>
      <c r="Z20" s="5">
        <f t="shared" si="15"/>
        <v>-0.96140519693045245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/>
      <c r="E21" s="2"/>
      <c r="F21" s="7">
        <f t="shared" si="8"/>
        <v>0</v>
      </c>
      <c r="G21" s="2"/>
      <c r="H21" s="6">
        <v>846.8</v>
      </c>
      <c r="I21" s="2"/>
      <c r="J21" s="7">
        <f t="shared" si="9"/>
        <v>0</v>
      </c>
      <c r="K21" s="2"/>
      <c r="L21" s="6">
        <f t="shared" si="10"/>
        <v>-846.8</v>
      </c>
      <c r="M21" s="2"/>
      <c r="N21" s="7">
        <f t="shared" si="11"/>
        <v>-1</v>
      </c>
      <c r="O21" s="10"/>
      <c r="P21" s="6"/>
      <c r="Q21" s="2"/>
      <c r="R21" s="7">
        <f t="shared" si="12"/>
        <v>0</v>
      </c>
      <c r="S21" s="2"/>
      <c r="T21" s="6">
        <v>7522.95</v>
      </c>
      <c r="U21" s="2"/>
      <c r="V21" s="7">
        <f t="shared" si="13"/>
        <v>0</v>
      </c>
      <c r="W21" s="2"/>
      <c r="X21" s="6">
        <f t="shared" si="14"/>
        <v>-7522.95</v>
      </c>
      <c r="Y21" s="2"/>
      <c r="Z21" s="7">
        <f t="shared" si="15"/>
        <v>-1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/>
      <c r="E22" s="2"/>
      <c r="F22" s="7">
        <f t="shared" si="8"/>
        <v>0</v>
      </c>
      <c r="G22" s="2"/>
      <c r="H22" s="6">
        <v>56.45</v>
      </c>
      <c r="I22" s="2"/>
      <c r="J22" s="7">
        <f t="shared" si="9"/>
        <v>0</v>
      </c>
      <c r="K22" s="2"/>
      <c r="L22" s="6">
        <f t="shared" si="10"/>
        <v>-56.45</v>
      </c>
      <c r="M22" s="2"/>
      <c r="N22" s="7">
        <f t="shared" si="11"/>
        <v>-1</v>
      </c>
      <c r="O22" s="10"/>
      <c r="P22" s="6"/>
      <c r="Q22" s="2"/>
      <c r="R22" s="7">
        <f t="shared" si="12"/>
        <v>0</v>
      </c>
      <c r="S22" s="2"/>
      <c r="T22" s="6">
        <v>291.05</v>
      </c>
      <c r="U22" s="2"/>
      <c r="V22" s="7">
        <f t="shared" si="13"/>
        <v>0</v>
      </c>
      <c r="W22" s="2"/>
      <c r="X22" s="6">
        <f t="shared" si="14"/>
        <v>-291.05</v>
      </c>
      <c r="Y22" s="2"/>
      <c r="Z22" s="7">
        <f t="shared" si="15"/>
        <v>-1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/>
      <c r="E23" s="2"/>
      <c r="F23" s="7">
        <f t="shared" si="8"/>
        <v>0</v>
      </c>
      <c r="G23" s="2"/>
      <c r="H23" s="6">
        <v>1868.2</v>
      </c>
      <c r="I23" s="2"/>
      <c r="J23" s="7">
        <f t="shared" si="9"/>
        <v>0</v>
      </c>
      <c r="K23" s="2"/>
      <c r="L23" s="6">
        <f t="shared" si="10"/>
        <v>-1868.2</v>
      </c>
      <c r="M23" s="2"/>
      <c r="N23" s="7">
        <f t="shared" si="11"/>
        <v>-1</v>
      </c>
      <c r="O23" s="10"/>
      <c r="P23" s="6">
        <v>1868.2</v>
      </c>
      <c r="Q23" s="2"/>
      <c r="R23" s="7">
        <f t="shared" si="12"/>
        <v>0</v>
      </c>
      <c r="S23" s="2"/>
      <c r="T23" s="6">
        <v>12937.48</v>
      </c>
      <c r="U23" s="2"/>
      <c r="V23" s="7">
        <f t="shared" si="13"/>
        <v>0</v>
      </c>
      <c r="W23" s="2"/>
      <c r="X23" s="6">
        <f t="shared" si="14"/>
        <v>-11069.279999999999</v>
      </c>
      <c r="Y23" s="2"/>
      <c r="Z23" s="7">
        <f t="shared" si="15"/>
        <v>-0.85559784440246467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/>
      <c r="E24" s="2"/>
      <c r="F24" s="7">
        <f t="shared" si="8"/>
        <v>0</v>
      </c>
      <c r="G24" s="2"/>
      <c r="H24" s="6">
        <v>43.17</v>
      </c>
      <c r="I24" s="2"/>
      <c r="J24" s="7">
        <f t="shared" si="9"/>
        <v>0</v>
      </c>
      <c r="K24" s="2"/>
      <c r="L24" s="6">
        <f t="shared" si="10"/>
        <v>-43.17</v>
      </c>
      <c r="M24" s="2"/>
      <c r="N24" s="7">
        <f t="shared" si="11"/>
        <v>-1</v>
      </c>
      <c r="O24" s="10"/>
      <c r="P24" s="6"/>
      <c r="Q24" s="2"/>
      <c r="R24" s="7">
        <f t="shared" si="12"/>
        <v>0</v>
      </c>
      <c r="S24" s="2"/>
      <c r="T24" s="6">
        <v>235.04</v>
      </c>
      <c r="U24" s="2"/>
      <c r="V24" s="7">
        <f t="shared" si="13"/>
        <v>0</v>
      </c>
      <c r="W24" s="2"/>
      <c r="X24" s="6">
        <f t="shared" si="14"/>
        <v>-235.04</v>
      </c>
      <c r="Y24" s="2"/>
      <c r="Z24" s="7">
        <f t="shared" si="15"/>
        <v>-1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/>
      <c r="E25" s="2"/>
      <c r="F25" s="7">
        <f t="shared" si="8"/>
        <v>0</v>
      </c>
      <c r="G25" s="2"/>
      <c r="H25" s="6">
        <v>1131.3900000000001</v>
      </c>
      <c r="I25" s="2"/>
      <c r="J25" s="7">
        <f t="shared" si="9"/>
        <v>0</v>
      </c>
      <c r="K25" s="2"/>
      <c r="L25" s="6">
        <f t="shared" si="10"/>
        <v>-1131.3900000000001</v>
      </c>
      <c r="M25" s="2"/>
      <c r="N25" s="7">
        <f t="shared" si="11"/>
        <v>-1</v>
      </c>
      <c r="O25" s="10"/>
      <c r="P25" s="6">
        <v>610.53</v>
      </c>
      <c r="Q25" s="2"/>
      <c r="R25" s="7">
        <f t="shared" si="12"/>
        <v>0</v>
      </c>
      <c r="S25" s="2"/>
      <c r="T25" s="6">
        <v>8674.7800000000007</v>
      </c>
      <c r="U25" s="2"/>
      <c r="V25" s="7">
        <f t="shared" si="13"/>
        <v>0</v>
      </c>
      <c r="W25" s="2"/>
      <c r="X25" s="6">
        <f t="shared" si="14"/>
        <v>-8064.2500000000009</v>
      </c>
      <c r="Y25" s="2"/>
      <c r="Z25" s="7">
        <f t="shared" si="15"/>
        <v>-0.92962011716723658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8"/>
        <v>0</v>
      </c>
      <c r="G26" s="2"/>
      <c r="H26" s="6">
        <v>1022.52</v>
      </c>
      <c r="I26" s="2"/>
      <c r="J26" s="7">
        <f t="shared" si="9"/>
        <v>0</v>
      </c>
      <c r="K26" s="2"/>
      <c r="L26" s="6">
        <f t="shared" si="10"/>
        <v>-1022.52</v>
      </c>
      <c r="M26" s="2"/>
      <c r="N26" s="7">
        <f t="shared" si="11"/>
        <v>-1</v>
      </c>
      <c r="O26" s="10"/>
      <c r="P26" s="6"/>
      <c r="Q26" s="2"/>
      <c r="R26" s="7">
        <f t="shared" si="12"/>
        <v>0</v>
      </c>
      <c r="S26" s="2"/>
      <c r="T26" s="6">
        <v>11242.98</v>
      </c>
      <c r="U26" s="2"/>
      <c r="V26" s="7">
        <f t="shared" si="13"/>
        <v>0</v>
      </c>
      <c r="W26" s="2"/>
      <c r="X26" s="6">
        <f t="shared" si="14"/>
        <v>-11242.98</v>
      </c>
      <c r="Y26" s="2"/>
      <c r="Z26" s="7">
        <f t="shared" si="15"/>
        <v>-1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8"/>
        <v>0</v>
      </c>
      <c r="G27" s="2"/>
      <c r="H27" s="6">
        <v>510.58</v>
      </c>
      <c r="I27" s="2"/>
      <c r="J27" s="7">
        <f t="shared" si="9"/>
        <v>0</v>
      </c>
      <c r="K27" s="2"/>
      <c r="L27" s="6">
        <f t="shared" si="10"/>
        <v>-510.58</v>
      </c>
      <c r="M27" s="2"/>
      <c r="N27" s="7">
        <f t="shared" si="11"/>
        <v>-1</v>
      </c>
      <c r="O27" s="10"/>
      <c r="P27" s="6"/>
      <c r="Q27" s="2"/>
      <c r="R27" s="7">
        <f t="shared" si="12"/>
        <v>0</v>
      </c>
      <c r="S27" s="2"/>
      <c r="T27" s="6">
        <v>22030.080000000002</v>
      </c>
      <c r="U27" s="2"/>
      <c r="V27" s="7">
        <f t="shared" si="13"/>
        <v>0</v>
      </c>
      <c r="W27" s="2"/>
      <c r="X27" s="6">
        <f t="shared" si="14"/>
        <v>-22030.080000000002</v>
      </c>
      <c r="Y27" s="2"/>
      <c r="Z27" s="7">
        <f t="shared" si="15"/>
        <v>-1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8"/>
        <v>0</v>
      </c>
      <c r="G28" s="2"/>
      <c r="H28" s="6">
        <v>8</v>
      </c>
      <c r="I28" s="2"/>
      <c r="J28" s="7">
        <f t="shared" si="9"/>
        <v>0</v>
      </c>
      <c r="K28" s="2"/>
      <c r="L28" s="6">
        <f t="shared" si="10"/>
        <v>-8</v>
      </c>
      <c r="M28" s="2"/>
      <c r="N28" s="7">
        <f t="shared" si="11"/>
        <v>-1</v>
      </c>
      <c r="O28" s="10"/>
      <c r="P28" s="6"/>
      <c r="Q28" s="2"/>
      <c r="R28" s="7">
        <f t="shared" si="12"/>
        <v>0</v>
      </c>
      <c r="S28" s="2"/>
      <c r="T28" s="6">
        <v>1290.0899999999999</v>
      </c>
      <c r="U28" s="2"/>
      <c r="V28" s="7">
        <f t="shared" si="13"/>
        <v>0</v>
      </c>
      <c r="W28" s="2"/>
      <c r="X28" s="6">
        <f t="shared" si="14"/>
        <v>-1290.0899999999999</v>
      </c>
      <c r="Y28" s="2"/>
      <c r="Z28" s="7">
        <f t="shared" si="15"/>
        <v>-1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1" si="16">IF(D$12=0,0,D29/D$12)</f>
        <v>0</v>
      </c>
      <c r="G29" s="1"/>
      <c r="H29" s="1">
        <f>SUM(OSRRefH22_1x_0)</f>
        <v>9962.35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-9962.35</v>
      </c>
      <c r="M29" s="1"/>
      <c r="N29" s="5">
        <f t="shared" ref="N29:N31" si="19">IF(H29=0,0,L29/H29)</f>
        <v>-1</v>
      </c>
      <c r="O29" s="12"/>
      <c r="P29" s="1">
        <f>SUM(OSRRefP22_1x_0)</f>
        <v>0</v>
      </c>
      <c r="Q29" s="1"/>
      <c r="R29" s="5">
        <f t="shared" ref="R29:R31" si="20">IF(P$12=0,0,P29/P$12)</f>
        <v>0</v>
      </c>
      <c r="S29" s="1"/>
      <c r="T29" s="1">
        <f>SUM(OSRRefT22_1x_0)</f>
        <v>70948.679999999993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-70948.679999999993</v>
      </c>
      <c r="Y29" s="1"/>
      <c r="Z29" s="5">
        <f t="shared" ref="Z29:Z31" si="23">IF(T29=0,0,X29/T29)</f>
        <v>-1</v>
      </c>
    </row>
    <row r="30" spans="1:26" s="23" customFormat="1" hidden="1" outlineLevel="2" x14ac:dyDescent="0.25">
      <c r="A30" s="27"/>
      <c r="B30" s="10" t="str">
        <f>CONCATENATE("          ", "6001", " - ", "ADMINISTRATIVE SALARIES")</f>
        <v xml:space="preserve">          6001 - ADMINISTRATIVE SALARIES</v>
      </c>
      <c r="C30" s="10"/>
      <c r="D30" s="6"/>
      <c r="E30" s="2"/>
      <c r="F30" s="7">
        <f t="shared" si="16"/>
        <v>0</v>
      </c>
      <c r="G30" s="2"/>
      <c r="H30" s="6">
        <v>9962.35</v>
      </c>
      <c r="I30" s="2"/>
      <c r="J30" s="7">
        <f t="shared" si="17"/>
        <v>0</v>
      </c>
      <c r="K30" s="2"/>
      <c r="L30" s="6">
        <f t="shared" si="18"/>
        <v>-9962.35</v>
      </c>
      <c r="M30" s="2"/>
      <c r="N30" s="7">
        <f t="shared" si="19"/>
        <v>-1</v>
      </c>
      <c r="O30" s="10"/>
      <c r="P30" s="6"/>
      <c r="Q30" s="2"/>
      <c r="R30" s="7">
        <f t="shared" si="20"/>
        <v>0</v>
      </c>
      <c r="S30" s="2"/>
      <c r="T30" s="6">
        <v>74822.929999999993</v>
      </c>
      <c r="U30" s="2"/>
      <c r="V30" s="7">
        <f t="shared" si="21"/>
        <v>0</v>
      </c>
      <c r="W30" s="2"/>
      <c r="X30" s="6">
        <f t="shared" si="22"/>
        <v>-74822.929999999993</v>
      </c>
      <c r="Y30" s="2"/>
      <c r="Z30" s="7">
        <f t="shared" si="23"/>
        <v>-1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0"/>
      <c r="P31" s="6"/>
      <c r="Q31" s="2"/>
      <c r="R31" s="7">
        <f t="shared" si="20"/>
        <v>0</v>
      </c>
      <c r="S31" s="2"/>
      <c r="T31" s="6">
        <v>-3874.25</v>
      </c>
      <c r="U31" s="2"/>
      <c r="V31" s="7">
        <f t="shared" si="21"/>
        <v>0</v>
      </c>
      <c r="W31" s="2"/>
      <c r="X31" s="6">
        <f t="shared" si="22"/>
        <v>3874.25</v>
      </c>
      <c r="Y31" s="2"/>
      <c r="Z31" s="7">
        <f t="shared" si="23"/>
        <v>-1</v>
      </c>
    </row>
    <row r="32" spans="1:26" s="26" customFormat="1" outlineLevel="1" collapsed="1" x14ac:dyDescent="0.25">
      <c r="A32" s="25"/>
      <c r="B32" s="12" t="str">
        <f>CONCATENATE("     ","General                                           ")</f>
        <v xml:space="preserve">     General                                           </v>
      </c>
      <c r="C32" s="12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2"/>
      <c r="P32" s="1">
        <f>SUM(OSRRefP22_2x_0)</f>
        <v>0</v>
      </c>
      <c r="Q32" s="1"/>
      <c r="R32" s="5">
        <f t="shared" ref="R32:R41" si="28">IF(P$12=0,0,P32/P$12)</f>
        <v>0</v>
      </c>
      <c r="S32" s="1"/>
      <c r="T32" s="1">
        <f>SUM(OSRRefT22_2x_0)</f>
        <v>2443.65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-2443.65</v>
      </c>
      <c r="Y32" s="1"/>
      <c r="Z32" s="5">
        <f t="shared" ref="Z32:Z41" si="31">IF(T32=0,0,X32/T32)</f>
        <v>-1</v>
      </c>
    </row>
    <row r="33" spans="1:26" s="23" customFormat="1" hidden="1" outlineLevel="2" x14ac:dyDescent="0.25">
      <c r="A33" s="27"/>
      <c r="B33" s="10" t="str">
        <f>CONCATENATE("          ", "6279", " - ", "GENERAL EXPENSE")</f>
        <v xml:space="preserve">          6279 - GENERAL EXPENSE</v>
      </c>
      <c r="C33" s="10"/>
      <c r="D33" s="6"/>
      <c r="E33" s="2"/>
      <c r="F33" s="7">
        <f t="shared" si="24"/>
        <v>0</v>
      </c>
      <c r="G33" s="2"/>
      <c r="H33" s="6"/>
      <c r="I33" s="2"/>
      <c r="J33" s="7">
        <f t="shared" si="25"/>
        <v>0</v>
      </c>
      <c r="K33" s="2"/>
      <c r="L33" s="6">
        <f t="shared" si="26"/>
        <v>0</v>
      </c>
      <c r="M33" s="2"/>
      <c r="N33" s="7">
        <f t="shared" si="27"/>
        <v>0</v>
      </c>
      <c r="O33" s="10"/>
      <c r="P33" s="6"/>
      <c r="Q33" s="2"/>
      <c r="R33" s="7">
        <f t="shared" si="28"/>
        <v>0</v>
      </c>
      <c r="S33" s="2"/>
      <c r="T33" s="6">
        <v>2443.65</v>
      </c>
      <c r="U33" s="2"/>
      <c r="V33" s="7">
        <f t="shared" si="29"/>
        <v>0</v>
      </c>
      <c r="W33" s="2"/>
      <c r="X33" s="6">
        <f t="shared" si="30"/>
        <v>-2443.65</v>
      </c>
      <c r="Y33" s="2"/>
      <c r="Z33" s="7">
        <f t="shared" si="31"/>
        <v>-1</v>
      </c>
    </row>
    <row r="34" spans="1:26" s="26" customFormat="1" outlineLevel="1" collapsed="1" x14ac:dyDescent="0.25">
      <c r="A34" s="25"/>
      <c r="B34" s="12" t="str">
        <f>CONCATENATE("     ","Royalty &amp; Commissions                             ")</f>
        <v xml:space="preserve">     Royalty &amp; Commissions                             </v>
      </c>
      <c r="C34" s="12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2"/>
      <c r="P34" s="1">
        <f>SUM(OSRRefP22_3x_0)</f>
        <v>0</v>
      </c>
      <c r="Q34" s="1"/>
      <c r="R34" s="5">
        <f t="shared" si="28"/>
        <v>0</v>
      </c>
      <c r="S34" s="1"/>
      <c r="T34" s="1">
        <f>SUM(OSRRefT22_3x_0)</f>
        <v>10393.31</v>
      </c>
      <c r="U34" s="1"/>
      <c r="V34" s="5">
        <f t="shared" si="29"/>
        <v>0</v>
      </c>
      <c r="W34" s="1"/>
      <c r="X34" s="1">
        <f t="shared" si="30"/>
        <v>-10393.31</v>
      </c>
      <c r="Y34" s="1"/>
      <c r="Z34" s="5">
        <f t="shared" si="31"/>
        <v>-1</v>
      </c>
    </row>
    <row r="35" spans="1:26" s="23" customFormat="1" hidden="1" outlineLevel="2" x14ac:dyDescent="0.25">
      <c r="A35" s="27"/>
      <c r="B35" s="10" t="str">
        <f>CONCATENATE("          ", "6254", " - ", "ROYALTY &amp; COMMISSIONS")</f>
        <v xml:space="preserve">          6254 - ROYALTY &amp; COMMISSIONS</v>
      </c>
      <c r="C35" s="10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0"/>
      <c r="P35" s="6"/>
      <c r="Q35" s="2"/>
      <c r="R35" s="7">
        <f t="shared" si="28"/>
        <v>0</v>
      </c>
      <c r="S35" s="2"/>
      <c r="T35" s="6">
        <v>10393.31</v>
      </c>
      <c r="U35" s="2"/>
      <c r="V35" s="7">
        <f t="shared" si="29"/>
        <v>0</v>
      </c>
      <c r="W35" s="2"/>
      <c r="X35" s="6">
        <f t="shared" si="30"/>
        <v>-10393.31</v>
      </c>
      <c r="Y35" s="2"/>
      <c r="Z35" s="7">
        <f t="shared" si="31"/>
        <v>-1</v>
      </c>
    </row>
    <row r="36" spans="1:26" s="26" customFormat="1" outlineLevel="1" collapsed="1" x14ac:dyDescent="0.25">
      <c r="A36" s="25"/>
      <c r="B36" s="12" t="str">
        <f>CONCATENATE("     ","Supplies                                          ")</f>
        <v xml:space="preserve">     Supplies                                          </v>
      </c>
      <c r="C36" s="12"/>
      <c r="D36" s="1">
        <f>SUM(OSRRefD22_4x_0)</f>
        <v>0</v>
      </c>
      <c r="E36" s="1"/>
      <c r="F36" s="5">
        <f t="shared" si="24"/>
        <v>0</v>
      </c>
      <c r="G36" s="1"/>
      <c r="H36" s="1">
        <f>SUM(OSRRefH22_4x_0)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2"/>
      <c r="P36" s="1">
        <f>SUM(OSRRefP22_4x_0)</f>
        <v>3.26</v>
      </c>
      <c r="Q36" s="1"/>
      <c r="R36" s="5">
        <f t="shared" si="28"/>
        <v>0</v>
      </c>
      <c r="S36" s="1"/>
      <c r="T36" s="1">
        <f>SUM(OSRRefT22_4x_0)</f>
        <v>140.55000000000001</v>
      </c>
      <c r="U36" s="1"/>
      <c r="V36" s="5">
        <f t="shared" si="29"/>
        <v>0</v>
      </c>
      <c r="W36" s="1"/>
      <c r="X36" s="1">
        <f t="shared" si="30"/>
        <v>-137.29000000000002</v>
      </c>
      <c r="Y36" s="1"/>
      <c r="Z36" s="5">
        <f t="shared" si="31"/>
        <v>-0.97680540732835297</v>
      </c>
    </row>
    <row r="37" spans="1:26" s="23" customFormat="1" hidden="1" outlineLevel="2" x14ac:dyDescent="0.25">
      <c r="A37" s="27"/>
      <c r="B37" s="10" t="str">
        <f>CONCATENATE("          ", "6241", " - ", "OFFICE EXPENSE")</f>
        <v xml:space="preserve">          6241 - OFFICE EXPENSE</v>
      </c>
      <c r="C37" s="10"/>
      <c r="D37" s="6"/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0</v>
      </c>
      <c r="M37" s="2"/>
      <c r="N37" s="7">
        <f t="shared" si="27"/>
        <v>0</v>
      </c>
      <c r="O37" s="10"/>
      <c r="P37" s="6">
        <v>3.26</v>
      </c>
      <c r="Q37" s="2"/>
      <c r="R37" s="7">
        <f t="shared" si="28"/>
        <v>0</v>
      </c>
      <c r="S37" s="2"/>
      <c r="T37" s="6">
        <v>140.55000000000001</v>
      </c>
      <c r="U37" s="2"/>
      <c r="V37" s="7">
        <f t="shared" si="29"/>
        <v>0</v>
      </c>
      <c r="W37" s="2"/>
      <c r="X37" s="6">
        <f t="shared" si="30"/>
        <v>-137.29000000000002</v>
      </c>
      <c r="Y37" s="2"/>
      <c r="Z37" s="7">
        <f t="shared" si="31"/>
        <v>-0.97680540732835297</v>
      </c>
    </row>
    <row r="38" spans="1:26" s="26" customFormat="1" outlineLevel="1" collapsed="1" x14ac:dyDescent="0.25">
      <c r="A38" s="25"/>
      <c r="B38" s="12" t="str">
        <f>CONCATENATE("     ","Telephone/Data Lines                              ")</f>
        <v xml:space="preserve">     Telephone/Data Lines                              </v>
      </c>
      <c r="C38" s="12"/>
      <c r="D38" s="1">
        <f>SUM(OSRRefD22_5x_0)</f>
        <v>36</v>
      </c>
      <c r="E38" s="1"/>
      <c r="F38" s="5">
        <f t="shared" si="24"/>
        <v>0</v>
      </c>
      <c r="G38" s="1"/>
      <c r="H38" s="1">
        <f>SUM(OSRRefH22_5x_0)</f>
        <v>-57.35</v>
      </c>
      <c r="I38" s="1"/>
      <c r="J38" s="5">
        <f t="shared" si="25"/>
        <v>0</v>
      </c>
      <c r="K38" s="1"/>
      <c r="L38" s="1">
        <f t="shared" si="26"/>
        <v>93.35</v>
      </c>
      <c r="M38" s="1"/>
      <c r="N38" s="5">
        <f t="shared" si="27"/>
        <v>-1.6277244986922406</v>
      </c>
      <c r="O38" s="12"/>
      <c r="P38" s="1">
        <f>SUM(OSRRefP22_5x_0)</f>
        <v>735</v>
      </c>
      <c r="Q38" s="1"/>
      <c r="R38" s="5">
        <f t="shared" si="28"/>
        <v>0</v>
      </c>
      <c r="S38" s="1"/>
      <c r="T38" s="1">
        <f>SUM(OSRRefT22_5x_0)</f>
        <v>1210.3499999999999</v>
      </c>
      <c r="U38" s="1"/>
      <c r="V38" s="5">
        <f t="shared" si="29"/>
        <v>0</v>
      </c>
      <c r="W38" s="1"/>
      <c r="X38" s="1">
        <f t="shared" si="30"/>
        <v>-475.34999999999991</v>
      </c>
      <c r="Y38" s="1"/>
      <c r="Z38" s="5">
        <f t="shared" si="31"/>
        <v>-0.39273763787334237</v>
      </c>
    </row>
    <row r="39" spans="1:26" s="23" customFormat="1" hidden="1" outlineLevel="2" x14ac:dyDescent="0.25">
      <c r="A39" s="27"/>
      <c r="B39" s="10" t="str">
        <f>CONCATENATE("          ", "6309", " - ", "TELEPHONE")</f>
        <v xml:space="preserve">          6309 - TELEPHONE</v>
      </c>
      <c r="C39" s="10"/>
      <c r="D39" s="6">
        <v>36</v>
      </c>
      <c r="E39" s="2"/>
      <c r="F39" s="7">
        <f t="shared" si="24"/>
        <v>0</v>
      </c>
      <c r="G39" s="2"/>
      <c r="H39" s="6">
        <v>-57.35</v>
      </c>
      <c r="I39" s="2"/>
      <c r="J39" s="7">
        <f t="shared" si="25"/>
        <v>0</v>
      </c>
      <c r="K39" s="2"/>
      <c r="L39" s="6">
        <f t="shared" si="26"/>
        <v>93.35</v>
      </c>
      <c r="M39" s="2"/>
      <c r="N39" s="7">
        <f t="shared" si="27"/>
        <v>-1.6277244986922406</v>
      </c>
      <c r="O39" s="10"/>
      <c r="P39" s="6">
        <v>735</v>
      </c>
      <c r="Q39" s="2"/>
      <c r="R39" s="7">
        <f t="shared" si="28"/>
        <v>0</v>
      </c>
      <c r="S39" s="2"/>
      <c r="T39" s="6">
        <v>1210.3499999999999</v>
      </c>
      <c r="U39" s="2"/>
      <c r="V39" s="7">
        <f t="shared" si="29"/>
        <v>0</v>
      </c>
      <c r="W39" s="2"/>
      <c r="X39" s="6">
        <f t="shared" si="30"/>
        <v>-475.34999999999991</v>
      </c>
      <c r="Y39" s="2"/>
      <c r="Z39" s="7">
        <f t="shared" si="31"/>
        <v>-0.39273763787334237</v>
      </c>
    </row>
    <row r="40" spans="1:26" s="26" customFormat="1" outlineLevel="1" collapsed="1" x14ac:dyDescent="0.25">
      <c r="A40" s="25"/>
      <c r="B40" s="12" t="str">
        <f>CONCATENATE("     ","Travel                                            ")</f>
        <v xml:space="preserve">     Travel                                            </v>
      </c>
      <c r="C40" s="12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0</v>
      </c>
      <c r="M40" s="1"/>
      <c r="N40" s="5">
        <f t="shared" si="27"/>
        <v>0</v>
      </c>
      <c r="O40" s="12"/>
      <c r="P40" s="1">
        <f>SUM(OSRRefP22_6x_0)</f>
        <v>0</v>
      </c>
      <c r="Q40" s="1"/>
      <c r="R40" s="5">
        <f t="shared" si="28"/>
        <v>0</v>
      </c>
      <c r="S40" s="1"/>
      <c r="T40" s="1">
        <f>SUM(OSRRefT22_6x_0)</f>
        <v>2759.81</v>
      </c>
      <c r="U40" s="1"/>
      <c r="V40" s="5">
        <f t="shared" si="29"/>
        <v>0</v>
      </c>
      <c r="W40" s="1"/>
      <c r="X40" s="1">
        <f t="shared" si="30"/>
        <v>-2759.81</v>
      </c>
      <c r="Y40" s="1"/>
      <c r="Z40" s="5">
        <f t="shared" si="31"/>
        <v>-1</v>
      </c>
    </row>
    <row r="41" spans="1:26" s="23" customFormat="1" hidden="1" outlineLevel="2" x14ac:dyDescent="0.25">
      <c r="A41" s="27"/>
      <c r="B41" s="10" t="str">
        <f>CONCATENATE("          ", "6292", " - ", "TRAVEL/CONFERENCE")</f>
        <v xml:space="preserve">          6292 - TRAVEL/CONFERENCE</v>
      </c>
      <c r="C41" s="10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0"/>
      <c r="P41" s="6"/>
      <c r="Q41" s="2"/>
      <c r="R41" s="7">
        <f t="shared" si="28"/>
        <v>0</v>
      </c>
      <c r="S41" s="2"/>
      <c r="T41" s="6">
        <v>2759.81</v>
      </c>
      <c r="U41" s="2"/>
      <c r="V41" s="7">
        <f t="shared" si="29"/>
        <v>0</v>
      </c>
      <c r="W41" s="2"/>
      <c r="X41" s="6">
        <f t="shared" si="30"/>
        <v>-2759.81</v>
      </c>
      <c r="Y41" s="2"/>
      <c r="Z41" s="7">
        <f t="shared" si="31"/>
        <v>-1</v>
      </c>
    </row>
    <row r="42" spans="1:26" s="57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collapsed="1" x14ac:dyDescent="0.25">
      <c r="A43" s="11"/>
      <c r="B43" s="29" t="s">
        <v>292</v>
      </c>
      <c r="C43" s="11"/>
      <c r="D43" s="4">
        <f>SUM(OSRRefD25x_0)</f>
        <v>0</v>
      </c>
      <c r="E43" s="4"/>
      <c r="F43" s="13">
        <f t="shared" ref="F43:F44" si="32">IF(D$12=0,0,D43/D$12)</f>
        <v>0</v>
      </c>
      <c r="G43" s="4"/>
      <c r="H43" s="4">
        <f>SUM(OSRRefH25x_0)</f>
        <v>0</v>
      </c>
      <c r="I43" s="4"/>
      <c r="J43" s="13">
        <f t="shared" ref="J43:J44" si="33">IF(H$12=0,0,H43/H$12)</f>
        <v>0</v>
      </c>
      <c r="K43" s="4"/>
      <c r="L43" s="4">
        <f t="shared" ref="L43:L44" si="34">+D43-H43</f>
        <v>0</v>
      </c>
      <c r="M43" s="4"/>
      <c r="N43" s="13">
        <f t="shared" ref="N43:N44" si="35">IF(H43=0,0,L43/H43)</f>
        <v>0</v>
      </c>
      <c r="O43" s="11"/>
      <c r="P43" s="4">
        <f>SUM(OSRRefP25x_0)</f>
        <v>0</v>
      </c>
      <c r="Q43" s="4"/>
      <c r="R43" s="13">
        <f t="shared" ref="R43:R44" si="36">IF(P$12=0,0,P43/P$12)</f>
        <v>0</v>
      </c>
      <c r="S43" s="4"/>
      <c r="T43" s="4">
        <f>SUM(OSRRefT25x_0)</f>
        <v>155658.1</v>
      </c>
      <c r="U43" s="4"/>
      <c r="V43" s="13">
        <f t="shared" ref="V43:V44" si="37">IF(T$12=0,0,T43/T$12)</f>
        <v>0</v>
      </c>
      <c r="W43" s="4"/>
      <c r="X43" s="4">
        <f t="shared" ref="X43:X44" si="38">+P43-T43</f>
        <v>-155658.1</v>
      </c>
      <c r="Y43" s="4"/>
      <c r="Z43" s="13">
        <f t="shared" ref="Z43:Z44" si="39">IF(T43=0,0,X43/T43)</f>
        <v>-1</v>
      </c>
    </row>
    <row r="44" spans="1:26" s="23" customFormat="1" hidden="1" outlineLevel="1" x14ac:dyDescent="0.25">
      <c r="A44" s="44"/>
      <c r="B44" s="10" t="str">
        <f>CONCATENATE("          ", "9150", " - ", "MISC. INCOME")</f>
        <v xml:space="preserve">          9150 - MISC. INCOME</v>
      </c>
      <c r="C44" s="10"/>
      <c r="D44" s="2">
        <f>0</f>
        <v>0</v>
      </c>
      <c r="E44" s="2"/>
      <c r="F44" s="19">
        <f t="shared" si="32"/>
        <v>0</v>
      </c>
      <c r="G44" s="2"/>
      <c r="H44" s="2">
        <f>0</f>
        <v>0</v>
      </c>
      <c r="I44" s="2"/>
      <c r="J44" s="19">
        <f t="shared" si="33"/>
        <v>0</v>
      </c>
      <c r="K44" s="2"/>
      <c r="L44" s="2">
        <f t="shared" si="34"/>
        <v>0</v>
      </c>
      <c r="M44" s="2"/>
      <c r="N44" s="19">
        <f t="shared" si="35"/>
        <v>0</v>
      </c>
      <c r="O44" s="10"/>
      <c r="P44" s="2">
        <f>0</f>
        <v>0</v>
      </c>
      <c r="Q44" s="2"/>
      <c r="R44" s="19">
        <f t="shared" si="36"/>
        <v>0</v>
      </c>
      <c r="S44" s="2"/>
      <c r="T44" s="2">
        <f>--155658.1</f>
        <v>155658.1</v>
      </c>
      <c r="U44" s="2"/>
      <c r="V44" s="19">
        <f t="shared" si="37"/>
        <v>0</v>
      </c>
      <c r="W44" s="2"/>
      <c r="X44" s="2">
        <f t="shared" si="38"/>
        <v>-155658.1</v>
      </c>
      <c r="Y44" s="2"/>
      <c r="Z44" s="19">
        <f t="shared" si="39"/>
        <v>-1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8" t="s">
        <v>276</v>
      </c>
      <c r="C46" s="28"/>
      <c r="D46" s="20">
        <f>+D17-D19+D43</f>
        <v>-36</v>
      </c>
      <c r="E46" s="14"/>
      <c r="F46" s="21">
        <f>IF(D$12=0,0,D46/D$12)</f>
        <v>0</v>
      </c>
      <c r="G46" s="14"/>
      <c r="H46" s="20">
        <f>+H17-H19+H43</f>
        <v>-15392.11</v>
      </c>
      <c r="I46" s="14"/>
      <c r="J46" s="21">
        <f>IF(H$12=0,0,H46/H$12)</f>
        <v>0</v>
      </c>
      <c r="K46" s="15"/>
      <c r="L46" s="20">
        <f>+D46-H46</f>
        <v>15356.11</v>
      </c>
      <c r="M46" s="15"/>
      <c r="N46" s="21">
        <f>IF(H46=0,0,L46/H46)</f>
        <v>-0.99766113937595302</v>
      </c>
      <c r="O46" s="29"/>
      <c r="P46" s="20">
        <f>+P17-P19+P43</f>
        <v>-3216.9900000000002</v>
      </c>
      <c r="Q46" s="14"/>
      <c r="R46" s="21">
        <f>IF(P$12=0,0,P46/P$12)</f>
        <v>0</v>
      </c>
      <c r="S46" s="14"/>
      <c r="T46" s="20">
        <f>+T17-T19+T43</f>
        <v>4266.6800000000221</v>
      </c>
      <c r="U46" s="14"/>
      <c r="V46" s="21">
        <f>IF(T$12=0,0,T46/T$12)</f>
        <v>0</v>
      </c>
      <c r="W46" s="15"/>
      <c r="X46" s="20">
        <f>+P46-T46</f>
        <v>-7483.6700000000219</v>
      </c>
      <c r="Y46" s="15"/>
      <c r="Z46" s="21">
        <f>IF(T46=0,0,X46/T46)</f>
        <v>-1.7539796750635115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8" t="s">
        <v>125</v>
      </c>
      <c r="C50" s="28"/>
      <c r="D50" s="35">
        <f>+D46-D48</f>
        <v>-36</v>
      </c>
      <c r="E50" s="14"/>
      <c r="F50" s="36">
        <f>IF(D$12=0,0,D50/D$12)</f>
        <v>0</v>
      </c>
      <c r="G50" s="14"/>
      <c r="H50" s="35">
        <f>+H46-H48</f>
        <v>-15392.11</v>
      </c>
      <c r="I50" s="14"/>
      <c r="J50" s="36">
        <f>IF(H$12=0,0,H50/H$12)</f>
        <v>0</v>
      </c>
      <c r="K50" s="15"/>
      <c r="L50" s="35">
        <f>D50-H50</f>
        <v>15356.11</v>
      </c>
      <c r="M50" s="15"/>
      <c r="N50" s="36">
        <f>IF(H50=0,0,L50/H50)</f>
        <v>-0.99766113937595302</v>
      </c>
      <c r="O50" s="29"/>
      <c r="P50" s="35">
        <f>+P46-P48</f>
        <v>-3216.9900000000002</v>
      </c>
      <c r="Q50" s="14"/>
      <c r="R50" s="36">
        <f>IF(P$12=0,0,P50/P$12)</f>
        <v>0</v>
      </c>
      <c r="S50" s="14"/>
      <c r="T50" s="35">
        <f>+T46-T48</f>
        <v>4266.6800000000221</v>
      </c>
      <c r="U50" s="14"/>
      <c r="V50" s="36">
        <f>IF(T$12=0,0,T50/T$12)</f>
        <v>0</v>
      </c>
      <c r="W50" s="15"/>
      <c r="X50" s="35">
        <f>P50-T50</f>
        <v>-7483.6700000000219</v>
      </c>
      <c r="Y50" s="15"/>
      <c r="Z50" s="36">
        <f>IF(T50=0,0,X50/T50)</f>
        <v>-1.7539796750635115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8" t="s">
        <v>293</v>
      </c>
      <c r="C53" s="28"/>
      <c r="D53" s="30">
        <f>SUM(D50:D52)</f>
        <v>-36</v>
      </c>
      <c r="E53" s="14"/>
      <c r="F53" s="31">
        <f>IF(D$12=0,0,D53/D$12)</f>
        <v>0</v>
      </c>
      <c r="G53" s="14"/>
      <c r="H53" s="30">
        <f>SUM(H50:H52)</f>
        <v>-15392.11</v>
      </c>
      <c r="I53" s="14"/>
      <c r="J53" s="31">
        <f>IF(H$12=0,0,H53/H$12)</f>
        <v>0</v>
      </c>
      <c r="K53" s="15"/>
      <c r="L53" s="30">
        <f>+D53-H53</f>
        <v>15356.11</v>
      </c>
      <c r="M53" s="15"/>
      <c r="N53" s="31">
        <f>IF(H53=0,0,L53/H53)</f>
        <v>-0.99766113937595302</v>
      </c>
      <c r="O53" s="29"/>
      <c r="P53" s="30">
        <f>SUM(P50:P52)</f>
        <v>-3216.9900000000002</v>
      </c>
      <c r="Q53" s="14"/>
      <c r="R53" s="31">
        <f>IF(P$12=0,0,P53/P$12)</f>
        <v>0</v>
      </c>
      <c r="S53" s="14"/>
      <c r="T53" s="30">
        <f>SUM(T50:T52)</f>
        <v>4266.6800000000221</v>
      </c>
      <c r="U53" s="14"/>
      <c r="V53" s="31">
        <f>IF(T$12=0,0,T53/T$12)</f>
        <v>0</v>
      </c>
      <c r="W53" s="15"/>
      <c r="X53" s="30">
        <f>+P53-T53</f>
        <v>-7483.6700000000219</v>
      </c>
      <c r="Y53" s="15"/>
      <c r="Z53" s="31">
        <f>IF(T53=0,0,X53/T53)</f>
        <v>-1.7539796750635115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9">
        <v>44356.893348032405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2" t="s">
        <v>56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4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157290.23000000001</v>
      </c>
      <c r="U12" s="4"/>
      <c r="V12" s="13"/>
      <c r="W12" s="4"/>
      <c r="X12" s="4">
        <f t="shared" ref="X12:X14" si="2">+P12-T12</f>
        <v>-157290.23000000001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--157788.64</f>
        <v>157788.64000000001</v>
      </c>
      <c r="U13" s="2"/>
      <c r="V13" s="19"/>
      <c r="W13" s="2"/>
      <c r="X13" s="2">
        <f t="shared" si="2"/>
        <v>-157788.64000000001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-498.41</f>
        <v>-498.41</v>
      </c>
      <c r="U14" s="2"/>
      <c r="V14" s="19"/>
      <c r="W14" s="2"/>
      <c r="X14" s="2">
        <f t="shared" si="2"/>
        <v>498.41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43321.25</v>
      </c>
      <c r="U16" s="4"/>
      <c r="V16" s="13">
        <f t="shared" ref="V16:V18" si="12">IF(T$12=0,0,T16/T$12)</f>
        <v>0.27542238319570134</v>
      </c>
      <c r="W16" s="4"/>
      <c r="X16" s="4">
        <f t="shared" ref="X16:X18" si="13">+P16-T16</f>
        <v>-43321.25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43126.25</v>
      </c>
      <c r="U17" s="2"/>
      <c r="V17" s="19">
        <f t="shared" si="12"/>
        <v>0.27418263677279892</v>
      </c>
      <c r="W17" s="2"/>
      <c r="X17" s="2">
        <f t="shared" si="13"/>
        <v>-43126.25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195</v>
      </c>
      <c r="U18" s="2"/>
      <c r="V18" s="19">
        <f t="shared" si="12"/>
        <v>1.239746422902427E-3</v>
      </c>
      <c r="W18" s="2"/>
      <c r="X18" s="2">
        <f t="shared" si="13"/>
        <v>-195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0</v>
      </c>
      <c r="M20" s="15"/>
      <c r="N20" s="21">
        <f>IF(H20=0,0,L20/H20)</f>
        <v>0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113968.98000000001</v>
      </c>
      <c r="U20" s="14"/>
      <c r="V20" s="21">
        <f>IF(T$12=0,0,T20/T$12)</f>
        <v>0.72457761680429866</v>
      </c>
      <c r="W20" s="15"/>
      <c r="X20" s="20">
        <f>+P20-T20</f>
        <v>-113968.98000000001</v>
      </c>
      <c r="Y20" s="15"/>
      <c r="Z20" s="21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2">
        <f>SUM(OSRRefD22x_0)</f>
        <v>479.29</v>
      </c>
      <c r="E22" s="22"/>
      <c r="F22" s="32">
        <f t="shared" ref="F22:F25" si="15">IF(D$12=0,0,D22/D$12)</f>
        <v>0</v>
      </c>
      <c r="G22" s="22"/>
      <c r="H22" s="22">
        <f>SUM(OSRRefH22x_0)</f>
        <v>693.3</v>
      </c>
      <c r="I22" s="22"/>
      <c r="J22" s="32">
        <f t="shared" ref="J22:J25" si="16">IF(H$12=0,0,H22/H$12)</f>
        <v>0</v>
      </c>
      <c r="K22" s="4"/>
      <c r="L22" s="22">
        <f t="shared" ref="L22:L25" si="17">+D22-H22</f>
        <v>-214.00999999999993</v>
      </c>
      <c r="M22" s="4"/>
      <c r="N22" s="32">
        <f t="shared" ref="N22:N25" si="18">IF(H22=0,0,L22/H22)</f>
        <v>-0.30868310976489249</v>
      </c>
      <c r="O22" s="11"/>
      <c r="P22" s="22">
        <f>SUM(OSRRefP22x_0)</f>
        <v>6833.08</v>
      </c>
      <c r="Q22" s="22"/>
      <c r="R22" s="32">
        <f t="shared" ref="R22:R25" si="19">IF(P$12=0,0,P22/P$12)</f>
        <v>0</v>
      </c>
      <c r="S22" s="22"/>
      <c r="T22" s="22">
        <f>SUM(OSRRefT22x_0)</f>
        <v>90232.239999999991</v>
      </c>
      <c r="U22" s="22"/>
      <c r="V22" s="32">
        <f t="shared" ref="V22:V25" si="20">IF(T$12=0,0,T22/T$12)</f>
        <v>0.5736671629255039</v>
      </c>
      <c r="W22" s="4"/>
      <c r="X22" s="22">
        <f t="shared" ref="X22:X25" si="21">+P22-T22</f>
        <v>-83399.159999999989</v>
      </c>
      <c r="Y22" s="4"/>
      <c r="Z22" s="32">
        <f t="shared" ref="Z22:Z25" si="22">IF(T22=0,0,X22/T22)</f>
        <v>-0.92427230001161442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1171.8399999999999</v>
      </c>
      <c r="U23" s="1"/>
      <c r="V23" s="5">
        <f t="shared" si="20"/>
        <v>7.4501766575075885E-3</v>
      </c>
      <c r="W23" s="1"/>
      <c r="X23" s="1">
        <f t="shared" si="21"/>
        <v>-1171.8399999999999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1182.24</v>
      </c>
      <c r="U24" s="2"/>
      <c r="V24" s="7">
        <f t="shared" si="20"/>
        <v>7.5162964667290517E-3</v>
      </c>
      <c r="W24" s="2"/>
      <c r="X24" s="6">
        <f t="shared" si="21"/>
        <v>-1182.24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-10.4</v>
      </c>
      <c r="U25" s="2"/>
      <c r="V25" s="7">
        <f t="shared" si="20"/>
        <v>-6.6119809221462769E-5</v>
      </c>
      <c r="W25" s="2"/>
      <c r="X25" s="6">
        <f t="shared" si="21"/>
        <v>10.4</v>
      </c>
      <c r="Y25" s="2"/>
      <c r="Z25" s="7">
        <f t="shared" si="22"/>
        <v>-1</v>
      </c>
    </row>
    <row r="26" spans="1:26" s="26" customFormat="1" outlineLevel="1" collapsed="1" x14ac:dyDescent="0.25">
      <c r="A26" s="25"/>
      <c r="B26" s="12" t="str">
        <f>CONCATENATE("     ","*Payroll                                          ")</f>
        <v xml:space="preserve">     *Payroll                                          </v>
      </c>
      <c r="C26" s="12"/>
      <c r="D26" s="1">
        <f>SUM(OSRRefD22_1x_0)</f>
        <v>0</v>
      </c>
      <c r="E26" s="1"/>
      <c r="F26" s="5">
        <f t="shared" ref="F26:F31" si="23">IF(D$12=0,0,D26/D$12)</f>
        <v>0</v>
      </c>
      <c r="G26" s="1"/>
      <c r="H26" s="1">
        <f>SUM(OSRRefH22_1x_0)</f>
        <v>0</v>
      </c>
      <c r="I26" s="1"/>
      <c r="J26" s="5">
        <f t="shared" ref="J26:J31" si="24">IF(H$12=0,0,H26/H$12)</f>
        <v>0</v>
      </c>
      <c r="K26" s="1"/>
      <c r="L26" s="1">
        <f t="shared" ref="L26:L31" si="25">+D26-H26</f>
        <v>0</v>
      </c>
      <c r="M26" s="1"/>
      <c r="N26" s="5">
        <f t="shared" ref="N26:N31" si="26">IF(H26=0,0,L26/H26)</f>
        <v>0</v>
      </c>
      <c r="O26" s="12"/>
      <c r="P26" s="1">
        <f>SUM(OSRRefP22_1x_0)</f>
        <v>0</v>
      </c>
      <c r="Q26" s="1"/>
      <c r="R26" s="5">
        <f t="shared" ref="R26:R31" si="27">IF(P$12=0,0,P26/P$12)</f>
        <v>0</v>
      </c>
      <c r="S26" s="1"/>
      <c r="T26" s="1">
        <f>SUM(OSRRefT22_1x_0)</f>
        <v>29540.829999999998</v>
      </c>
      <c r="U26" s="1"/>
      <c r="V26" s="5">
        <f t="shared" ref="V26:V31" si="28">IF(T$12=0,0,T26/T$12)</f>
        <v>0.18781096575419845</v>
      </c>
      <c r="W26" s="1"/>
      <c r="X26" s="1">
        <f t="shared" ref="X26:X31" si="29">+P26-T26</f>
        <v>-29540.829999999998</v>
      </c>
      <c r="Y26" s="1"/>
      <c r="Z26" s="5">
        <f t="shared" ref="Z26:Z31" si="30">IF(T26=0,0,X26/T26)</f>
        <v>-1</v>
      </c>
    </row>
    <row r="27" spans="1:26" s="23" customFormat="1" hidden="1" outlineLevel="2" x14ac:dyDescent="0.25">
      <c r="A27" s="27"/>
      <c r="B27" s="10" t="str">
        <f>CONCATENATE("          ", "6004", " - ", "STAFF HOURLY")</f>
        <v xml:space="preserve">          6004 - STAFF HOURLY</v>
      </c>
      <c r="C27" s="10"/>
      <c r="D27" s="6"/>
      <c r="E27" s="2"/>
      <c r="F27" s="7">
        <f t="shared" si="23"/>
        <v>0</v>
      </c>
      <c r="G27" s="2"/>
      <c r="H27" s="6"/>
      <c r="I27" s="2"/>
      <c r="J27" s="7">
        <f t="shared" si="24"/>
        <v>0</v>
      </c>
      <c r="K27" s="2"/>
      <c r="L27" s="6">
        <f t="shared" si="25"/>
        <v>0</v>
      </c>
      <c r="M27" s="2"/>
      <c r="N27" s="7">
        <f t="shared" si="26"/>
        <v>0</v>
      </c>
      <c r="O27" s="10"/>
      <c r="P27" s="6"/>
      <c r="Q27" s="2"/>
      <c r="R27" s="7">
        <f t="shared" si="27"/>
        <v>0</v>
      </c>
      <c r="S27" s="2"/>
      <c r="T27" s="6">
        <v>3193.41</v>
      </c>
      <c r="U27" s="2"/>
      <c r="V27" s="7">
        <f t="shared" si="28"/>
        <v>2.0302659612106866E-2</v>
      </c>
      <c r="W27" s="2"/>
      <c r="X27" s="6">
        <f t="shared" si="29"/>
        <v>-3193.41</v>
      </c>
      <c r="Y27" s="2"/>
      <c r="Z27" s="7">
        <f t="shared" si="30"/>
        <v>-1</v>
      </c>
    </row>
    <row r="28" spans="1:26" s="23" customFormat="1" hidden="1" outlineLevel="2" x14ac:dyDescent="0.25">
      <c r="A28" s="27"/>
      <c r="B28" s="10" t="str">
        <f>CONCATENATE("          ", "6005", " - ", "TEMPORARY WAGES-HOURLY")</f>
        <v xml:space="preserve">          6005 - TEMPORARY WAGES-HOURLY</v>
      </c>
      <c r="C28" s="10"/>
      <c r="D28" s="6"/>
      <c r="E28" s="2"/>
      <c r="F28" s="7">
        <f t="shared" si="23"/>
        <v>0</v>
      </c>
      <c r="G28" s="2"/>
      <c r="H28" s="6"/>
      <c r="I28" s="2"/>
      <c r="J28" s="7">
        <f t="shared" si="24"/>
        <v>0</v>
      </c>
      <c r="K28" s="2"/>
      <c r="L28" s="6">
        <f t="shared" si="25"/>
        <v>0</v>
      </c>
      <c r="M28" s="2"/>
      <c r="N28" s="7">
        <f t="shared" si="26"/>
        <v>0</v>
      </c>
      <c r="O28" s="10"/>
      <c r="P28" s="6"/>
      <c r="Q28" s="2"/>
      <c r="R28" s="7">
        <f t="shared" si="27"/>
        <v>0</v>
      </c>
      <c r="S28" s="2"/>
      <c r="T28" s="6">
        <v>9782.57</v>
      </c>
      <c r="U28" s="2"/>
      <c r="V28" s="7">
        <f t="shared" si="28"/>
        <v>6.2194390586115866E-2</v>
      </c>
      <c r="W28" s="2"/>
      <c r="X28" s="6">
        <f t="shared" si="29"/>
        <v>-9782.57</v>
      </c>
      <c r="Y28" s="2"/>
      <c r="Z28" s="7">
        <f t="shared" si="30"/>
        <v>-1</v>
      </c>
    </row>
    <row r="29" spans="1:26" s="23" customFormat="1" hidden="1" outlineLevel="2" x14ac:dyDescent="0.25">
      <c r="A29" s="27"/>
      <c r="B29" s="10" t="str">
        <f>CONCATENATE("          ", "6006", " - ", "TEMPORARY PART TIME")</f>
        <v xml:space="preserve">          6006 - TEMPORARY PART TIME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247.5</v>
      </c>
      <c r="U29" s="2"/>
      <c r="V29" s="7">
        <f t="shared" si="28"/>
        <v>1.5735243059915418E-3</v>
      </c>
      <c r="W29" s="2"/>
      <c r="X29" s="6">
        <f t="shared" si="29"/>
        <v>-247.5</v>
      </c>
      <c r="Y29" s="2"/>
      <c r="Z29" s="7">
        <f t="shared" si="30"/>
        <v>-1</v>
      </c>
    </row>
    <row r="30" spans="1:26" s="23" customFormat="1" hidden="1" outlineLevel="2" x14ac:dyDescent="0.25">
      <c r="A30" s="27"/>
      <c r="B30" s="10" t="str">
        <f>CONCATENATE("          ", "6007", " - ", "STUDENT HOURLY")</f>
        <v xml:space="preserve">          6007 - STUDENT HOURLY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13228</v>
      </c>
      <c r="U30" s="2"/>
      <c r="V30" s="7">
        <f t="shared" si="28"/>
        <v>8.4099311190529755E-2</v>
      </c>
      <c r="W30" s="2"/>
      <c r="X30" s="6">
        <f t="shared" si="29"/>
        <v>-13228</v>
      </c>
      <c r="Y30" s="2"/>
      <c r="Z30" s="7">
        <f t="shared" si="30"/>
        <v>-1</v>
      </c>
    </row>
    <row r="31" spans="1:26" s="23" customFormat="1" hidden="1" outlineLevel="2" x14ac:dyDescent="0.25">
      <c r="A31" s="27"/>
      <c r="B31" s="10" t="str">
        <f>CONCATENATE("          ", "6008", " - ", "STUDENT HOURLY-FICA EXEMPT")</f>
        <v xml:space="preserve">          6008 - STUDENT HOURLY-FICA EXEMPT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3089.35</v>
      </c>
      <c r="U31" s="2"/>
      <c r="V31" s="7">
        <f t="shared" si="28"/>
        <v>1.9641080059454422E-2</v>
      </c>
      <c r="W31" s="2"/>
      <c r="X31" s="6">
        <f t="shared" si="29"/>
        <v>-3089.35</v>
      </c>
      <c r="Y31" s="2"/>
      <c r="Z31" s="7">
        <f t="shared" si="30"/>
        <v>-1</v>
      </c>
    </row>
    <row r="32" spans="1:26" s="26" customFormat="1" outlineLevel="1" collapsed="1" x14ac:dyDescent="0.25">
      <c r="A32" s="25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6" si="31">IF(D$12=0,0,D32/D$12)</f>
        <v>0</v>
      </c>
      <c r="G32" s="1"/>
      <c r="H32" s="1">
        <f>SUM(OSRRefH22_2x_0)</f>
        <v>0</v>
      </c>
      <c r="I32" s="1"/>
      <c r="J32" s="5">
        <f t="shared" ref="J32:J46" si="32">IF(H$12=0,0,H32/H$12)</f>
        <v>0</v>
      </c>
      <c r="K32" s="1"/>
      <c r="L32" s="1">
        <f t="shared" ref="L32:L46" si="33">+D32-H32</f>
        <v>0</v>
      </c>
      <c r="M32" s="1"/>
      <c r="N32" s="5">
        <f t="shared" ref="N32:N46" si="34">IF(H32=0,0,L32/H32)</f>
        <v>0</v>
      </c>
      <c r="O32" s="12"/>
      <c r="P32" s="1">
        <f>SUM(OSRRefP22_2x_0)</f>
        <v>0</v>
      </c>
      <c r="Q32" s="1"/>
      <c r="R32" s="5">
        <f t="shared" ref="R32:R46" si="35">IF(P$12=0,0,P32/P$12)</f>
        <v>0</v>
      </c>
      <c r="S32" s="1"/>
      <c r="T32" s="1">
        <f>SUM(OSRRefT22_2x_0)</f>
        <v>3023.77</v>
      </c>
      <c r="U32" s="1"/>
      <c r="V32" s="5">
        <f t="shared" ref="V32:V46" si="36">IF(T$12=0,0,T32/T$12)</f>
        <v>1.9224143800921391E-2</v>
      </c>
      <c r="W32" s="1"/>
      <c r="X32" s="1">
        <f t="shared" ref="X32:X46" si="37">+P32-T32</f>
        <v>-3023.77</v>
      </c>
      <c r="Y32" s="1"/>
      <c r="Z32" s="5">
        <f t="shared" ref="Z32:Z46" si="38">IF(T32=0,0,X32/T32)</f>
        <v>-1</v>
      </c>
    </row>
    <row r="33" spans="1:26" s="23" customFormat="1" hidden="1" outlineLevel="2" x14ac:dyDescent="0.25">
      <c r="A33" s="27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3023.77</v>
      </c>
      <c r="U33" s="2"/>
      <c r="V33" s="7">
        <f t="shared" si="36"/>
        <v>1.9224143800921391E-2</v>
      </c>
      <c r="W33" s="2"/>
      <c r="X33" s="6">
        <f t="shared" si="37"/>
        <v>-3023.77</v>
      </c>
      <c r="Y33" s="2"/>
      <c r="Z33" s="7">
        <f t="shared" si="38"/>
        <v>-1</v>
      </c>
    </row>
    <row r="34" spans="1:26" s="26" customFormat="1" outlineLevel="1" collapsed="1" x14ac:dyDescent="0.25">
      <c r="A34" s="25"/>
      <c r="B34" s="12" t="str">
        <f>CONCATENATE("     ","Bad Debts/Over/Short                              ")</f>
        <v xml:space="preserve">     Bad Debts/Over/Short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19.399999999999999</v>
      </c>
      <c r="U34" s="1"/>
      <c r="V34" s="5">
        <f t="shared" si="36"/>
        <v>1.2333887489388246E-4</v>
      </c>
      <c r="W34" s="1"/>
      <c r="X34" s="1">
        <f t="shared" si="37"/>
        <v>-19.399999999999999</v>
      </c>
      <c r="Y34" s="1"/>
      <c r="Z34" s="5">
        <f t="shared" si="38"/>
        <v>-1</v>
      </c>
    </row>
    <row r="35" spans="1:26" s="23" customFormat="1" hidden="1" outlineLevel="2" x14ac:dyDescent="0.25">
      <c r="A35" s="27"/>
      <c r="B35" s="10" t="str">
        <f>CONCATENATE("          ", "6272", " - ", "CASH (OVER/SHORT)")</f>
        <v xml:space="preserve">          6272 - CASH (OVER/SHORT)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19.399999999999999</v>
      </c>
      <c r="U35" s="2"/>
      <c r="V35" s="7">
        <f t="shared" si="36"/>
        <v>1.2333887489388246E-4</v>
      </c>
      <c r="W35" s="2"/>
      <c r="X35" s="6">
        <f t="shared" si="37"/>
        <v>-19.399999999999999</v>
      </c>
      <c r="Y35" s="2"/>
      <c r="Z35" s="7">
        <f t="shared" si="38"/>
        <v>-1</v>
      </c>
    </row>
    <row r="36" spans="1:26" s="26" customFormat="1" outlineLevel="1" collapsed="1" x14ac:dyDescent="0.25">
      <c r="A36" s="25"/>
      <c r="B36" s="12" t="str">
        <f>CONCATENATE("     ","Bank/card Fees                                    ")</f>
        <v xml:space="preserve">     Bank/card Fees         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4064.54</v>
      </c>
      <c r="U36" s="1"/>
      <c r="V36" s="5">
        <f t="shared" si="36"/>
        <v>2.5841020132019641E-2</v>
      </c>
      <c r="W36" s="1"/>
      <c r="X36" s="1">
        <f t="shared" si="37"/>
        <v>-4064.54</v>
      </c>
      <c r="Y36" s="1"/>
      <c r="Z36" s="5">
        <f t="shared" si="38"/>
        <v>-1</v>
      </c>
    </row>
    <row r="37" spans="1:26" s="23" customFormat="1" hidden="1" outlineLevel="2" x14ac:dyDescent="0.25">
      <c r="A37" s="27"/>
      <c r="B37" s="10" t="str">
        <f>CONCATENATE("          ", "6381", " - ", "BANK/CREDIT CARD FEES")</f>
        <v xml:space="preserve">          6381 - BANK/CREDIT CARD FEES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4064.54</v>
      </c>
      <c r="U37" s="2"/>
      <c r="V37" s="7">
        <f t="shared" si="36"/>
        <v>2.5841020132019641E-2</v>
      </c>
      <c r="W37" s="2"/>
      <c r="X37" s="6">
        <f t="shared" si="37"/>
        <v>-4064.54</v>
      </c>
      <c r="Y37" s="2"/>
      <c r="Z37" s="7">
        <f t="shared" si="38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SUM(OSRRefD22_5x_0)</f>
        <v>479.29</v>
      </c>
      <c r="E38" s="1"/>
      <c r="F38" s="5">
        <f t="shared" si="31"/>
        <v>0</v>
      </c>
      <c r="G38" s="1"/>
      <c r="H38" s="1">
        <f>SUM(OSRRefH22_5x_0)</f>
        <v>479.29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5272.19</v>
      </c>
      <c r="Q38" s="1"/>
      <c r="R38" s="5">
        <f t="shared" si="35"/>
        <v>0</v>
      </c>
      <c r="S38" s="1"/>
      <c r="T38" s="1">
        <f>SUM(OSRRefT22_5x_0)</f>
        <v>1437.87</v>
      </c>
      <c r="U38" s="1"/>
      <c r="V38" s="5">
        <f t="shared" si="36"/>
        <v>9.1415086620446791E-3</v>
      </c>
      <c r="W38" s="1"/>
      <c r="X38" s="1">
        <f t="shared" si="37"/>
        <v>3834.3199999999997</v>
      </c>
      <c r="Y38" s="1"/>
      <c r="Z38" s="5">
        <f t="shared" si="38"/>
        <v>2.6666666666666665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479.29</v>
      </c>
      <c r="E39" s="2"/>
      <c r="F39" s="7">
        <f t="shared" si="31"/>
        <v>0</v>
      </c>
      <c r="G39" s="2"/>
      <c r="H39" s="6">
        <v>479.29</v>
      </c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>
        <v>5272.19</v>
      </c>
      <c r="Q39" s="2"/>
      <c r="R39" s="7">
        <f t="shared" si="35"/>
        <v>0</v>
      </c>
      <c r="S39" s="2"/>
      <c r="T39" s="6">
        <v>1437.87</v>
      </c>
      <c r="U39" s="2"/>
      <c r="V39" s="7">
        <f t="shared" si="36"/>
        <v>9.1415086620446791E-3</v>
      </c>
      <c r="W39" s="2"/>
      <c r="X39" s="6">
        <f t="shared" si="37"/>
        <v>3834.3199999999997</v>
      </c>
      <c r="Y39" s="2"/>
      <c r="Z39" s="7">
        <f t="shared" si="38"/>
        <v>2.6666666666666665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307.2</v>
      </c>
      <c r="U40" s="1"/>
      <c r="V40" s="5">
        <f t="shared" si="36"/>
        <v>1.9530774416185923E-3</v>
      </c>
      <c r="W40" s="1"/>
      <c r="X40" s="1">
        <f t="shared" si="37"/>
        <v>-307.2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307.2</v>
      </c>
      <c r="U41" s="2"/>
      <c r="V41" s="7">
        <f t="shared" si="36"/>
        <v>1.9530774416185923E-3</v>
      </c>
      <c r="W41" s="2"/>
      <c r="X41" s="6">
        <f t="shared" si="37"/>
        <v>-307.2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978.55</v>
      </c>
      <c r="Q42" s="1"/>
      <c r="R42" s="5">
        <f t="shared" si="35"/>
        <v>0</v>
      </c>
      <c r="S42" s="1"/>
      <c r="T42" s="1">
        <f>SUM(OSRRefT22_7x_0)</f>
        <v>5005.68</v>
      </c>
      <c r="U42" s="1"/>
      <c r="V42" s="5">
        <f t="shared" si="36"/>
        <v>3.1824481406124205E-2</v>
      </c>
      <c r="W42" s="1"/>
      <c r="X42" s="1">
        <f t="shared" si="37"/>
        <v>-4027.13</v>
      </c>
      <c r="Y42" s="1"/>
      <c r="Z42" s="5">
        <f t="shared" si="38"/>
        <v>-0.80451207428361382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>
        <v>978.55</v>
      </c>
      <c r="Q43" s="2"/>
      <c r="R43" s="7">
        <f t="shared" si="35"/>
        <v>0</v>
      </c>
      <c r="S43" s="2"/>
      <c r="T43" s="6">
        <v>5005.68</v>
      </c>
      <c r="U43" s="2"/>
      <c r="V43" s="7">
        <f t="shared" si="36"/>
        <v>3.1824481406124205E-2</v>
      </c>
      <c r="W43" s="2"/>
      <c r="X43" s="6">
        <f t="shared" si="37"/>
        <v>-4027.13</v>
      </c>
      <c r="Y43" s="2"/>
      <c r="Z43" s="7">
        <f t="shared" si="38"/>
        <v>-0.80451207428361382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SUM(OSRRefD22_8x_0)</f>
        <v>0</v>
      </c>
      <c r="E44" s="1"/>
      <c r="F44" s="5">
        <f t="shared" si="31"/>
        <v>0</v>
      </c>
      <c r="G44" s="1"/>
      <c r="H44" s="1">
        <f>SUM(OSRRefH22_8x_0)</f>
        <v>0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SUM(OSRRefP22_8x_0)</f>
        <v>154.33000000000001</v>
      </c>
      <c r="Q44" s="1"/>
      <c r="R44" s="5">
        <f t="shared" si="35"/>
        <v>0</v>
      </c>
      <c r="S44" s="1"/>
      <c r="T44" s="1">
        <f>SUM(OSRRefT22_8x_0)</f>
        <v>1797.2199999999998</v>
      </c>
      <c r="U44" s="1"/>
      <c r="V44" s="5">
        <f t="shared" si="36"/>
        <v>1.1426138800865125E-2</v>
      </c>
      <c r="W44" s="1"/>
      <c r="X44" s="1">
        <f t="shared" si="37"/>
        <v>-1642.8899999999999</v>
      </c>
      <c r="Y44" s="1"/>
      <c r="Z44" s="5">
        <f t="shared" si="38"/>
        <v>-0.91412848733043262</v>
      </c>
    </row>
    <row r="45" spans="1:26" s="23" customFormat="1" hidden="1" outlineLevel="2" x14ac:dyDescent="0.25">
      <c r="A45" s="27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154.33000000000001</v>
      </c>
      <c r="Q45" s="2"/>
      <c r="R45" s="7">
        <f t="shared" si="35"/>
        <v>0</v>
      </c>
      <c r="S45" s="2"/>
      <c r="T45" s="6">
        <v>296.64</v>
      </c>
      <c r="U45" s="2"/>
      <c r="V45" s="7">
        <f t="shared" si="36"/>
        <v>1.8859404045629532E-3</v>
      </c>
      <c r="W45" s="2"/>
      <c r="X45" s="6">
        <f t="shared" si="37"/>
        <v>-142.30999999999997</v>
      </c>
      <c r="Y45" s="2"/>
      <c r="Z45" s="7">
        <f t="shared" si="38"/>
        <v>-0.4797397518878101</v>
      </c>
    </row>
    <row r="46" spans="1:26" s="23" customFormat="1" hidden="1" outlineLevel="2" x14ac:dyDescent="0.25">
      <c r="A46" s="27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1500.58</v>
      </c>
      <c r="U46" s="2"/>
      <c r="V46" s="7">
        <f t="shared" si="36"/>
        <v>9.5401983963021731E-3</v>
      </c>
      <c r="W46" s="2"/>
      <c r="X46" s="6">
        <f t="shared" si="37"/>
        <v>-1500.58</v>
      </c>
      <c r="Y46" s="2"/>
      <c r="Z46" s="7">
        <f t="shared" si="38"/>
        <v>-1</v>
      </c>
    </row>
    <row r="47" spans="1:26" s="26" customFormat="1" outlineLevel="1" collapsed="1" x14ac:dyDescent="0.25">
      <c r="A47" s="25"/>
      <c r="B47" s="12" t="str">
        <f>CONCATENATE("     ","Royalty &amp; Commissions                             ")</f>
        <v xml:space="preserve">     Royalty &amp; Commissions                             </v>
      </c>
      <c r="C47" s="12"/>
      <c r="D47" s="1">
        <f>SUM(OSRRefD22_9x_0)</f>
        <v>0</v>
      </c>
      <c r="E47" s="1"/>
      <c r="F47" s="5">
        <f t="shared" ref="F47:F56" si="39">IF(D$12=0,0,D47/D$12)</f>
        <v>0</v>
      </c>
      <c r="G47" s="1"/>
      <c r="H47" s="1">
        <f>SUM(OSRRefH22_9x_0)</f>
        <v>0</v>
      </c>
      <c r="I47" s="1"/>
      <c r="J47" s="5">
        <f t="shared" ref="J47:J56" si="40">IF(H$12=0,0,H47/H$12)</f>
        <v>0</v>
      </c>
      <c r="K47" s="1"/>
      <c r="L47" s="1">
        <f t="shared" ref="L47:L56" si="41">+D47-H47</f>
        <v>0</v>
      </c>
      <c r="M47" s="1"/>
      <c r="N47" s="5">
        <f t="shared" ref="N47:N56" si="42">IF(H47=0,0,L47/H47)</f>
        <v>0</v>
      </c>
      <c r="O47" s="12"/>
      <c r="P47" s="1">
        <f>SUM(OSRRefP22_9x_0)</f>
        <v>0</v>
      </c>
      <c r="Q47" s="1"/>
      <c r="R47" s="5">
        <f t="shared" ref="R47:R56" si="43">IF(P$12=0,0,P47/P$12)</f>
        <v>0</v>
      </c>
      <c r="S47" s="1"/>
      <c r="T47" s="1">
        <f>SUM(OSRRefT22_9x_0)</f>
        <v>35313.08</v>
      </c>
      <c r="U47" s="1"/>
      <c r="V47" s="5">
        <f t="shared" ref="V47:V56" si="44">IF(T$12=0,0,T47/T$12)</f>
        <v>0.2245090492906012</v>
      </c>
      <c r="W47" s="1"/>
      <c r="X47" s="1">
        <f t="shared" ref="X47:X56" si="45">+P47-T47</f>
        <v>-35313.08</v>
      </c>
      <c r="Y47" s="1"/>
      <c r="Z47" s="5">
        <f t="shared" ref="Z47:Z56" si="46">IF(T47=0,0,X47/T47)</f>
        <v>-1</v>
      </c>
    </row>
    <row r="48" spans="1:26" s="23" customFormat="1" hidden="1" outlineLevel="2" x14ac:dyDescent="0.25">
      <c r="A48" s="27"/>
      <c r="B48" s="10" t="str">
        <f>CONCATENATE("          ", "6254", " - ", "ROYALTY &amp; COMMISSIONS")</f>
        <v xml:space="preserve">          6254 - ROYALTY &amp; COMMISSIONS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35313.08</v>
      </c>
      <c r="U48" s="2"/>
      <c r="V48" s="7">
        <f t="shared" si="44"/>
        <v>0.2245090492906012</v>
      </c>
      <c r="W48" s="2"/>
      <c r="X48" s="6">
        <f t="shared" si="45"/>
        <v>-35313.08</v>
      </c>
      <c r="Y48" s="2"/>
      <c r="Z48" s="7">
        <f t="shared" si="46"/>
        <v>-1</v>
      </c>
    </row>
    <row r="49" spans="1:26" s="26" customFormat="1" outlineLevel="1" collapsed="1" x14ac:dyDescent="0.25">
      <c r="A49" s="25"/>
      <c r="B49" s="12" t="str">
        <f>CONCATENATE("     ","Services                                          ")</f>
        <v xml:space="preserve">     Services                                          </v>
      </c>
      <c r="C49" s="12"/>
      <c r="D49" s="1">
        <f>SUM(OSRRefD22_10x_0)</f>
        <v>0</v>
      </c>
      <c r="E49" s="1"/>
      <c r="F49" s="5">
        <f t="shared" si="39"/>
        <v>0</v>
      </c>
      <c r="G49" s="1"/>
      <c r="H49" s="1">
        <f>SUM(OSRRefH22_10x_0)</f>
        <v>0</v>
      </c>
      <c r="I49" s="1"/>
      <c r="J49" s="5">
        <f t="shared" si="40"/>
        <v>0</v>
      </c>
      <c r="K49" s="1"/>
      <c r="L49" s="1">
        <f t="shared" si="41"/>
        <v>0</v>
      </c>
      <c r="M49" s="1"/>
      <c r="N49" s="5">
        <f t="shared" si="42"/>
        <v>0</v>
      </c>
      <c r="O49" s="12"/>
      <c r="P49" s="1">
        <f>SUM(OSRRefP22_10x_0)</f>
        <v>0</v>
      </c>
      <c r="Q49" s="1"/>
      <c r="R49" s="5">
        <f t="shared" si="43"/>
        <v>0</v>
      </c>
      <c r="S49" s="1"/>
      <c r="T49" s="1">
        <f>SUM(OSRRefT22_10x_0)</f>
        <v>126</v>
      </c>
      <c r="U49" s="1"/>
      <c r="V49" s="5">
        <f t="shared" si="44"/>
        <v>8.0106691941387578E-4</v>
      </c>
      <c r="W49" s="1"/>
      <c r="X49" s="1">
        <f t="shared" si="45"/>
        <v>-126</v>
      </c>
      <c r="Y49" s="1"/>
      <c r="Z49" s="5">
        <f t="shared" si="46"/>
        <v>-1</v>
      </c>
    </row>
    <row r="50" spans="1:26" s="23" customFormat="1" hidden="1" outlineLevel="2" x14ac:dyDescent="0.25">
      <c r="A50" s="27"/>
      <c r="B50" s="10" t="str">
        <f>CONCATENATE("          ", "6286", " - ", "LAUNDRY EXPENSE")</f>
        <v xml:space="preserve">          6286 - LAUNDRY EXPENSE</v>
      </c>
      <c r="C50" s="10"/>
      <c r="D50" s="6"/>
      <c r="E50" s="2"/>
      <c r="F50" s="7">
        <f t="shared" si="39"/>
        <v>0</v>
      </c>
      <c r="G50" s="2"/>
      <c r="H50" s="6"/>
      <c r="I50" s="2"/>
      <c r="J50" s="7">
        <f t="shared" si="40"/>
        <v>0</v>
      </c>
      <c r="K50" s="2"/>
      <c r="L50" s="6">
        <f t="shared" si="41"/>
        <v>0</v>
      </c>
      <c r="M50" s="2"/>
      <c r="N50" s="7">
        <f t="shared" si="42"/>
        <v>0</v>
      </c>
      <c r="O50" s="10"/>
      <c r="P50" s="6"/>
      <c r="Q50" s="2"/>
      <c r="R50" s="7">
        <f t="shared" si="43"/>
        <v>0</v>
      </c>
      <c r="S50" s="2"/>
      <c r="T50" s="6">
        <v>126</v>
      </c>
      <c r="U50" s="2"/>
      <c r="V50" s="7">
        <f t="shared" si="44"/>
        <v>8.0106691941387578E-4</v>
      </c>
      <c r="W50" s="2"/>
      <c r="X50" s="6">
        <f t="shared" si="45"/>
        <v>-126</v>
      </c>
      <c r="Y50" s="2"/>
      <c r="Z50" s="7">
        <f t="shared" si="46"/>
        <v>-1</v>
      </c>
    </row>
    <row r="51" spans="1:26" s="26" customFormat="1" outlineLevel="1" collapsed="1" x14ac:dyDescent="0.25">
      <c r="A51" s="25"/>
      <c r="B51" s="12" t="str">
        <f>CONCATENATE("     ","Supplies                                          ")</f>
        <v xml:space="preserve">     Supplies                                          </v>
      </c>
      <c r="C51" s="12"/>
      <c r="D51" s="1">
        <f>SUM(OSRRefD22_11x_0)</f>
        <v>0</v>
      </c>
      <c r="E51" s="1"/>
      <c r="F51" s="5">
        <f t="shared" si="39"/>
        <v>0</v>
      </c>
      <c r="G51" s="1"/>
      <c r="H51" s="1">
        <f>SUM(OSRRefH22_11x_0)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2"/>
      <c r="P51" s="1">
        <f>SUM(OSRRefP22_11x_0)</f>
        <v>0</v>
      </c>
      <c r="Q51" s="1"/>
      <c r="R51" s="5">
        <f t="shared" si="43"/>
        <v>0</v>
      </c>
      <c r="S51" s="1"/>
      <c r="T51" s="1">
        <f>SUM(OSRRefT22_11x_0)</f>
        <v>6070.7100000000009</v>
      </c>
      <c r="U51" s="1"/>
      <c r="V51" s="5">
        <f t="shared" si="44"/>
        <v>3.8595594907579453E-2</v>
      </c>
      <c r="W51" s="1"/>
      <c r="X51" s="1">
        <f t="shared" si="45"/>
        <v>-6070.7100000000009</v>
      </c>
      <c r="Y51" s="1"/>
      <c r="Z51" s="5">
        <f t="shared" si="46"/>
        <v>-1</v>
      </c>
    </row>
    <row r="52" spans="1:26" s="23" customFormat="1" hidden="1" outlineLevel="2" x14ac:dyDescent="0.25">
      <c r="A52" s="27"/>
      <c r="B52" s="10" t="str">
        <f>CONCATENATE("          ", "6237", " - ", "JANITORIAL SUPPLIES")</f>
        <v xml:space="preserve">          6237 - JANITORIAL SUPPLIES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/>
      <c r="Q52" s="2"/>
      <c r="R52" s="7">
        <f t="shared" si="43"/>
        <v>0</v>
      </c>
      <c r="S52" s="2"/>
      <c r="T52" s="6">
        <v>78.81</v>
      </c>
      <c r="U52" s="2"/>
      <c r="V52" s="7">
        <f t="shared" si="44"/>
        <v>5.0104828507148858E-4</v>
      </c>
      <c r="W52" s="2"/>
      <c r="X52" s="6">
        <f t="shared" si="45"/>
        <v>-78.81</v>
      </c>
      <c r="Y52" s="2"/>
      <c r="Z52" s="7">
        <f t="shared" si="46"/>
        <v>-1</v>
      </c>
    </row>
    <row r="53" spans="1:26" s="23" customFormat="1" hidden="1" outlineLevel="2" x14ac:dyDescent="0.25">
      <c r="A53" s="27"/>
      <c r="B53" s="10" t="str">
        <f>CONCATENATE("          ", "6239", " - ", "KITCHEN SUPPLIES")</f>
        <v xml:space="preserve">          6239 - KITCHEN SUPPLIES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4802.42</v>
      </c>
      <c r="U53" s="2"/>
      <c r="V53" s="7">
        <f t="shared" si="44"/>
        <v>3.0532220596282425E-2</v>
      </c>
      <c r="W53" s="2"/>
      <c r="X53" s="6">
        <f t="shared" si="45"/>
        <v>-4802.42</v>
      </c>
      <c r="Y53" s="2"/>
      <c r="Z53" s="7">
        <f t="shared" si="46"/>
        <v>-1</v>
      </c>
    </row>
    <row r="54" spans="1:26" s="23" customFormat="1" hidden="1" outlineLevel="2" x14ac:dyDescent="0.25">
      <c r="A54" s="27"/>
      <c r="B54" s="10" t="str">
        <f>CONCATENATE("          ", "6241", " - ", "OFFICE EXPENSE")</f>
        <v xml:space="preserve">          6241 - OFFICE EXPENSE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135.93</v>
      </c>
      <c r="U54" s="2"/>
      <c r="V54" s="7">
        <f t="shared" si="44"/>
        <v>8.6419862187244562E-4</v>
      </c>
      <c r="W54" s="2"/>
      <c r="X54" s="6">
        <f t="shared" si="45"/>
        <v>-135.93</v>
      </c>
      <c r="Y54" s="2"/>
      <c r="Z54" s="7">
        <f t="shared" si="46"/>
        <v>-1</v>
      </c>
    </row>
    <row r="55" spans="1:26" s="23" customFormat="1" hidden="1" outlineLevel="2" x14ac:dyDescent="0.25">
      <c r="A55" s="27"/>
      <c r="B55" s="10" t="str">
        <f>CONCATENATE("          ", "6243", " - ", "PAPER SUPPLIES")</f>
        <v xml:space="preserve">          6243 - PAPER SUPPLIES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-642.03</v>
      </c>
      <c r="U55" s="2"/>
      <c r="V55" s="7">
        <f t="shared" si="44"/>
        <v>-4.0818174148515131E-3</v>
      </c>
      <c r="W55" s="2"/>
      <c r="X55" s="6">
        <f t="shared" si="45"/>
        <v>642.03</v>
      </c>
      <c r="Y55" s="2"/>
      <c r="Z55" s="7">
        <f t="shared" si="46"/>
        <v>-1</v>
      </c>
    </row>
    <row r="56" spans="1:26" s="23" customFormat="1" hidden="1" outlineLevel="2" x14ac:dyDescent="0.25">
      <c r="A56" s="27"/>
      <c r="B56" s="10" t="str">
        <f>CONCATENATE("          ", "6247", " - ", "STORE SUPPLIES")</f>
        <v xml:space="preserve">          6247 - STORE SUPPLIES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/>
      <c r="Q56" s="2"/>
      <c r="R56" s="7">
        <f t="shared" si="43"/>
        <v>0</v>
      </c>
      <c r="S56" s="2"/>
      <c r="T56" s="6">
        <v>1695.58</v>
      </c>
      <c r="U56" s="2"/>
      <c r="V56" s="7">
        <f t="shared" si="44"/>
        <v>1.07799448192046E-2</v>
      </c>
      <c r="W56" s="2"/>
      <c r="X56" s="6">
        <f t="shared" si="45"/>
        <v>-1695.58</v>
      </c>
      <c r="Y56" s="2"/>
      <c r="Z56" s="7">
        <f t="shared" si="46"/>
        <v>-1</v>
      </c>
    </row>
    <row r="57" spans="1:26" s="26" customFormat="1" outlineLevel="1" collapsed="1" x14ac:dyDescent="0.25">
      <c r="A57" s="25"/>
      <c r="B57" s="12" t="str">
        <f>CONCATENATE("     ","Telephone/Data Lines                              ")</f>
        <v xml:space="preserve">     Telephone/Data Lines                              </v>
      </c>
      <c r="C57" s="12"/>
      <c r="D57" s="1">
        <f>SUM(OSRRefD22_12x_0)</f>
        <v>0</v>
      </c>
      <c r="E57" s="1"/>
      <c r="F57" s="5">
        <f t="shared" ref="F57:F58" si="47">IF(D$12=0,0,D57/D$12)</f>
        <v>0</v>
      </c>
      <c r="G57" s="1"/>
      <c r="H57" s="1">
        <f>SUM(OSRRefH22_12x_0)</f>
        <v>214.01</v>
      </c>
      <c r="I57" s="1"/>
      <c r="J57" s="5">
        <f t="shared" ref="J57:J58" si="48">IF(H$12=0,0,H57/H$12)</f>
        <v>0</v>
      </c>
      <c r="K57" s="1"/>
      <c r="L57" s="1">
        <f t="shared" ref="L57:L58" si="49">+D57-H57</f>
        <v>-214.01</v>
      </c>
      <c r="M57" s="1"/>
      <c r="N57" s="5">
        <f t="shared" ref="N57:N58" si="50">IF(H57=0,0,L57/H57)</f>
        <v>-1</v>
      </c>
      <c r="O57" s="12"/>
      <c r="P57" s="1">
        <f>SUM(OSRRefP22_12x_0)</f>
        <v>428.01</v>
      </c>
      <c r="Q57" s="1"/>
      <c r="R57" s="5">
        <f t="shared" ref="R57:R58" si="51">IF(P$12=0,0,P57/P$12)</f>
        <v>0</v>
      </c>
      <c r="S57" s="1"/>
      <c r="T57" s="1">
        <f>SUM(OSRRefT22_12x_0)</f>
        <v>2354.1</v>
      </c>
      <c r="U57" s="1"/>
      <c r="V57" s="5">
        <f t="shared" ref="V57:V58" si="52">IF(T$12=0,0,T57/T$12)</f>
        <v>1.4966600277715913E-2</v>
      </c>
      <c r="W57" s="1"/>
      <c r="X57" s="1">
        <f t="shared" ref="X57:X58" si="53">+P57-T57</f>
        <v>-1926.09</v>
      </c>
      <c r="Y57" s="1"/>
      <c r="Z57" s="5">
        <f t="shared" ref="Z57:Z58" si="54">IF(T57=0,0,X57/T57)</f>
        <v>-0.81818529374283167</v>
      </c>
    </row>
    <row r="58" spans="1:26" s="23" customFormat="1" hidden="1" outlineLevel="2" x14ac:dyDescent="0.25">
      <c r="A58" s="27"/>
      <c r="B58" s="10" t="str">
        <f>CONCATENATE("          ", "6309", " - ", "TELEPHONE")</f>
        <v xml:space="preserve">          6309 - TELEPHONE</v>
      </c>
      <c r="C58" s="10"/>
      <c r="D58" s="6"/>
      <c r="E58" s="2"/>
      <c r="F58" s="7">
        <f t="shared" si="47"/>
        <v>0</v>
      </c>
      <c r="G58" s="2"/>
      <c r="H58" s="6">
        <v>214.01</v>
      </c>
      <c r="I58" s="2"/>
      <c r="J58" s="7">
        <f t="shared" si="48"/>
        <v>0</v>
      </c>
      <c r="K58" s="2"/>
      <c r="L58" s="6">
        <f t="shared" si="49"/>
        <v>-214.01</v>
      </c>
      <c r="M58" s="2"/>
      <c r="N58" s="7">
        <f t="shared" si="50"/>
        <v>-1</v>
      </c>
      <c r="O58" s="10"/>
      <c r="P58" s="6">
        <v>428.01</v>
      </c>
      <c r="Q58" s="2"/>
      <c r="R58" s="7">
        <f t="shared" si="51"/>
        <v>0</v>
      </c>
      <c r="S58" s="2"/>
      <c r="T58" s="6">
        <v>2354.1</v>
      </c>
      <c r="U58" s="2"/>
      <c r="V58" s="7">
        <f t="shared" si="52"/>
        <v>1.4966600277715913E-2</v>
      </c>
      <c r="W58" s="2"/>
      <c r="X58" s="6">
        <f t="shared" si="53"/>
        <v>-1926.09</v>
      </c>
      <c r="Y58" s="2"/>
      <c r="Z58" s="7">
        <f t="shared" si="54"/>
        <v>-0.81818529374283167</v>
      </c>
    </row>
    <row r="59" spans="1:26" s="57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4" customFormat="1" collapsed="1" x14ac:dyDescent="0.25">
      <c r="A60" s="11"/>
      <c r="B60" s="29" t="s">
        <v>292</v>
      </c>
      <c r="C60" s="11"/>
      <c r="D60" s="4">
        <f>SUM(OSRRefD25x_0)</f>
        <v>0</v>
      </c>
      <c r="E60" s="4"/>
      <c r="F60" s="13">
        <f t="shared" ref="F60:F61" si="55">IF(D$12=0,0,D60/D$12)</f>
        <v>0</v>
      </c>
      <c r="G60" s="4"/>
      <c r="H60" s="4">
        <f>SUM(OSRRefH25x_0)</f>
        <v>0</v>
      </c>
      <c r="I60" s="4"/>
      <c r="J60" s="13">
        <f t="shared" ref="J60:J61" si="56">IF(H$12=0,0,H60/H$12)</f>
        <v>0</v>
      </c>
      <c r="K60" s="4"/>
      <c r="L60" s="4">
        <f t="shared" ref="L60:L61" si="57">+D60-H60</f>
        <v>0</v>
      </c>
      <c r="M60" s="4"/>
      <c r="N60" s="13">
        <f t="shared" ref="N60:N61" si="58">IF(H60=0,0,L60/H60)</f>
        <v>0</v>
      </c>
      <c r="O60" s="11"/>
      <c r="P60" s="4">
        <f>SUM(OSRRefP25x_0)</f>
        <v>0</v>
      </c>
      <c r="Q60" s="4"/>
      <c r="R60" s="13">
        <f t="shared" ref="R60:R61" si="59">IF(P$12=0,0,P60/P$12)</f>
        <v>0</v>
      </c>
      <c r="S60" s="4"/>
      <c r="T60" s="4">
        <f>SUM(OSRRefT25x_0)</f>
        <v>8452.17</v>
      </c>
      <c r="U60" s="4"/>
      <c r="V60" s="13">
        <f t="shared" ref="V60:V61" si="60">IF(T$12=0,0,T60/T$12)</f>
        <v>5.3736141144939513E-2</v>
      </c>
      <c r="W60" s="4"/>
      <c r="X60" s="4">
        <f t="shared" ref="X60:X61" si="61">+P60-T60</f>
        <v>-8452.17</v>
      </c>
      <c r="Y60" s="4"/>
      <c r="Z60" s="13">
        <f t="shared" ref="Z60:Z61" si="62">IF(T60=0,0,X60/T60)</f>
        <v>-1</v>
      </c>
    </row>
    <row r="61" spans="1:26" s="23" customFormat="1" hidden="1" outlineLevel="1" x14ac:dyDescent="0.25">
      <c r="A61" s="44"/>
      <c r="B61" s="10" t="str">
        <f>CONCATENATE("          ", "9150", " - ", "MISC. INCOME")</f>
        <v xml:space="preserve">          9150 - MISC. INCOME</v>
      </c>
      <c r="C61" s="10"/>
      <c r="D61" s="2">
        <f>0</f>
        <v>0</v>
      </c>
      <c r="E61" s="2"/>
      <c r="F61" s="19">
        <f t="shared" si="55"/>
        <v>0</v>
      </c>
      <c r="G61" s="2"/>
      <c r="H61" s="2">
        <f>0</f>
        <v>0</v>
      </c>
      <c r="I61" s="2"/>
      <c r="J61" s="19">
        <f t="shared" si="56"/>
        <v>0</v>
      </c>
      <c r="K61" s="2"/>
      <c r="L61" s="2">
        <f t="shared" si="57"/>
        <v>0</v>
      </c>
      <c r="M61" s="2"/>
      <c r="N61" s="19">
        <f t="shared" si="58"/>
        <v>0</v>
      </c>
      <c r="O61" s="10"/>
      <c r="P61" s="2">
        <f>0</f>
        <v>0</v>
      </c>
      <c r="Q61" s="2"/>
      <c r="R61" s="19">
        <f t="shared" si="59"/>
        <v>0</v>
      </c>
      <c r="S61" s="2"/>
      <c r="T61" s="2">
        <f>--8452.17</f>
        <v>8452.17</v>
      </c>
      <c r="U61" s="2"/>
      <c r="V61" s="19">
        <f t="shared" si="60"/>
        <v>5.3736141144939513E-2</v>
      </c>
      <c r="W61" s="2"/>
      <c r="X61" s="2">
        <f t="shared" si="61"/>
        <v>-8452.17</v>
      </c>
      <c r="Y61" s="2"/>
      <c r="Z61" s="19">
        <f t="shared" si="62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8" t="s">
        <v>276</v>
      </c>
      <c r="C63" s="28"/>
      <c r="D63" s="20">
        <f>+D20-D22+D60</f>
        <v>-479.29</v>
      </c>
      <c r="E63" s="14"/>
      <c r="F63" s="21">
        <f>IF(D$12=0,0,D63/D$12)</f>
        <v>0</v>
      </c>
      <c r="G63" s="14"/>
      <c r="H63" s="20">
        <f>+H20-H22+H60</f>
        <v>-693.3</v>
      </c>
      <c r="I63" s="14"/>
      <c r="J63" s="21">
        <f>IF(H$12=0,0,H63/H$12)</f>
        <v>0</v>
      </c>
      <c r="K63" s="15"/>
      <c r="L63" s="20">
        <f>+D63-H63</f>
        <v>214.00999999999993</v>
      </c>
      <c r="M63" s="15"/>
      <c r="N63" s="21">
        <f>IF(H63=0,0,L63/H63)</f>
        <v>-0.30868310976489249</v>
      </c>
      <c r="O63" s="29"/>
      <c r="P63" s="20">
        <f>+P20-P22+P60</f>
        <v>-6833.08</v>
      </c>
      <c r="Q63" s="14"/>
      <c r="R63" s="21">
        <f>IF(P$12=0,0,P63/P$12)</f>
        <v>0</v>
      </c>
      <c r="S63" s="14"/>
      <c r="T63" s="20">
        <f>+T20-T22+T60</f>
        <v>32188.910000000018</v>
      </c>
      <c r="U63" s="14"/>
      <c r="V63" s="21">
        <f>IF(T$12=0,0,T63/T$12)</f>
        <v>0.20464659502373425</v>
      </c>
      <c r="W63" s="15"/>
      <c r="X63" s="20">
        <f>+P63-T63</f>
        <v>-39021.99000000002</v>
      </c>
      <c r="Y63" s="15"/>
      <c r="Z63" s="21">
        <f>IF(T63=0,0,X63/T63)</f>
        <v>-1.2122805649523392</v>
      </c>
    </row>
    <row r="64" spans="1:26" x14ac:dyDescent="0.25">
      <c r="A64" s="9"/>
      <c r="B64" s="11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51"/>
      <c r="B65" s="11" t="s">
        <v>127</v>
      </c>
      <c r="C65" s="11"/>
      <c r="D65" s="4"/>
      <c r="E65" s="4"/>
      <c r="F65" s="13">
        <f>IF(D$12=0,0,D65/D$12)</f>
        <v>0</v>
      </c>
      <c r="G65" s="4"/>
      <c r="H65" s="4">
        <v>767.22</v>
      </c>
      <c r="I65" s="4"/>
      <c r="J65" s="13">
        <f>IF(H$12=0,0,H65/H$12)</f>
        <v>0</v>
      </c>
      <c r="K65" s="4"/>
      <c r="L65" s="4">
        <f>+D65-H65</f>
        <v>-767.22</v>
      </c>
      <c r="M65" s="4"/>
      <c r="N65" s="13">
        <f>IF(H65=0,0,L65/H65)</f>
        <v>-1</v>
      </c>
      <c r="O65" s="11"/>
      <c r="P65" s="4"/>
      <c r="Q65" s="4"/>
      <c r="R65" s="13">
        <f>IF(P$12=0,0,P65/P$12)</f>
        <v>0</v>
      </c>
      <c r="S65" s="4"/>
      <c r="T65" s="4">
        <v>18626.400000000001</v>
      </c>
      <c r="U65" s="4"/>
      <c r="V65" s="13">
        <f>IF(T$12=0,0,T65/T$12)</f>
        <v>0.11842057831563982</v>
      </c>
      <c r="W65" s="4"/>
      <c r="X65" s="4">
        <f>+P65-T65</f>
        <v>-18626.400000000001</v>
      </c>
      <c r="Y65" s="4"/>
      <c r="Z65" s="13">
        <f>IF(T65=0,0,X65/T65)</f>
        <v>-1</v>
      </c>
    </row>
    <row r="66" spans="1:26" x14ac:dyDescent="0.25">
      <c r="A66" s="9"/>
      <c r="B66" s="11"/>
      <c r="C66" s="11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1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ht="15.75" thickBot="1" x14ac:dyDescent="0.3">
      <c r="A67" s="11"/>
      <c r="B67" s="28" t="s">
        <v>125</v>
      </c>
      <c r="C67" s="28"/>
      <c r="D67" s="35">
        <f>+D63-D65</f>
        <v>-479.29</v>
      </c>
      <c r="E67" s="14"/>
      <c r="F67" s="36">
        <f>IF(D$12=0,0,D67/D$12)</f>
        <v>0</v>
      </c>
      <c r="G67" s="14"/>
      <c r="H67" s="35">
        <f>+H63-H65</f>
        <v>-1460.52</v>
      </c>
      <c r="I67" s="14"/>
      <c r="J67" s="36">
        <f>IF(H$12=0,0,H67/H$12)</f>
        <v>0</v>
      </c>
      <c r="K67" s="15"/>
      <c r="L67" s="35">
        <f>D67-H67</f>
        <v>981.23</v>
      </c>
      <c r="M67" s="15"/>
      <c r="N67" s="36">
        <f>IF(H67=0,0,L67/H67)</f>
        <v>-0.67183605839016247</v>
      </c>
      <c r="O67" s="29"/>
      <c r="P67" s="35">
        <f>+P63-P65</f>
        <v>-6833.08</v>
      </c>
      <c r="Q67" s="14"/>
      <c r="R67" s="36">
        <f>IF(P$12=0,0,P67/P$12)</f>
        <v>0</v>
      </c>
      <c r="S67" s="14"/>
      <c r="T67" s="35">
        <f>+T63-T65</f>
        <v>13562.510000000017</v>
      </c>
      <c r="U67" s="14"/>
      <c r="V67" s="36">
        <f>IF(T$12=0,0,T67/T$12)</f>
        <v>8.6226016708094433E-2</v>
      </c>
      <c r="W67" s="15"/>
      <c r="X67" s="35">
        <f>P67-T67</f>
        <v>-20395.590000000018</v>
      </c>
      <c r="Y67" s="15"/>
      <c r="Z67" s="36">
        <f>IF(T67=0,0,X67/T67)</f>
        <v>-1.5038211953392102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ht="15.75" thickBot="1" x14ac:dyDescent="0.3">
      <c r="A70" s="11"/>
      <c r="B70" s="28" t="s">
        <v>293</v>
      </c>
      <c r="C70" s="28"/>
      <c r="D70" s="30">
        <f>SUM(D67:D69)</f>
        <v>-479.29</v>
      </c>
      <c r="E70" s="14"/>
      <c r="F70" s="31">
        <f>IF(D$12=0,0,D70/D$12)</f>
        <v>0</v>
      </c>
      <c r="G70" s="14"/>
      <c r="H70" s="30">
        <f>SUM(H67:H69)</f>
        <v>-1460.52</v>
      </c>
      <c r="I70" s="14"/>
      <c r="J70" s="31">
        <f>IF(H$12=0,0,H70/H$12)</f>
        <v>0</v>
      </c>
      <c r="K70" s="15"/>
      <c r="L70" s="30">
        <f>+D70-H70</f>
        <v>981.23</v>
      </c>
      <c r="M70" s="15"/>
      <c r="N70" s="31">
        <f>IF(H70=0,0,L70/H70)</f>
        <v>-0.67183605839016247</v>
      </c>
      <c r="O70" s="29"/>
      <c r="P70" s="30">
        <f>SUM(P67:P69)</f>
        <v>-6833.08</v>
      </c>
      <c r="Q70" s="14"/>
      <c r="R70" s="31">
        <f>IF(P$12=0,0,P70/P$12)</f>
        <v>0</v>
      </c>
      <c r="S70" s="14"/>
      <c r="T70" s="30">
        <f>SUM(T67:T69)</f>
        <v>13562.510000000017</v>
      </c>
      <c r="U70" s="14"/>
      <c r="V70" s="31">
        <f>IF(T$12=0,0,T70/T$12)</f>
        <v>8.6226016708094433E-2</v>
      </c>
      <c r="W70" s="15"/>
      <c r="X70" s="30">
        <f>+P70-T70</f>
        <v>-20395.590000000018</v>
      </c>
      <c r="Y70" s="15"/>
      <c r="Z70" s="31">
        <f>IF(T70=0,0,X70/T70)</f>
        <v>-1.5038211953392102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9">
        <v>44356.893348032405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2" t="s">
        <v>56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4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7" si="0">+D12-H12</f>
        <v>0</v>
      </c>
      <c r="M12" s="4"/>
      <c r="N12" s="13">
        <f t="shared" ref="N12:N17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392328.46</v>
      </c>
      <c r="U12" s="4"/>
      <c r="V12" s="13"/>
      <c r="W12" s="4"/>
      <c r="X12" s="4">
        <f t="shared" ref="X12:X17" si="2">+P12-T12</f>
        <v>-392328.46</v>
      </c>
      <c r="Y12" s="4"/>
      <c r="Z12" s="13">
        <f t="shared" ref="Z12:Z17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7" si="4">0</f>
        <v>0</v>
      </c>
      <c r="E13" s="2"/>
      <c r="F13" s="19"/>
      <c r="G13" s="2"/>
      <c r="H13" s="2">
        <f t="shared" ref="H13:H17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7" si="6"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--296449.41</f>
        <v>296449.40999999997</v>
      </c>
      <c r="U14" s="2"/>
      <c r="V14" s="19"/>
      <c r="W14" s="2"/>
      <c r="X14" s="2">
        <f t="shared" si="2"/>
        <v>-296449.40999999997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--95481.76</f>
        <v>95481.76</v>
      </c>
      <c r="U15" s="2"/>
      <c r="V15" s="19"/>
      <c r="W15" s="2"/>
      <c r="X15" s="2">
        <f t="shared" si="2"/>
        <v>-95481.76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"4151", " - ", "NON-TAXABLE SALES-FOOD")</f>
        <v xml:space="preserve">          4151 - NON-TAXABLE SALES-FOOD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--0.08</f>
        <v>0.08</v>
      </c>
      <c r="U16" s="2"/>
      <c r="V16" s="19"/>
      <c r="W16" s="2"/>
      <c r="X16" s="2">
        <f t="shared" si="2"/>
        <v>-0.08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"4152", " - ", "NON-TAXABLE SALES-FOOD")</f>
        <v xml:space="preserve">          4152 - NON-TAXABLE SALES-FOOD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6"/>
        <v>0</v>
      </c>
      <c r="Q17" s="2"/>
      <c r="R17" s="19"/>
      <c r="S17" s="2"/>
      <c r="T17" s="2">
        <f>--397.21</f>
        <v>397.21</v>
      </c>
      <c r="U17" s="2"/>
      <c r="V17" s="19"/>
      <c r="W17" s="2"/>
      <c r="X17" s="2">
        <f t="shared" si="2"/>
        <v>-397.21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9" t="s">
        <v>256</v>
      </c>
      <c r="C19" s="11"/>
      <c r="D19" s="4">
        <f>SUM(OSRRefD16x_0)</f>
        <v>0</v>
      </c>
      <c r="E19" s="4"/>
      <c r="F19" s="13">
        <f t="shared" ref="F19:F21" si="7">IF(D$12=0,0,D19/D$12)</f>
        <v>0</v>
      </c>
      <c r="G19" s="4"/>
      <c r="H19" s="4">
        <f>SUM(OSRRefH16x_0)</f>
        <v>0</v>
      </c>
      <c r="I19" s="4"/>
      <c r="J19" s="13">
        <f t="shared" ref="J19:J21" si="8">IF(H$12=0,0,H19/H$12)</f>
        <v>0</v>
      </c>
      <c r="K19" s="4"/>
      <c r="L19" s="4">
        <f t="shared" ref="L19:L21" si="9">+D19-H19</f>
        <v>0</v>
      </c>
      <c r="M19" s="4"/>
      <c r="N19" s="13">
        <f t="shared" ref="N19:N21" si="10">IF(H19=0,0,L19/H19)</f>
        <v>0</v>
      </c>
      <c r="O19" s="11"/>
      <c r="P19" s="4">
        <f>SUM(OSRRefP16x_0)</f>
        <v>-6593.4</v>
      </c>
      <c r="Q19" s="4"/>
      <c r="R19" s="13">
        <f t="shared" ref="R19:R21" si="11">IF(P$12=0,0,P19/P$12)</f>
        <v>0</v>
      </c>
      <c r="S19" s="4"/>
      <c r="T19" s="4">
        <f>SUM(OSRRefT16x_0)</f>
        <v>141393.09</v>
      </c>
      <c r="U19" s="4"/>
      <c r="V19" s="13">
        <f t="shared" ref="V19:V21" si="12">IF(T$12=0,0,T19/T$12)</f>
        <v>0.36039468051846146</v>
      </c>
      <c r="W19" s="4"/>
      <c r="X19" s="4">
        <f t="shared" ref="X19:X21" si="13">+P19-T19</f>
        <v>-147986.49</v>
      </c>
      <c r="Y19" s="4"/>
      <c r="Z19" s="13">
        <f t="shared" ref="Z19:Z21" si="14">IF(T19=0,0,X19/T19)</f>
        <v>-1.0466316989040978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/>
      <c r="E20" s="2"/>
      <c r="F20" s="19">
        <f t="shared" si="7"/>
        <v>0</v>
      </c>
      <c r="G20" s="2"/>
      <c r="H20" s="2"/>
      <c r="I20" s="2"/>
      <c r="J20" s="19">
        <f t="shared" si="8"/>
        <v>0</v>
      </c>
      <c r="K20" s="2"/>
      <c r="L20" s="2">
        <f t="shared" si="9"/>
        <v>0</v>
      </c>
      <c r="M20" s="2"/>
      <c r="N20" s="19">
        <f t="shared" si="10"/>
        <v>0</v>
      </c>
      <c r="O20" s="10"/>
      <c r="P20" s="2">
        <v>-6593.4</v>
      </c>
      <c r="Q20" s="2"/>
      <c r="R20" s="19">
        <f t="shared" si="11"/>
        <v>0</v>
      </c>
      <c r="S20" s="2"/>
      <c r="T20" s="2">
        <v>115476.09</v>
      </c>
      <c r="U20" s="2"/>
      <c r="V20" s="19">
        <f t="shared" si="12"/>
        <v>0.29433523634762565</v>
      </c>
      <c r="W20" s="2"/>
      <c r="X20" s="2">
        <f t="shared" si="13"/>
        <v>-122069.48999999999</v>
      </c>
      <c r="Y20" s="2"/>
      <c r="Z20" s="19">
        <f t="shared" si="14"/>
        <v>-1.0570975342168236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/>
      <c r="E21" s="2"/>
      <c r="F21" s="19">
        <f t="shared" si="7"/>
        <v>0</v>
      </c>
      <c r="G21" s="2"/>
      <c r="H21" s="2"/>
      <c r="I21" s="2"/>
      <c r="J21" s="19">
        <f t="shared" si="8"/>
        <v>0</v>
      </c>
      <c r="K21" s="2"/>
      <c r="L21" s="2">
        <f t="shared" si="9"/>
        <v>0</v>
      </c>
      <c r="M21" s="2"/>
      <c r="N21" s="19">
        <f t="shared" si="10"/>
        <v>0</v>
      </c>
      <c r="O21" s="10"/>
      <c r="P21" s="2"/>
      <c r="Q21" s="2"/>
      <c r="R21" s="19">
        <f t="shared" si="11"/>
        <v>0</v>
      </c>
      <c r="S21" s="2"/>
      <c r="T21" s="2">
        <v>25917</v>
      </c>
      <c r="U21" s="2"/>
      <c r="V21" s="19">
        <f t="shared" si="12"/>
        <v>6.6059444170835827E-2</v>
      </c>
      <c r="W21" s="2"/>
      <c r="X21" s="2">
        <f t="shared" si="13"/>
        <v>-25917</v>
      </c>
      <c r="Y21" s="2"/>
      <c r="Z21" s="19">
        <f t="shared" si="14"/>
        <v>-1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8" t="s">
        <v>107</v>
      </c>
      <c r="C23" s="28"/>
      <c r="D23" s="20">
        <f>D12-D19</f>
        <v>0</v>
      </c>
      <c r="E23" s="14"/>
      <c r="F23" s="21">
        <f>IF(D$12=0,0,D23/D$12)</f>
        <v>0</v>
      </c>
      <c r="G23" s="14"/>
      <c r="H23" s="20">
        <f>H12-H19</f>
        <v>0</v>
      </c>
      <c r="I23" s="14"/>
      <c r="J23" s="21">
        <f>IF(H$12=0,0,H23/H$12)</f>
        <v>0</v>
      </c>
      <c r="K23" s="15"/>
      <c r="L23" s="20">
        <f>+D23-H23</f>
        <v>0</v>
      </c>
      <c r="M23" s="15"/>
      <c r="N23" s="21">
        <f>IF(H23=0,0,L23/H23)</f>
        <v>0</v>
      </c>
      <c r="O23" s="29"/>
      <c r="P23" s="20">
        <f>P12-P19</f>
        <v>6593.4</v>
      </c>
      <c r="Q23" s="14"/>
      <c r="R23" s="21">
        <f>IF(P$12=0,0,P23/P$12)</f>
        <v>0</v>
      </c>
      <c r="S23" s="14"/>
      <c r="T23" s="20">
        <f>T12-T19</f>
        <v>250935.37000000002</v>
      </c>
      <c r="U23" s="14"/>
      <c r="V23" s="21">
        <f>IF(T$12=0,0,T23/T$12)</f>
        <v>0.63960531948153854</v>
      </c>
      <c r="W23" s="15"/>
      <c r="X23" s="20">
        <f>+P23-T23</f>
        <v>-244341.97000000003</v>
      </c>
      <c r="Y23" s="15"/>
      <c r="Z23" s="21">
        <f>IF(T23=0,0,X23/T23)</f>
        <v>-0.97372470847772474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9" t="s">
        <v>294</v>
      </c>
      <c r="C25" s="11"/>
      <c r="D25" s="22">
        <f>SUM(OSRRefD22x_0)</f>
        <v>1000.91</v>
      </c>
      <c r="E25" s="22"/>
      <c r="F25" s="32">
        <f t="shared" ref="F25:F35" si="15">IF(D$12=0,0,D25/D$12)</f>
        <v>0</v>
      </c>
      <c r="G25" s="22"/>
      <c r="H25" s="22">
        <f>SUM(OSRRefH22x_0)</f>
        <v>6716.6200000000008</v>
      </c>
      <c r="I25" s="22"/>
      <c r="J25" s="32">
        <f t="shared" ref="J25:J35" si="16">IF(H$12=0,0,H25/H$12)</f>
        <v>0</v>
      </c>
      <c r="K25" s="4"/>
      <c r="L25" s="22">
        <f t="shared" ref="L25:L35" si="17">+D25-H25</f>
        <v>-5715.7100000000009</v>
      </c>
      <c r="M25" s="4"/>
      <c r="N25" s="32">
        <f t="shared" ref="N25:N35" si="18">IF(H25=0,0,L25/H25)</f>
        <v>-0.85098010606525309</v>
      </c>
      <c r="O25" s="11"/>
      <c r="P25" s="22">
        <f>SUM(OSRRefP22x_0)</f>
        <v>14638.689999999999</v>
      </c>
      <c r="Q25" s="22"/>
      <c r="R25" s="32">
        <f t="shared" ref="R25:R35" si="19">IF(P$12=0,0,P25/P$12)</f>
        <v>0</v>
      </c>
      <c r="S25" s="22"/>
      <c r="T25" s="22">
        <f>SUM(OSRRefT22x_0)</f>
        <v>331022.89999999997</v>
      </c>
      <c r="U25" s="22"/>
      <c r="V25" s="32">
        <f t="shared" ref="V25:V35" si="20">IF(T$12=0,0,T25/T$12)</f>
        <v>0.84373919750812865</v>
      </c>
      <c r="W25" s="4"/>
      <c r="X25" s="22">
        <f t="shared" ref="X25:X35" si="21">+P25-T25</f>
        <v>-316384.20999999996</v>
      </c>
      <c r="Y25" s="4"/>
      <c r="Z25" s="32">
        <f t="shared" ref="Z25:Z35" si="22">IF(T25=0,0,X25/T25)</f>
        <v>-0.95577740996166727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5"/>
        <v>0</v>
      </c>
      <c r="G26" s="1"/>
      <c r="H26" s="1">
        <f>SUM(OSRRefH22_0x_0)</f>
        <v>2070.2800000000002</v>
      </c>
      <c r="I26" s="1"/>
      <c r="J26" s="5">
        <f t="shared" si="16"/>
        <v>0</v>
      </c>
      <c r="K26" s="1"/>
      <c r="L26" s="1">
        <f t="shared" si="17"/>
        <v>-2070.2800000000002</v>
      </c>
      <c r="M26" s="1"/>
      <c r="N26" s="5">
        <f t="shared" si="18"/>
        <v>-1</v>
      </c>
      <c r="O26" s="12"/>
      <c r="P26" s="1">
        <f>SUM(OSRRefP22_0x_0)</f>
        <v>1420.5</v>
      </c>
      <c r="Q26" s="1"/>
      <c r="R26" s="5">
        <f t="shared" si="19"/>
        <v>0</v>
      </c>
      <c r="S26" s="1"/>
      <c r="T26" s="1">
        <f>SUM(OSRRefT22_0x_0)</f>
        <v>36436.340000000004</v>
      </c>
      <c r="U26" s="1"/>
      <c r="V26" s="5">
        <f t="shared" si="20"/>
        <v>9.2872028707782259E-2</v>
      </c>
      <c r="W26" s="1"/>
      <c r="X26" s="1">
        <f t="shared" si="21"/>
        <v>-35015.840000000004</v>
      </c>
      <c r="Y26" s="1"/>
      <c r="Z26" s="5">
        <f t="shared" si="22"/>
        <v>-0.96101419626669415</v>
      </c>
    </row>
    <row r="27" spans="1:26" s="23" customFormat="1" hidden="1" outlineLevel="2" x14ac:dyDescent="0.25">
      <c r="A27" s="27"/>
      <c r="B27" s="10" t="str">
        <f>CONCATENATE("          ", "6111", " - ", "F.I.C.A.")</f>
        <v xml:space="preserve">          6111 - F.I.C.A.</v>
      </c>
      <c r="C27" s="10"/>
      <c r="D27" s="6"/>
      <c r="E27" s="2"/>
      <c r="F27" s="7">
        <f t="shared" si="15"/>
        <v>0</v>
      </c>
      <c r="G27" s="2"/>
      <c r="H27" s="6">
        <v>341.58</v>
      </c>
      <c r="I27" s="2"/>
      <c r="J27" s="7">
        <f t="shared" si="16"/>
        <v>0</v>
      </c>
      <c r="K27" s="2"/>
      <c r="L27" s="6">
        <f t="shared" si="17"/>
        <v>-341.58</v>
      </c>
      <c r="M27" s="2"/>
      <c r="N27" s="7">
        <f t="shared" si="18"/>
        <v>-1</v>
      </c>
      <c r="O27" s="10"/>
      <c r="P27" s="6">
        <v>171.54</v>
      </c>
      <c r="Q27" s="2"/>
      <c r="R27" s="7">
        <f t="shared" si="19"/>
        <v>0</v>
      </c>
      <c r="S27" s="2"/>
      <c r="T27" s="6">
        <v>8322.7900000000009</v>
      </c>
      <c r="U27" s="2"/>
      <c r="V27" s="7">
        <f t="shared" si="20"/>
        <v>2.121383189993405E-2</v>
      </c>
      <c r="W27" s="2"/>
      <c r="X27" s="6">
        <f t="shared" si="21"/>
        <v>-8151.2500000000009</v>
      </c>
      <c r="Y27" s="2"/>
      <c r="Z27" s="7">
        <f t="shared" si="22"/>
        <v>-0.97938912311856963</v>
      </c>
    </row>
    <row r="28" spans="1:26" s="23" customFormat="1" hidden="1" outlineLevel="2" x14ac:dyDescent="0.25">
      <c r="A28" s="27"/>
      <c r="B28" s="10" t="str">
        <f>CONCATENATE("          ", "6112", " - ", "COMPENSATION INSURANCE")</f>
        <v xml:space="preserve">          6112 - COMPENSATION INSURANCE</v>
      </c>
      <c r="C28" s="10"/>
      <c r="D28" s="6"/>
      <c r="E28" s="2"/>
      <c r="F28" s="7">
        <f t="shared" si="15"/>
        <v>0</v>
      </c>
      <c r="G28" s="2"/>
      <c r="H28" s="6">
        <v>259.88</v>
      </c>
      <c r="I28" s="2"/>
      <c r="J28" s="7">
        <f t="shared" si="16"/>
        <v>0</v>
      </c>
      <c r="K28" s="2"/>
      <c r="L28" s="6">
        <f t="shared" si="17"/>
        <v>-259.88</v>
      </c>
      <c r="M28" s="2"/>
      <c r="N28" s="7">
        <f t="shared" si="18"/>
        <v>-1</v>
      </c>
      <c r="O28" s="10"/>
      <c r="P28" s="6"/>
      <c r="Q28" s="2"/>
      <c r="R28" s="7">
        <f t="shared" si="19"/>
        <v>0</v>
      </c>
      <c r="S28" s="2"/>
      <c r="T28" s="6">
        <v>6577.47</v>
      </c>
      <c r="U28" s="2"/>
      <c r="V28" s="7">
        <f t="shared" si="20"/>
        <v>1.676521249567263E-2</v>
      </c>
      <c r="W28" s="2"/>
      <c r="X28" s="6">
        <f t="shared" si="21"/>
        <v>-6577.47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"6113", " - ", "GROUP INSURANCE")</f>
        <v xml:space="preserve">          6113 - GROUP INSURANCE</v>
      </c>
      <c r="C29" s="10"/>
      <c r="D29" s="6"/>
      <c r="E29" s="2"/>
      <c r="F29" s="7">
        <f t="shared" si="15"/>
        <v>0</v>
      </c>
      <c r="G29" s="2"/>
      <c r="H29" s="6">
        <v>699.3</v>
      </c>
      <c r="I29" s="2"/>
      <c r="J29" s="7">
        <f t="shared" si="16"/>
        <v>0</v>
      </c>
      <c r="K29" s="2"/>
      <c r="L29" s="6">
        <f t="shared" si="17"/>
        <v>-699.3</v>
      </c>
      <c r="M29" s="2"/>
      <c r="N29" s="7">
        <f t="shared" si="18"/>
        <v>-1</v>
      </c>
      <c r="O29" s="10"/>
      <c r="P29" s="6">
        <v>699.3</v>
      </c>
      <c r="Q29" s="2"/>
      <c r="R29" s="7">
        <f t="shared" si="19"/>
        <v>0</v>
      </c>
      <c r="S29" s="2"/>
      <c r="T29" s="6">
        <v>9074.1299999999992</v>
      </c>
      <c r="U29" s="2"/>
      <c r="V29" s="7">
        <f t="shared" si="20"/>
        <v>2.3128910913065036E-2</v>
      </c>
      <c r="W29" s="2"/>
      <c r="X29" s="6">
        <f t="shared" si="21"/>
        <v>-8374.83</v>
      </c>
      <c r="Y29" s="2"/>
      <c r="Z29" s="7">
        <f t="shared" si="22"/>
        <v>-0.92293476068780156</v>
      </c>
    </row>
    <row r="30" spans="1:26" s="23" customFormat="1" hidden="1" outlineLevel="2" x14ac:dyDescent="0.25">
      <c r="A30" s="27"/>
      <c r="B30" s="10" t="str">
        <f>CONCATENATE("          ", "6114", " - ", "STATE UNEMPLOYMENT INSURANCE")</f>
        <v xml:space="preserve">          6114 - STATE UNEMPLOYMENT INSURANCE</v>
      </c>
      <c r="C30" s="10"/>
      <c r="D30" s="6"/>
      <c r="E30" s="2"/>
      <c r="F30" s="7">
        <f t="shared" si="15"/>
        <v>0</v>
      </c>
      <c r="G30" s="2"/>
      <c r="H30" s="6">
        <v>17.41</v>
      </c>
      <c r="I30" s="2"/>
      <c r="J30" s="7">
        <f t="shared" si="16"/>
        <v>0</v>
      </c>
      <c r="K30" s="2"/>
      <c r="L30" s="6">
        <f t="shared" si="17"/>
        <v>-17.41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514.21</v>
      </c>
      <c r="U30" s="2"/>
      <c r="V30" s="7">
        <f t="shared" si="20"/>
        <v>1.3106619897011805E-3</v>
      </c>
      <c r="W30" s="2"/>
      <c r="X30" s="6">
        <f t="shared" si="21"/>
        <v>-514.21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"6115", " - ", "P.E.R.S.")</f>
        <v xml:space="preserve">          6115 - P.E.R.S.</v>
      </c>
      <c r="C31" s="10"/>
      <c r="D31" s="6"/>
      <c r="E31" s="2"/>
      <c r="F31" s="7">
        <f t="shared" si="15"/>
        <v>0</v>
      </c>
      <c r="G31" s="2"/>
      <c r="H31" s="6">
        <v>320.99</v>
      </c>
      <c r="I31" s="2"/>
      <c r="J31" s="7">
        <f t="shared" si="16"/>
        <v>0</v>
      </c>
      <c r="K31" s="2"/>
      <c r="L31" s="6">
        <f t="shared" si="17"/>
        <v>-320.99</v>
      </c>
      <c r="M31" s="2"/>
      <c r="N31" s="7">
        <f t="shared" si="18"/>
        <v>-1</v>
      </c>
      <c r="O31" s="10"/>
      <c r="P31" s="6">
        <v>355.22</v>
      </c>
      <c r="Q31" s="2"/>
      <c r="R31" s="7">
        <f t="shared" si="19"/>
        <v>0</v>
      </c>
      <c r="S31" s="2"/>
      <c r="T31" s="6">
        <v>3691.38</v>
      </c>
      <c r="U31" s="2"/>
      <c r="V31" s="7">
        <f t="shared" si="20"/>
        <v>9.408901918560789E-3</v>
      </c>
      <c r="W31" s="2"/>
      <c r="X31" s="6">
        <f t="shared" si="21"/>
        <v>-3336.16</v>
      </c>
      <c r="Y31" s="2"/>
      <c r="Z31" s="7">
        <f t="shared" si="22"/>
        <v>-0.90377040564775224</v>
      </c>
    </row>
    <row r="32" spans="1:26" s="23" customFormat="1" hidden="1" outlineLevel="2" x14ac:dyDescent="0.25">
      <c r="A32" s="27"/>
      <c r="B32" s="10" t="str">
        <f>CONCATENATE("          ", "6117", " - ", "RETIREMENT STAFF HOURLY")</f>
        <v xml:space="preserve">          6117 - RETIREMENT STAFF HOURLY</v>
      </c>
      <c r="C32" s="10"/>
      <c r="D32" s="6"/>
      <c r="E32" s="2"/>
      <c r="F32" s="7">
        <f t="shared" si="15"/>
        <v>0</v>
      </c>
      <c r="G32" s="2"/>
      <c r="H32" s="6"/>
      <c r="I32" s="2"/>
      <c r="J32" s="7">
        <f t="shared" si="16"/>
        <v>0</v>
      </c>
      <c r="K32" s="2"/>
      <c r="L32" s="6">
        <f t="shared" si="17"/>
        <v>0</v>
      </c>
      <c r="M32" s="2"/>
      <c r="N32" s="7">
        <f t="shared" si="18"/>
        <v>0</v>
      </c>
      <c r="O32" s="10"/>
      <c r="P32" s="6"/>
      <c r="Q32" s="2"/>
      <c r="R32" s="7">
        <f t="shared" si="19"/>
        <v>0</v>
      </c>
      <c r="S32" s="2"/>
      <c r="T32" s="6">
        <v>764.45</v>
      </c>
      <c r="U32" s="2"/>
      <c r="V32" s="7">
        <f t="shared" si="20"/>
        <v>1.9484948912449533E-3</v>
      </c>
      <c r="W32" s="2"/>
      <c r="X32" s="6">
        <f t="shared" si="21"/>
        <v>-764.45</v>
      </c>
      <c r="Y32" s="2"/>
      <c r="Z32" s="7">
        <f t="shared" si="22"/>
        <v>-1</v>
      </c>
    </row>
    <row r="33" spans="1:26" s="23" customFormat="1" hidden="1" outlineLevel="2" x14ac:dyDescent="0.25">
      <c r="A33" s="27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5"/>
        <v>0</v>
      </c>
      <c r="G33" s="2"/>
      <c r="H33" s="6">
        <v>176.92</v>
      </c>
      <c r="I33" s="2"/>
      <c r="J33" s="7">
        <f t="shared" si="16"/>
        <v>0</v>
      </c>
      <c r="K33" s="2"/>
      <c r="L33" s="6">
        <f t="shared" si="17"/>
        <v>-176.92</v>
      </c>
      <c r="M33" s="2"/>
      <c r="N33" s="7">
        <f t="shared" si="18"/>
        <v>-1</v>
      </c>
      <c r="O33" s="10"/>
      <c r="P33" s="6">
        <v>88.46</v>
      </c>
      <c r="Q33" s="2"/>
      <c r="R33" s="7">
        <f t="shared" si="19"/>
        <v>0</v>
      </c>
      <c r="S33" s="2"/>
      <c r="T33" s="6">
        <v>2639.06</v>
      </c>
      <c r="U33" s="2"/>
      <c r="V33" s="7">
        <f t="shared" si="20"/>
        <v>6.7266595953808699E-3</v>
      </c>
      <c r="W33" s="2"/>
      <c r="X33" s="6">
        <f t="shared" si="21"/>
        <v>-2550.6</v>
      </c>
      <c r="Y33" s="2"/>
      <c r="Z33" s="7">
        <f t="shared" si="22"/>
        <v>-0.96648048926511709</v>
      </c>
    </row>
    <row r="34" spans="1:26" s="23" customFormat="1" hidden="1" outlineLevel="2" x14ac:dyDescent="0.25">
      <c r="A34" s="27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5"/>
        <v>0</v>
      </c>
      <c r="G34" s="2"/>
      <c r="H34" s="6">
        <v>211.96</v>
      </c>
      <c r="I34" s="2"/>
      <c r="J34" s="7">
        <f t="shared" si="16"/>
        <v>0</v>
      </c>
      <c r="K34" s="2"/>
      <c r="L34" s="6">
        <f t="shared" si="17"/>
        <v>-211.96</v>
      </c>
      <c r="M34" s="2"/>
      <c r="N34" s="7">
        <f t="shared" si="18"/>
        <v>-1</v>
      </c>
      <c r="O34" s="10"/>
      <c r="P34" s="6">
        <v>105.98</v>
      </c>
      <c r="Q34" s="2"/>
      <c r="R34" s="7">
        <f t="shared" si="19"/>
        <v>0</v>
      </c>
      <c r="S34" s="2"/>
      <c r="T34" s="6">
        <v>2849.39</v>
      </c>
      <c r="U34" s="2"/>
      <c r="V34" s="7">
        <f t="shared" si="20"/>
        <v>7.2627665094701513E-3</v>
      </c>
      <c r="W34" s="2"/>
      <c r="X34" s="6">
        <f t="shared" si="21"/>
        <v>-2743.41</v>
      </c>
      <c r="Y34" s="2"/>
      <c r="Z34" s="7">
        <f t="shared" si="22"/>
        <v>-0.9628060742825657</v>
      </c>
    </row>
    <row r="35" spans="1:26" s="23" customFormat="1" hidden="1" outlineLevel="2" x14ac:dyDescent="0.25">
      <c r="A35" s="27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5"/>
        <v>0</v>
      </c>
      <c r="G35" s="2"/>
      <c r="H35" s="6">
        <v>42.24</v>
      </c>
      <c r="I35" s="2"/>
      <c r="J35" s="7">
        <f t="shared" si="16"/>
        <v>0</v>
      </c>
      <c r="K35" s="2"/>
      <c r="L35" s="6">
        <f t="shared" si="17"/>
        <v>-42.24</v>
      </c>
      <c r="M35" s="2"/>
      <c r="N35" s="7">
        <f t="shared" si="18"/>
        <v>-1</v>
      </c>
      <c r="O35" s="10"/>
      <c r="P35" s="6"/>
      <c r="Q35" s="2"/>
      <c r="R35" s="7">
        <f t="shared" si="19"/>
        <v>0</v>
      </c>
      <c r="S35" s="2"/>
      <c r="T35" s="6">
        <v>2003.46</v>
      </c>
      <c r="U35" s="2"/>
      <c r="V35" s="7">
        <f t="shared" si="20"/>
        <v>5.1065884947525857E-3</v>
      </c>
      <c r="W35" s="2"/>
      <c r="X35" s="6">
        <f t="shared" si="21"/>
        <v>-2003.46</v>
      </c>
      <c r="Y35" s="2"/>
      <c r="Z35" s="7">
        <f t="shared" si="22"/>
        <v>-1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2" si="23">IF(D$12=0,0,D36/D$12)</f>
        <v>0</v>
      </c>
      <c r="G36" s="1"/>
      <c r="H36" s="1">
        <f>SUM(OSRRefH22_1x_0)</f>
        <v>4135.84</v>
      </c>
      <c r="I36" s="1"/>
      <c r="J36" s="5">
        <f t="shared" ref="J36:J42" si="24">IF(H$12=0,0,H36/H$12)</f>
        <v>0</v>
      </c>
      <c r="K36" s="1"/>
      <c r="L36" s="1">
        <f t="shared" ref="L36:L42" si="25">+D36-H36</f>
        <v>-4135.84</v>
      </c>
      <c r="M36" s="1"/>
      <c r="N36" s="5">
        <f t="shared" ref="N36:N42" si="26">IF(H36=0,0,L36/H36)</f>
        <v>-1</v>
      </c>
      <c r="O36" s="12"/>
      <c r="P36" s="1">
        <f>SUM(OSRRefP22_1x_0)</f>
        <v>1378.61</v>
      </c>
      <c r="Q36" s="1"/>
      <c r="R36" s="5">
        <f t="shared" ref="R36:R42" si="27">IF(P$12=0,0,P36/P$12)</f>
        <v>0</v>
      </c>
      <c r="S36" s="1"/>
      <c r="T36" s="1">
        <f>SUM(OSRRefT22_1x_0)</f>
        <v>152658.63999999998</v>
      </c>
      <c r="U36" s="1"/>
      <c r="V36" s="5">
        <f t="shared" ref="V36:V42" si="28">IF(T$12=0,0,T36/T$12)</f>
        <v>0.38910926829014642</v>
      </c>
      <c r="W36" s="1"/>
      <c r="X36" s="1">
        <f t="shared" ref="X36:X42" si="29">+P36-T36</f>
        <v>-151280.03</v>
      </c>
      <c r="Y36" s="1"/>
      <c r="Z36" s="5">
        <f t="shared" ref="Z36:Z42" si="30">IF(T36=0,0,X36/T36)</f>
        <v>-0.9909693286930894</v>
      </c>
    </row>
    <row r="37" spans="1:26" s="23" customFormat="1" hidden="1" outlineLevel="2" x14ac:dyDescent="0.25">
      <c r="A37" s="27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3"/>
        <v>0</v>
      </c>
      <c r="G37" s="2"/>
      <c r="H37" s="6">
        <v>4135.84</v>
      </c>
      <c r="I37" s="2"/>
      <c r="J37" s="7">
        <f t="shared" si="24"/>
        <v>0</v>
      </c>
      <c r="K37" s="2"/>
      <c r="L37" s="6">
        <f t="shared" si="25"/>
        <v>-4135.84</v>
      </c>
      <c r="M37" s="2"/>
      <c r="N37" s="7">
        <f t="shared" si="26"/>
        <v>-1</v>
      </c>
      <c r="O37" s="10"/>
      <c r="P37" s="6">
        <v>1378.61</v>
      </c>
      <c r="Q37" s="2"/>
      <c r="R37" s="7">
        <f t="shared" si="27"/>
        <v>0</v>
      </c>
      <c r="S37" s="2"/>
      <c r="T37" s="6">
        <v>50319.4</v>
      </c>
      <c r="U37" s="2"/>
      <c r="V37" s="7">
        <f t="shared" si="28"/>
        <v>0.12825834761006122</v>
      </c>
      <c r="W37" s="2"/>
      <c r="X37" s="6">
        <f t="shared" si="29"/>
        <v>-48940.79</v>
      </c>
      <c r="Y37" s="2"/>
      <c r="Z37" s="7">
        <f t="shared" si="30"/>
        <v>-0.97260281322909259</v>
      </c>
    </row>
    <row r="38" spans="1:26" s="23" customFormat="1" hidden="1" outlineLevel="2" x14ac:dyDescent="0.25">
      <c r="A38" s="27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12512.45</v>
      </c>
      <c r="U38" s="2"/>
      <c r="V38" s="7">
        <f t="shared" si="28"/>
        <v>3.189279207529324E-2</v>
      </c>
      <c r="W38" s="2"/>
      <c r="X38" s="6">
        <f t="shared" si="29"/>
        <v>-12512.45</v>
      </c>
      <c r="Y38" s="2"/>
      <c r="Z38" s="7">
        <f t="shared" si="30"/>
        <v>-1</v>
      </c>
    </row>
    <row r="39" spans="1:26" s="23" customFormat="1" hidden="1" outlineLevel="2" x14ac:dyDescent="0.25">
      <c r="A39" s="27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32469.93</v>
      </c>
      <c r="U39" s="2"/>
      <c r="V39" s="7">
        <f t="shared" si="28"/>
        <v>8.2762107036537691E-2</v>
      </c>
      <c r="W39" s="2"/>
      <c r="X39" s="6">
        <f t="shared" si="29"/>
        <v>-32469.93</v>
      </c>
      <c r="Y39" s="2"/>
      <c r="Z39" s="7">
        <f t="shared" si="30"/>
        <v>-1</v>
      </c>
    </row>
    <row r="40" spans="1:26" s="23" customFormat="1" hidden="1" outlineLevel="2" x14ac:dyDescent="0.25">
      <c r="A40" s="27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303.38</v>
      </c>
      <c r="U40" s="2"/>
      <c r="V40" s="7">
        <f t="shared" si="28"/>
        <v>7.7328063327345656E-4</v>
      </c>
      <c r="W40" s="2"/>
      <c r="X40" s="6">
        <f t="shared" si="29"/>
        <v>-303.38</v>
      </c>
      <c r="Y40" s="2"/>
      <c r="Z40" s="7">
        <f t="shared" si="30"/>
        <v>-1</v>
      </c>
    </row>
    <row r="41" spans="1:26" s="23" customFormat="1" hidden="1" outlineLevel="2" x14ac:dyDescent="0.25">
      <c r="A41" s="27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0"/>
      <c r="P41" s="6"/>
      <c r="Q41" s="2"/>
      <c r="R41" s="7">
        <f t="shared" si="27"/>
        <v>0</v>
      </c>
      <c r="S41" s="2"/>
      <c r="T41" s="6">
        <v>49893.74</v>
      </c>
      <c r="U41" s="2"/>
      <c r="V41" s="7">
        <f t="shared" si="28"/>
        <v>0.12717338935849823</v>
      </c>
      <c r="W41" s="2"/>
      <c r="X41" s="6">
        <f t="shared" si="29"/>
        <v>-49893.74</v>
      </c>
      <c r="Y41" s="2"/>
      <c r="Z41" s="7">
        <f t="shared" si="30"/>
        <v>-1</v>
      </c>
    </row>
    <row r="42" spans="1:26" s="23" customFormat="1" hidden="1" outlineLevel="2" x14ac:dyDescent="0.25">
      <c r="A42" s="27"/>
      <c r="B42" s="10" t="str">
        <f>CONCATENATE("          ", "6008", " - ", "STUDENT HOURLY-FICA EXEMPT")</f>
        <v xml:space="preserve">          6008 - STUDENT HOURLY-FICA EXEMPT</v>
      </c>
      <c r="C42" s="10"/>
      <c r="D42" s="6"/>
      <c r="E42" s="2"/>
      <c r="F42" s="7">
        <f t="shared" si="23"/>
        <v>0</v>
      </c>
      <c r="G42" s="2"/>
      <c r="H42" s="6"/>
      <c r="I42" s="2"/>
      <c r="J42" s="7">
        <f t="shared" si="24"/>
        <v>0</v>
      </c>
      <c r="K42" s="2"/>
      <c r="L42" s="6">
        <f t="shared" si="25"/>
        <v>0</v>
      </c>
      <c r="M42" s="2"/>
      <c r="N42" s="7">
        <f t="shared" si="26"/>
        <v>0</v>
      </c>
      <c r="O42" s="10"/>
      <c r="P42" s="6"/>
      <c r="Q42" s="2"/>
      <c r="R42" s="7">
        <f t="shared" si="27"/>
        <v>0</v>
      </c>
      <c r="S42" s="2"/>
      <c r="T42" s="6">
        <v>7159.74</v>
      </c>
      <c r="U42" s="2"/>
      <c r="V42" s="7">
        <f t="shared" si="28"/>
        <v>1.8249351576482623E-2</v>
      </c>
      <c r="W42" s="2"/>
      <c r="X42" s="6">
        <f t="shared" si="29"/>
        <v>-7159.74</v>
      </c>
      <c r="Y42" s="2"/>
      <c r="Z42" s="7">
        <f t="shared" si="30"/>
        <v>-1</v>
      </c>
    </row>
    <row r="43" spans="1:26" s="26" customFormat="1" outlineLevel="1" collapsed="1" x14ac:dyDescent="0.25">
      <c r="A43" s="25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60" si="31">IF(D$12=0,0,D43/D$12)</f>
        <v>0</v>
      </c>
      <c r="G43" s="1"/>
      <c r="H43" s="1">
        <f>SUM(OSRRefH22_2x_0)</f>
        <v>0</v>
      </c>
      <c r="I43" s="1"/>
      <c r="J43" s="5">
        <f t="shared" ref="J43:J60" si="32">IF(H$12=0,0,H43/H$12)</f>
        <v>0</v>
      </c>
      <c r="K43" s="1"/>
      <c r="L43" s="1">
        <f t="shared" ref="L43:L60" si="33">+D43-H43</f>
        <v>0</v>
      </c>
      <c r="M43" s="1"/>
      <c r="N43" s="5">
        <f t="shared" ref="N43:N60" si="34">IF(H43=0,0,L43/H43)</f>
        <v>0</v>
      </c>
      <c r="O43" s="12"/>
      <c r="P43" s="1">
        <f>SUM(OSRRefP22_2x_0)</f>
        <v>0</v>
      </c>
      <c r="Q43" s="1"/>
      <c r="R43" s="5">
        <f t="shared" ref="R43:R60" si="35">IF(P$12=0,0,P43/P$12)</f>
        <v>0</v>
      </c>
      <c r="S43" s="1"/>
      <c r="T43" s="1">
        <f>SUM(OSRRefT22_2x_0)</f>
        <v>1868.45</v>
      </c>
      <c r="U43" s="1"/>
      <c r="V43" s="5">
        <f t="shared" ref="V43:V60" si="36">IF(T$12=0,0,T43/T$12)</f>
        <v>4.7624635745263039E-3</v>
      </c>
      <c r="W43" s="1"/>
      <c r="X43" s="1">
        <f t="shared" ref="X43:X60" si="37">+P43-T43</f>
        <v>-1868.45</v>
      </c>
      <c r="Y43" s="1"/>
      <c r="Z43" s="5">
        <f t="shared" ref="Z43:Z60" si="38">IF(T43=0,0,X43/T43)</f>
        <v>-1</v>
      </c>
    </row>
    <row r="44" spans="1:26" s="23" customFormat="1" hidden="1" outlineLevel="2" x14ac:dyDescent="0.25">
      <c r="A44" s="27"/>
      <c r="B44" s="10" t="str">
        <f>CONCATENATE("          ", "6362", " - ", "ADVERTISING EXPENSE")</f>
        <v xml:space="preserve">          6362 - ADVERTISING EXPENSE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1868.45</v>
      </c>
      <c r="U44" s="2"/>
      <c r="V44" s="7">
        <f t="shared" si="36"/>
        <v>4.7624635745263039E-3</v>
      </c>
      <c r="W44" s="2"/>
      <c r="X44" s="6">
        <f t="shared" si="37"/>
        <v>-1868.45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1"/>
        <v>0</v>
      </c>
      <c r="G45" s="1"/>
      <c r="H45" s="1">
        <f>SUM(OSRRefH22_3x_0)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SUM(OSRRefP22_3x_0)</f>
        <v>0</v>
      </c>
      <c r="Q45" s="1"/>
      <c r="R45" s="5">
        <f t="shared" si="35"/>
        <v>0</v>
      </c>
      <c r="S45" s="1"/>
      <c r="T45" s="1">
        <f>SUM(OSRRefT22_3x_0)</f>
        <v>-144.01</v>
      </c>
      <c r="U45" s="1"/>
      <c r="V45" s="5">
        <f t="shared" si="36"/>
        <v>-3.6706488231824934E-4</v>
      </c>
      <c r="W45" s="1"/>
      <c r="X45" s="1">
        <f t="shared" si="37"/>
        <v>144.01</v>
      </c>
      <c r="Y45" s="1"/>
      <c r="Z45" s="5">
        <f t="shared" si="38"/>
        <v>-1</v>
      </c>
    </row>
    <row r="46" spans="1:26" s="23" customFormat="1" hidden="1" outlineLevel="2" x14ac:dyDescent="0.25">
      <c r="A46" s="27"/>
      <c r="B46" s="10" t="str">
        <f>CONCATENATE("          ", "6272", " - ", "CASH (OVER/SHORT)")</f>
        <v xml:space="preserve">          6272 - CASH (OVER/SHORT)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-144.01</v>
      </c>
      <c r="U46" s="2"/>
      <c r="V46" s="7">
        <f t="shared" si="36"/>
        <v>-3.6706488231824934E-4</v>
      </c>
      <c r="W46" s="2"/>
      <c r="X46" s="6">
        <f t="shared" si="37"/>
        <v>144.01</v>
      </c>
      <c r="Y46" s="2"/>
      <c r="Z46" s="7">
        <f t="shared" si="38"/>
        <v>-1</v>
      </c>
    </row>
    <row r="47" spans="1:26" s="26" customFormat="1" outlineLevel="1" collapsed="1" x14ac:dyDescent="0.25">
      <c r="A47" s="25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1"/>
        <v>0</v>
      </c>
      <c r="G47" s="1"/>
      <c r="H47" s="1">
        <f>SUM(OSRRefH22_4x_0)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SUM(OSRRefP22_4x_0)</f>
        <v>0</v>
      </c>
      <c r="Q47" s="1"/>
      <c r="R47" s="5">
        <f t="shared" si="35"/>
        <v>0</v>
      </c>
      <c r="S47" s="1"/>
      <c r="T47" s="1">
        <f>SUM(OSRRefT22_4x_0)</f>
        <v>7654.91</v>
      </c>
      <c r="U47" s="1"/>
      <c r="V47" s="5">
        <f t="shared" si="36"/>
        <v>1.9511482801935907E-2</v>
      </c>
      <c r="W47" s="1"/>
      <c r="X47" s="1">
        <f t="shared" si="37"/>
        <v>-7654.91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"6381", " - ", "BANK/CREDIT CARD FEES")</f>
        <v xml:space="preserve">          6381 - BANK/CREDIT CARD FEES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7654.91</v>
      </c>
      <c r="U48" s="2"/>
      <c r="V48" s="7">
        <f t="shared" si="36"/>
        <v>1.9511482801935907E-2</v>
      </c>
      <c r="W48" s="2"/>
      <c r="X48" s="6">
        <f t="shared" si="37"/>
        <v>-7654.91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1000.91</v>
      </c>
      <c r="E49" s="1"/>
      <c r="F49" s="5">
        <f t="shared" si="31"/>
        <v>0</v>
      </c>
      <c r="G49" s="1"/>
      <c r="H49" s="1">
        <f>SUM(OSRRefH22_5x_0)</f>
        <v>1000.91</v>
      </c>
      <c r="I49" s="1"/>
      <c r="J49" s="5">
        <f t="shared" si="32"/>
        <v>0</v>
      </c>
      <c r="K49" s="1"/>
      <c r="L49" s="1">
        <f t="shared" si="33"/>
        <v>0</v>
      </c>
      <c r="M49" s="1"/>
      <c r="N49" s="5">
        <f t="shared" si="34"/>
        <v>0</v>
      </c>
      <c r="O49" s="12"/>
      <c r="P49" s="1">
        <f>SUM(OSRRefP22_5x_0)</f>
        <v>11010.01</v>
      </c>
      <c r="Q49" s="1"/>
      <c r="R49" s="5">
        <f t="shared" si="35"/>
        <v>0</v>
      </c>
      <c r="S49" s="1"/>
      <c r="T49" s="1">
        <f>SUM(OSRRefT22_5x_0)</f>
        <v>5045.53</v>
      </c>
      <c r="U49" s="1"/>
      <c r="V49" s="5">
        <f t="shared" si="36"/>
        <v>1.2860474103764992E-2</v>
      </c>
      <c r="W49" s="1"/>
      <c r="X49" s="1">
        <f t="shared" si="37"/>
        <v>5964.4800000000005</v>
      </c>
      <c r="Y49" s="1"/>
      <c r="Z49" s="5">
        <f t="shared" si="38"/>
        <v>1.1821315104656995</v>
      </c>
    </row>
    <row r="50" spans="1:26" s="23" customFormat="1" hidden="1" outlineLevel="2" x14ac:dyDescent="0.25">
      <c r="A50" s="27"/>
      <c r="B50" s="10" t="str">
        <f>CONCATENATE("          ", "6322", " - ", "EQUIPMENT DEPRECIATION EXPENSE")</f>
        <v xml:space="preserve">          6322 - EQUIPMENT DEPRECIATION EXPENSE</v>
      </c>
      <c r="C50" s="10"/>
      <c r="D50" s="6">
        <v>1000.91</v>
      </c>
      <c r="E50" s="2"/>
      <c r="F50" s="7">
        <f t="shared" si="31"/>
        <v>0</v>
      </c>
      <c r="G50" s="2"/>
      <c r="H50" s="6">
        <v>1000.91</v>
      </c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11010.01</v>
      </c>
      <c r="Q50" s="2"/>
      <c r="R50" s="7">
        <f t="shared" si="35"/>
        <v>0</v>
      </c>
      <c r="S50" s="2"/>
      <c r="T50" s="6">
        <v>5045.53</v>
      </c>
      <c r="U50" s="2"/>
      <c r="V50" s="7">
        <f t="shared" si="36"/>
        <v>1.2860474103764992E-2</v>
      </c>
      <c r="W50" s="2"/>
      <c r="X50" s="6">
        <f t="shared" si="37"/>
        <v>5964.4800000000005</v>
      </c>
      <c r="Y50" s="2"/>
      <c r="Z50" s="7">
        <f t="shared" si="38"/>
        <v>1.1821315104656995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SUM(OSRRefD22_6x_0)</f>
        <v>0</v>
      </c>
      <c r="E51" s="1"/>
      <c r="F51" s="5">
        <f t="shared" si="31"/>
        <v>0</v>
      </c>
      <c r="G51" s="1"/>
      <c r="H51" s="1">
        <f>SUM(OSRRefH22_6x_0)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SUM(OSRRefP22_6x_0)</f>
        <v>0</v>
      </c>
      <c r="Q51" s="1"/>
      <c r="R51" s="5">
        <f t="shared" si="35"/>
        <v>0</v>
      </c>
      <c r="S51" s="1"/>
      <c r="T51" s="1">
        <f>SUM(OSRRefT22_6x_0)</f>
        <v>118.6</v>
      </c>
      <c r="U51" s="1"/>
      <c r="V51" s="5">
        <f t="shared" si="36"/>
        <v>3.022977226785943E-4</v>
      </c>
      <c r="W51" s="1"/>
      <c r="X51" s="1">
        <f t="shared" si="37"/>
        <v>-118.6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118.6</v>
      </c>
      <c r="U52" s="2"/>
      <c r="V52" s="7">
        <f t="shared" si="36"/>
        <v>3.022977226785943E-4</v>
      </c>
      <c r="W52" s="2"/>
      <c r="X52" s="6">
        <f t="shared" si="37"/>
        <v>-118.6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SUM(OSRRefD22_7x_0)</f>
        <v>0</v>
      </c>
      <c r="E53" s="1"/>
      <c r="F53" s="5">
        <f t="shared" si="31"/>
        <v>0</v>
      </c>
      <c r="G53" s="1"/>
      <c r="H53" s="1">
        <f>SUM(OSRRefH22_7x_0)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SUM(OSRRefP22_7x_0)</f>
        <v>0</v>
      </c>
      <c r="Q53" s="1"/>
      <c r="R53" s="5">
        <f t="shared" si="35"/>
        <v>0</v>
      </c>
      <c r="S53" s="1"/>
      <c r="T53" s="1">
        <f>SUM(OSRRefT22_7x_0)</f>
        <v>350</v>
      </c>
      <c r="U53" s="1"/>
      <c r="V53" s="5">
        <f t="shared" si="36"/>
        <v>8.9210963690984841E-4</v>
      </c>
      <c r="W53" s="1"/>
      <c r="X53" s="1">
        <f t="shared" si="37"/>
        <v>-350</v>
      </c>
      <c r="Y53" s="1"/>
      <c r="Z53" s="5">
        <f t="shared" si="38"/>
        <v>-1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350</v>
      </c>
      <c r="U54" s="2"/>
      <c r="V54" s="7">
        <f t="shared" si="36"/>
        <v>8.9210963690984841E-4</v>
      </c>
      <c r="W54" s="2"/>
      <c r="X54" s="6">
        <f t="shared" si="37"/>
        <v>-350</v>
      </c>
      <c r="Y54" s="2"/>
      <c r="Z54" s="7">
        <f t="shared" si="38"/>
        <v>-1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SUM(OSRRefD22_8x_0)</f>
        <v>0</v>
      </c>
      <c r="E55" s="1"/>
      <c r="F55" s="5">
        <f t="shared" si="31"/>
        <v>0</v>
      </c>
      <c r="G55" s="1"/>
      <c r="H55" s="1">
        <f>SUM(OSRRefH22_8x_0)</f>
        <v>-800</v>
      </c>
      <c r="I55" s="1"/>
      <c r="J55" s="5">
        <f t="shared" si="32"/>
        <v>0</v>
      </c>
      <c r="K55" s="1"/>
      <c r="L55" s="1">
        <f t="shared" si="33"/>
        <v>800</v>
      </c>
      <c r="M55" s="1"/>
      <c r="N55" s="5">
        <f t="shared" si="34"/>
        <v>-1</v>
      </c>
      <c r="O55" s="12"/>
      <c r="P55" s="1">
        <f>SUM(OSRRefP22_8x_0)</f>
        <v>455</v>
      </c>
      <c r="Q55" s="1"/>
      <c r="R55" s="5">
        <f t="shared" si="35"/>
        <v>0</v>
      </c>
      <c r="S55" s="1"/>
      <c r="T55" s="1">
        <f>SUM(OSRRefT22_8x_0)</f>
        <v>14829.04</v>
      </c>
      <c r="U55" s="1"/>
      <c r="V55" s="5">
        <f t="shared" si="36"/>
        <v>3.7797512828918911E-2</v>
      </c>
      <c r="W55" s="1"/>
      <c r="X55" s="1">
        <f t="shared" si="37"/>
        <v>-14374.04</v>
      </c>
      <c r="Y55" s="1"/>
      <c r="Z55" s="5">
        <f t="shared" si="38"/>
        <v>-0.96931696185322858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31"/>
        <v>0</v>
      </c>
      <c r="G56" s="2"/>
      <c r="H56" s="6">
        <v>-800</v>
      </c>
      <c r="I56" s="2"/>
      <c r="J56" s="7">
        <f t="shared" si="32"/>
        <v>0</v>
      </c>
      <c r="K56" s="2"/>
      <c r="L56" s="6">
        <f t="shared" si="33"/>
        <v>800</v>
      </c>
      <c r="M56" s="2"/>
      <c r="N56" s="7">
        <f t="shared" si="34"/>
        <v>-1</v>
      </c>
      <c r="O56" s="10"/>
      <c r="P56" s="6">
        <v>455</v>
      </c>
      <c r="Q56" s="2"/>
      <c r="R56" s="7">
        <f t="shared" si="35"/>
        <v>0</v>
      </c>
      <c r="S56" s="2"/>
      <c r="T56" s="6">
        <v>14829.04</v>
      </c>
      <c r="U56" s="2"/>
      <c r="V56" s="7">
        <f t="shared" si="36"/>
        <v>3.7797512828918911E-2</v>
      </c>
      <c r="W56" s="2"/>
      <c r="X56" s="6">
        <f t="shared" si="37"/>
        <v>-14374.04</v>
      </c>
      <c r="Y56" s="2"/>
      <c r="Z56" s="7">
        <f t="shared" si="38"/>
        <v>-0.96931696185322858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SUM(OSRRefD22_9x_0)</f>
        <v>0</v>
      </c>
      <c r="E57" s="1"/>
      <c r="F57" s="5">
        <f t="shared" si="31"/>
        <v>0</v>
      </c>
      <c r="G57" s="1"/>
      <c r="H57" s="1">
        <f>SUM(OSRRefH22_9x_0)</f>
        <v>0</v>
      </c>
      <c r="I57" s="1"/>
      <c r="J57" s="5">
        <f t="shared" si="32"/>
        <v>0</v>
      </c>
      <c r="K57" s="1"/>
      <c r="L57" s="1">
        <f t="shared" si="33"/>
        <v>0</v>
      </c>
      <c r="M57" s="1"/>
      <c r="N57" s="5">
        <f t="shared" si="34"/>
        <v>0</v>
      </c>
      <c r="O57" s="12"/>
      <c r="P57" s="1">
        <f>SUM(OSRRefP22_9x_0)</f>
        <v>242.03</v>
      </c>
      <c r="Q57" s="1"/>
      <c r="R57" s="5">
        <f t="shared" si="35"/>
        <v>0</v>
      </c>
      <c r="S57" s="1"/>
      <c r="T57" s="1">
        <f>SUM(OSRRefT22_9x_0)</f>
        <v>5688.74</v>
      </c>
      <c r="U57" s="1"/>
      <c r="V57" s="5">
        <f t="shared" si="36"/>
        <v>1.4499942216784373E-2</v>
      </c>
      <c r="W57" s="1"/>
      <c r="X57" s="1">
        <f t="shared" si="37"/>
        <v>-5446.71</v>
      </c>
      <c r="Y57" s="1"/>
      <c r="Z57" s="5">
        <f t="shared" si="38"/>
        <v>-0.95745455056831574</v>
      </c>
    </row>
    <row r="58" spans="1:26" s="23" customFormat="1" hidden="1" outlineLevel="2" x14ac:dyDescent="0.25">
      <c r="A58" s="27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1"/>
        <v>0</v>
      </c>
      <c r="G58" s="2"/>
      <c r="H58" s="6"/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0"/>
      <c r="P58" s="6"/>
      <c r="Q58" s="2"/>
      <c r="R58" s="7">
        <f t="shared" si="35"/>
        <v>0</v>
      </c>
      <c r="S58" s="2"/>
      <c r="T58" s="6">
        <v>2623.84</v>
      </c>
      <c r="U58" s="2"/>
      <c r="V58" s="7">
        <f t="shared" si="36"/>
        <v>6.6878655705986763E-3</v>
      </c>
      <c r="W58" s="2"/>
      <c r="X58" s="6">
        <f t="shared" si="37"/>
        <v>-2623.84</v>
      </c>
      <c r="Y58" s="2"/>
      <c r="Z58" s="7">
        <f t="shared" si="38"/>
        <v>-1</v>
      </c>
    </row>
    <row r="59" spans="1:26" s="23" customFormat="1" hidden="1" outlineLevel="2" x14ac:dyDescent="0.25">
      <c r="A59" s="27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1"/>
        <v>0</v>
      </c>
      <c r="G59" s="2"/>
      <c r="H59" s="6"/>
      <c r="I59" s="2"/>
      <c r="J59" s="7">
        <f t="shared" si="32"/>
        <v>0</v>
      </c>
      <c r="K59" s="2"/>
      <c r="L59" s="6">
        <f t="shared" si="33"/>
        <v>0</v>
      </c>
      <c r="M59" s="2"/>
      <c r="N59" s="7">
        <f t="shared" si="34"/>
        <v>0</v>
      </c>
      <c r="O59" s="10"/>
      <c r="P59" s="6">
        <v>235.8</v>
      </c>
      <c r="Q59" s="2"/>
      <c r="R59" s="7">
        <f t="shared" si="35"/>
        <v>0</v>
      </c>
      <c r="S59" s="2"/>
      <c r="T59" s="6">
        <v>573</v>
      </c>
      <c r="U59" s="2"/>
      <c r="V59" s="7">
        <f t="shared" si="36"/>
        <v>1.4605109198552661E-3</v>
      </c>
      <c r="W59" s="2"/>
      <c r="X59" s="6">
        <f t="shared" si="37"/>
        <v>-337.2</v>
      </c>
      <c r="Y59" s="2"/>
      <c r="Z59" s="7">
        <f t="shared" si="38"/>
        <v>-0.58848167539267016</v>
      </c>
    </row>
    <row r="60" spans="1:26" s="23" customFormat="1" hidden="1" outlineLevel="2" x14ac:dyDescent="0.25">
      <c r="A60" s="27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1"/>
        <v>0</v>
      </c>
      <c r="G60" s="2"/>
      <c r="H60" s="6"/>
      <c r="I60" s="2"/>
      <c r="J60" s="7">
        <f t="shared" si="32"/>
        <v>0</v>
      </c>
      <c r="K60" s="2"/>
      <c r="L60" s="6">
        <f t="shared" si="33"/>
        <v>0</v>
      </c>
      <c r="M60" s="2"/>
      <c r="N60" s="7">
        <f t="shared" si="34"/>
        <v>0</v>
      </c>
      <c r="O60" s="10"/>
      <c r="P60" s="6">
        <v>6.23</v>
      </c>
      <c r="Q60" s="2"/>
      <c r="R60" s="7">
        <f t="shared" si="35"/>
        <v>0</v>
      </c>
      <c r="S60" s="2"/>
      <c r="T60" s="6">
        <v>2491.9</v>
      </c>
      <c r="U60" s="2"/>
      <c r="V60" s="7">
        <f t="shared" si="36"/>
        <v>6.3515657263304324E-3</v>
      </c>
      <c r="W60" s="2"/>
      <c r="X60" s="6">
        <f t="shared" si="37"/>
        <v>-2485.67</v>
      </c>
      <c r="Y60" s="2"/>
      <c r="Z60" s="7">
        <f t="shared" si="38"/>
        <v>-0.99749989967494679</v>
      </c>
    </row>
    <row r="61" spans="1:26" s="26" customFormat="1" outlineLevel="1" collapsed="1" x14ac:dyDescent="0.25">
      <c r="A61" s="25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SUM(OSRRefD22_10x_0)</f>
        <v>0</v>
      </c>
      <c r="E61" s="1"/>
      <c r="F61" s="5">
        <f t="shared" ref="F61:F66" si="39">IF(D$12=0,0,D61/D$12)</f>
        <v>0</v>
      </c>
      <c r="G61" s="1"/>
      <c r="H61" s="1">
        <f>SUM(OSRRefH22_10x_0)</f>
        <v>0</v>
      </c>
      <c r="I61" s="1"/>
      <c r="J61" s="5">
        <f t="shared" ref="J61:J66" si="40">IF(H$12=0,0,H61/H$12)</f>
        <v>0</v>
      </c>
      <c r="K61" s="1"/>
      <c r="L61" s="1">
        <f t="shared" ref="L61:L66" si="41">+D61-H61</f>
        <v>0</v>
      </c>
      <c r="M61" s="1"/>
      <c r="N61" s="5">
        <f t="shared" ref="N61:N66" si="42">IF(H61=0,0,L61/H61)</f>
        <v>0</v>
      </c>
      <c r="O61" s="12"/>
      <c r="P61" s="1">
        <f>SUM(OSRRefP22_10x_0)</f>
        <v>0</v>
      </c>
      <c r="Q61" s="1"/>
      <c r="R61" s="5">
        <f t="shared" ref="R61:R66" si="43">IF(P$12=0,0,P61/P$12)</f>
        <v>0</v>
      </c>
      <c r="S61" s="1"/>
      <c r="T61" s="1">
        <f>SUM(OSRRefT22_10x_0)</f>
        <v>83387.12</v>
      </c>
      <c r="U61" s="1"/>
      <c r="V61" s="5">
        <f t="shared" ref="V61:V66" si="44">IF(T$12=0,0,T61/T$12)</f>
        <v>0.21254415241759414</v>
      </c>
      <c r="W61" s="1"/>
      <c r="X61" s="1">
        <f t="shared" ref="X61:X66" si="45">+P61-T61</f>
        <v>-83387.12</v>
      </c>
      <c r="Y61" s="1"/>
      <c r="Z61" s="5">
        <f t="shared" ref="Z61:Z66" si="46">IF(T61=0,0,X61/T61)</f>
        <v>-1</v>
      </c>
    </row>
    <row r="62" spans="1:26" s="23" customFormat="1" hidden="1" outlineLevel="2" x14ac:dyDescent="0.25">
      <c r="A62" s="27"/>
      <c r="B62" s="10" t="str">
        <f>CONCATENATE("          ", "6254", " - ", "ROYALTY &amp; COMMISSIONS")</f>
        <v xml:space="preserve">          6254 - ROYALTY &amp; COMMISSIONS</v>
      </c>
      <c r="C62" s="10"/>
      <c r="D62" s="6"/>
      <c r="E62" s="2"/>
      <c r="F62" s="7">
        <f t="shared" si="39"/>
        <v>0</v>
      </c>
      <c r="G62" s="2"/>
      <c r="H62" s="6"/>
      <c r="I62" s="2"/>
      <c r="J62" s="7">
        <f t="shared" si="40"/>
        <v>0</v>
      </c>
      <c r="K62" s="2"/>
      <c r="L62" s="6">
        <f t="shared" si="41"/>
        <v>0</v>
      </c>
      <c r="M62" s="2"/>
      <c r="N62" s="7">
        <f t="shared" si="42"/>
        <v>0</v>
      </c>
      <c r="O62" s="10"/>
      <c r="P62" s="6"/>
      <c r="Q62" s="2"/>
      <c r="R62" s="7">
        <f t="shared" si="43"/>
        <v>0</v>
      </c>
      <c r="S62" s="2"/>
      <c r="T62" s="6">
        <v>83387.12</v>
      </c>
      <c r="U62" s="2"/>
      <c r="V62" s="7">
        <f t="shared" si="44"/>
        <v>0.21254415241759414</v>
      </c>
      <c r="W62" s="2"/>
      <c r="X62" s="6">
        <f t="shared" si="45"/>
        <v>-83387.12</v>
      </c>
      <c r="Y62" s="2"/>
      <c r="Z62" s="7">
        <f t="shared" si="46"/>
        <v>-1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SUM(OSRRefD22_11x_0)</f>
        <v>0</v>
      </c>
      <c r="E63" s="1"/>
      <c r="F63" s="5">
        <f t="shared" si="39"/>
        <v>0</v>
      </c>
      <c r="G63" s="1"/>
      <c r="H63" s="1">
        <f>SUM(OSRRefH22_11x_0)</f>
        <v>0</v>
      </c>
      <c r="I63" s="1"/>
      <c r="J63" s="5">
        <f t="shared" si="40"/>
        <v>0</v>
      </c>
      <c r="K63" s="1"/>
      <c r="L63" s="1">
        <f t="shared" si="41"/>
        <v>0</v>
      </c>
      <c r="M63" s="1"/>
      <c r="N63" s="5">
        <f t="shared" si="42"/>
        <v>0</v>
      </c>
      <c r="O63" s="12"/>
      <c r="P63" s="1">
        <f>SUM(OSRRefP22_11x_0)</f>
        <v>0</v>
      </c>
      <c r="Q63" s="1"/>
      <c r="R63" s="5">
        <f t="shared" si="43"/>
        <v>0</v>
      </c>
      <c r="S63" s="1"/>
      <c r="T63" s="1">
        <f>SUM(OSRRefT22_11x_0)</f>
        <v>3287.06</v>
      </c>
      <c r="U63" s="1"/>
      <c r="V63" s="5">
        <f t="shared" si="44"/>
        <v>8.378336866002532E-3</v>
      </c>
      <c r="W63" s="1"/>
      <c r="X63" s="1">
        <f t="shared" si="45"/>
        <v>-3287.06</v>
      </c>
      <c r="Y63" s="1"/>
      <c r="Z63" s="5">
        <f t="shared" si="46"/>
        <v>-1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0"/>
      <c r="P64" s="6"/>
      <c r="Q64" s="2"/>
      <c r="R64" s="7">
        <f t="shared" si="43"/>
        <v>0</v>
      </c>
      <c r="S64" s="2"/>
      <c r="T64" s="6">
        <v>2258.1</v>
      </c>
      <c r="U64" s="2"/>
      <c r="V64" s="7">
        <f t="shared" si="44"/>
        <v>5.7556364888746532E-3</v>
      </c>
      <c r="W64" s="2"/>
      <c r="X64" s="6">
        <f t="shared" si="45"/>
        <v>-2258.1</v>
      </c>
      <c r="Y64" s="2"/>
      <c r="Z64" s="7">
        <f t="shared" si="46"/>
        <v>-1</v>
      </c>
    </row>
    <row r="65" spans="1:26" s="23" customFormat="1" hidden="1" outlineLevel="2" x14ac:dyDescent="0.25">
      <c r="A65" s="27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39"/>
        <v>0</v>
      </c>
      <c r="G65" s="2"/>
      <c r="H65" s="6"/>
      <c r="I65" s="2"/>
      <c r="J65" s="7">
        <f t="shared" si="40"/>
        <v>0</v>
      </c>
      <c r="K65" s="2"/>
      <c r="L65" s="6">
        <f t="shared" si="41"/>
        <v>0</v>
      </c>
      <c r="M65" s="2"/>
      <c r="N65" s="7">
        <f t="shared" si="42"/>
        <v>0</v>
      </c>
      <c r="O65" s="10"/>
      <c r="P65" s="6"/>
      <c r="Q65" s="2"/>
      <c r="R65" s="7">
        <f t="shared" si="43"/>
        <v>0</v>
      </c>
      <c r="S65" s="2"/>
      <c r="T65" s="6">
        <v>549.6</v>
      </c>
      <c r="U65" s="2"/>
      <c r="V65" s="7">
        <f t="shared" si="44"/>
        <v>1.4008670184161506E-3</v>
      </c>
      <c r="W65" s="2"/>
      <c r="X65" s="6">
        <f t="shared" si="45"/>
        <v>-549.6</v>
      </c>
      <c r="Y65" s="2"/>
      <c r="Z65" s="7">
        <f t="shared" si="46"/>
        <v>-1</v>
      </c>
    </row>
    <row r="66" spans="1:26" s="23" customFormat="1" hidden="1" outlineLevel="2" x14ac:dyDescent="0.25">
      <c r="A66" s="27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0"/>
      <c r="P66" s="6"/>
      <c r="Q66" s="2"/>
      <c r="R66" s="7">
        <f t="shared" si="43"/>
        <v>0</v>
      </c>
      <c r="S66" s="2"/>
      <c r="T66" s="6">
        <v>479.36</v>
      </c>
      <c r="U66" s="2"/>
      <c r="V66" s="7">
        <f t="shared" si="44"/>
        <v>1.2218333587117284E-3</v>
      </c>
      <c r="W66" s="2"/>
      <c r="X66" s="6">
        <f t="shared" si="45"/>
        <v>-479.36</v>
      </c>
      <c r="Y66" s="2"/>
      <c r="Z66" s="7">
        <f t="shared" si="46"/>
        <v>-1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SUM(OSRRefD22_12x_0)</f>
        <v>0</v>
      </c>
      <c r="E67" s="1"/>
      <c r="F67" s="5">
        <f t="shared" ref="F67:F74" si="47">IF(D$12=0,0,D67/D$12)</f>
        <v>0</v>
      </c>
      <c r="G67" s="1"/>
      <c r="H67" s="1">
        <f>SUM(OSRRefH22_12x_0)</f>
        <v>0</v>
      </c>
      <c r="I67" s="1"/>
      <c r="J67" s="5">
        <f t="shared" ref="J67:J74" si="48">IF(H$12=0,0,H67/H$12)</f>
        <v>0</v>
      </c>
      <c r="K67" s="1"/>
      <c r="L67" s="1">
        <f t="shared" ref="L67:L74" si="49">+D67-H67</f>
        <v>0</v>
      </c>
      <c r="M67" s="1"/>
      <c r="N67" s="5">
        <f t="shared" ref="N67:N74" si="50">IF(H67=0,0,L67/H67)</f>
        <v>0</v>
      </c>
      <c r="O67" s="12"/>
      <c r="P67" s="1">
        <f>SUM(OSRRefP22_12x_0)</f>
        <v>0</v>
      </c>
      <c r="Q67" s="1"/>
      <c r="R67" s="5">
        <f t="shared" ref="R67:R74" si="51">IF(P$12=0,0,P67/P$12)</f>
        <v>0</v>
      </c>
      <c r="S67" s="1"/>
      <c r="T67" s="1">
        <f>SUM(OSRRefT22_12x_0)</f>
        <v>15992.96</v>
      </c>
      <c r="U67" s="1"/>
      <c r="V67" s="5">
        <f t="shared" ref="V67:V74" si="52">IF(T$12=0,0,T67/T$12)</f>
        <v>4.0764210682039226E-2</v>
      </c>
      <c r="W67" s="1"/>
      <c r="X67" s="1">
        <f t="shared" ref="X67:X74" si="53">+P67-T67</f>
        <v>-15992.96</v>
      </c>
      <c r="Y67" s="1"/>
      <c r="Z67" s="5">
        <f t="shared" ref="Z67:Z74" si="54">IF(T67=0,0,X67/T67)</f>
        <v>-1</v>
      </c>
    </row>
    <row r="68" spans="1:26" s="23" customFormat="1" hidden="1" outlineLevel="2" x14ac:dyDescent="0.25">
      <c r="A68" s="27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47"/>
        <v>0</v>
      </c>
      <c r="G68" s="2"/>
      <c r="H68" s="6"/>
      <c r="I68" s="2"/>
      <c r="J68" s="7">
        <f t="shared" si="48"/>
        <v>0</v>
      </c>
      <c r="K68" s="2"/>
      <c r="L68" s="6">
        <f t="shared" si="49"/>
        <v>0</v>
      </c>
      <c r="M68" s="2"/>
      <c r="N68" s="7">
        <f t="shared" si="50"/>
        <v>0</v>
      </c>
      <c r="O68" s="10"/>
      <c r="P68" s="6"/>
      <c r="Q68" s="2"/>
      <c r="R68" s="7">
        <f t="shared" si="51"/>
        <v>0</v>
      </c>
      <c r="S68" s="2"/>
      <c r="T68" s="6">
        <v>3756.46</v>
      </c>
      <c r="U68" s="2"/>
      <c r="V68" s="7">
        <f t="shared" si="52"/>
        <v>9.574783333332483E-3</v>
      </c>
      <c r="W68" s="2"/>
      <c r="X68" s="6">
        <f t="shared" si="53"/>
        <v>-3756.46</v>
      </c>
      <c r="Y68" s="2"/>
      <c r="Z68" s="7">
        <f t="shared" si="54"/>
        <v>-1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7"/>
        <v>0</v>
      </c>
      <c r="G69" s="2"/>
      <c r="H69" s="6"/>
      <c r="I69" s="2"/>
      <c r="J69" s="7">
        <f t="shared" si="48"/>
        <v>0</v>
      </c>
      <c r="K69" s="2"/>
      <c r="L69" s="6">
        <f t="shared" si="49"/>
        <v>0</v>
      </c>
      <c r="M69" s="2"/>
      <c r="N69" s="7">
        <f t="shared" si="50"/>
        <v>0</v>
      </c>
      <c r="O69" s="10"/>
      <c r="P69" s="6"/>
      <c r="Q69" s="2"/>
      <c r="R69" s="7">
        <f t="shared" si="51"/>
        <v>0</v>
      </c>
      <c r="S69" s="2"/>
      <c r="T69" s="6">
        <v>1507.19</v>
      </c>
      <c r="U69" s="2"/>
      <c r="V69" s="7">
        <f t="shared" si="52"/>
        <v>3.8416534961547271E-3</v>
      </c>
      <c r="W69" s="2"/>
      <c r="X69" s="6">
        <f t="shared" si="53"/>
        <v>-1507.19</v>
      </c>
      <c r="Y69" s="2"/>
      <c r="Z69" s="7">
        <f t="shared" si="54"/>
        <v>-1</v>
      </c>
    </row>
    <row r="70" spans="1:26" s="23" customFormat="1" hidden="1" outlineLevel="2" x14ac:dyDescent="0.25">
      <c r="A70" s="27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7"/>
        <v>0</v>
      </c>
      <c r="G70" s="2"/>
      <c r="H70" s="6"/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0"/>
      <c r="P70" s="6"/>
      <c r="Q70" s="2"/>
      <c r="R70" s="7">
        <f t="shared" si="51"/>
        <v>0</v>
      </c>
      <c r="S70" s="2"/>
      <c r="T70" s="6">
        <v>7140.25</v>
      </c>
      <c r="U70" s="2"/>
      <c r="V70" s="7">
        <f t="shared" si="52"/>
        <v>1.8199673814130127E-2</v>
      </c>
      <c r="W70" s="2"/>
      <c r="X70" s="6">
        <f t="shared" si="53"/>
        <v>-7140.25</v>
      </c>
      <c r="Y70" s="2"/>
      <c r="Z70" s="7">
        <f t="shared" si="54"/>
        <v>-1</v>
      </c>
    </row>
    <row r="71" spans="1:26" s="23" customFormat="1" hidden="1" outlineLevel="2" x14ac:dyDescent="0.25">
      <c r="A71" s="27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0"/>
      <c r="P71" s="6"/>
      <c r="Q71" s="2"/>
      <c r="R71" s="7">
        <f t="shared" si="51"/>
        <v>0</v>
      </c>
      <c r="S71" s="2"/>
      <c r="T71" s="6">
        <v>599.88</v>
      </c>
      <c r="U71" s="2"/>
      <c r="V71" s="7">
        <f t="shared" si="52"/>
        <v>1.5290249399699425E-3</v>
      </c>
      <c r="W71" s="2"/>
      <c r="X71" s="6">
        <f t="shared" si="53"/>
        <v>-599.88</v>
      </c>
      <c r="Y71" s="2"/>
      <c r="Z71" s="7">
        <f t="shared" si="54"/>
        <v>-1</v>
      </c>
    </row>
    <row r="72" spans="1:26" s="23" customFormat="1" hidden="1" outlineLevel="2" x14ac:dyDescent="0.25">
      <c r="A72" s="27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7"/>
        <v>0</v>
      </c>
      <c r="G72" s="2"/>
      <c r="H72" s="6"/>
      <c r="I72" s="2"/>
      <c r="J72" s="7">
        <f t="shared" si="48"/>
        <v>0</v>
      </c>
      <c r="K72" s="2"/>
      <c r="L72" s="6">
        <f t="shared" si="49"/>
        <v>0</v>
      </c>
      <c r="M72" s="2"/>
      <c r="N72" s="7">
        <f t="shared" si="50"/>
        <v>0</v>
      </c>
      <c r="O72" s="10"/>
      <c r="P72" s="6"/>
      <c r="Q72" s="2"/>
      <c r="R72" s="7">
        <f t="shared" si="51"/>
        <v>0</v>
      </c>
      <c r="S72" s="2"/>
      <c r="T72" s="6">
        <v>2632.41</v>
      </c>
      <c r="U72" s="2"/>
      <c r="V72" s="7">
        <f t="shared" si="52"/>
        <v>6.7097095122795828E-3</v>
      </c>
      <c r="W72" s="2"/>
      <c r="X72" s="6">
        <f t="shared" si="53"/>
        <v>-2632.41</v>
      </c>
      <c r="Y72" s="2"/>
      <c r="Z72" s="7">
        <f t="shared" si="54"/>
        <v>-1</v>
      </c>
    </row>
    <row r="73" spans="1:26" s="23" customFormat="1" hidden="1" outlineLevel="2" x14ac:dyDescent="0.25">
      <c r="A73" s="27"/>
      <c r="B73" s="10" t="str">
        <f>CONCATENATE("          ", "6247", " - ", "STORE SUPPLIES")</f>
        <v xml:space="preserve">          6247 - STORE SUPPLIES</v>
      </c>
      <c r="C73" s="10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0"/>
      <c r="P73" s="6"/>
      <c r="Q73" s="2"/>
      <c r="R73" s="7">
        <f t="shared" si="51"/>
        <v>0</v>
      </c>
      <c r="S73" s="2"/>
      <c r="T73" s="6">
        <v>-97.67</v>
      </c>
      <c r="U73" s="2"/>
      <c r="V73" s="7">
        <f t="shared" si="52"/>
        <v>-2.4894956639138539E-4</v>
      </c>
      <c r="W73" s="2"/>
      <c r="X73" s="6">
        <f t="shared" si="53"/>
        <v>97.67</v>
      </c>
      <c r="Y73" s="2"/>
      <c r="Z73" s="7">
        <f t="shared" si="54"/>
        <v>-1</v>
      </c>
    </row>
    <row r="74" spans="1:26" s="23" customFormat="1" hidden="1" outlineLevel="2" x14ac:dyDescent="0.25">
      <c r="A74" s="27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0"/>
      <c r="P74" s="6"/>
      <c r="Q74" s="2"/>
      <c r="R74" s="7">
        <f t="shared" si="51"/>
        <v>0</v>
      </c>
      <c r="S74" s="2"/>
      <c r="T74" s="6">
        <v>454.44</v>
      </c>
      <c r="U74" s="2"/>
      <c r="V74" s="7">
        <f t="shared" si="52"/>
        <v>1.158315152563747E-3</v>
      </c>
      <c r="W74" s="2"/>
      <c r="X74" s="6">
        <f t="shared" si="53"/>
        <v>-454.44</v>
      </c>
      <c r="Y74" s="2"/>
      <c r="Z74" s="7">
        <f t="shared" si="54"/>
        <v>-1</v>
      </c>
    </row>
    <row r="75" spans="1:26" s="26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0</v>
      </c>
      <c r="E75" s="1"/>
      <c r="F75" s="5">
        <f t="shared" ref="F75:F78" si="55">IF(D$12=0,0,D75/D$12)</f>
        <v>0</v>
      </c>
      <c r="G75" s="1"/>
      <c r="H75" s="1">
        <f>SUM(OSRRefH22_13x_0)</f>
        <v>309.58999999999997</v>
      </c>
      <c r="I75" s="1"/>
      <c r="J75" s="5">
        <f t="shared" ref="J75:J78" si="56">IF(H$12=0,0,H75/H$12)</f>
        <v>0</v>
      </c>
      <c r="K75" s="1"/>
      <c r="L75" s="1">
        <f t="shared" ref="L75:L78" si="57">+D75-H75</f>
        <v>-309.58999999999997</v>
      </c>
      <c r="M75" s="1"/>
      <c r="N75" s="5">
        <f t="shared" ref="N75:N78" si="58">IF(H75=0,0,L75/H75)</f>
        <v>-1</v>
      </c>
      <c r="O75" s="12"/>
      <c r="P75" s="1">
        <f>SUM(OSRRefP22_13x_0)</f>
        <v>132.54</v>
      </c>
      <c r="Q75" s="1"/>
      <c r="R75" s="5">
        <f t="shared" ref="R75:R78" si="59">IF(P$12=0,0,P75/P$12)</f>
        <v>0</v>
      </c>
      <c r="S75" s="1"/>
      <c r="T75" s="1">
        <f>SUM(OSRRefT22_13x_0)</f>
        <v>3511.56</v>
      </c>
      <c r="U75" s="1"/>
      <c r="V75" s="5">
        <f t="shared" ref="V75:V78" si="60">IF(T$12=0,0,T75/T$12)</f>
        <v>8.9505614759632784E-3</v>
      </c>
      <c r="W75" s="1"/>
      <c r="X75" s="1">
        <f t="shared" ref="X75:X78" si="61">+P75-T75</f>
        <v>-3379.02</v>
      </c>
      <c r="Y75" s="1"/>
      <c r="Z75" s="5">
        <f t="shared" ref="Z75:Z78" si="62">IF(T75=0,0,X75/T75)</f>
        <v>-0.96225609130984524</v>
      </c>
    </row>
    <row r="76" spans="1:26" s="23" customFormat="1" hidden="1" outlineLevel="2" x14ac:dyDescent="0.25">
      <c r="A76" s="27"/>
      <c r="B76" s="10" t="str">
        <f>CONCATENATE("          ", "6309", " - ", "TELEPHONE")</f>
        <v xml:space="preserve">          6309 - TELEPHONE</v>
      </c>
      <c r="C76" s="10"/>
      <c r="D76" s="6"/>
      <c r="E76" s="2"/>
      <c r="F76" s="7">
        <f t="shared" si="55"/>
        <v>0</v>
      </c>
      <c r="G76" s="2"/>
      <c r="H76" s="6">
        <v>309.58999999999997</v>
      </c>
      <c r="I76" s="2"/>
      <c r="J76" s="7">
        <f t="shared" si="56"/>
        <v>0</v>
      </c>
      <c r="K76" s="2"/>
      <c r="L76" s="6">
        <f t="shared" si="57"/>
        <v>-309.58999999999997</v>
      </c>
      <c r="M76" s="2"/>
      <c r="N76" s="7">
        <f t="shared" si="58"/>
        <v>-1</v>
      </c>
      <c r="O76" s="10"/>
      <c r="P76" s="6">
        <v>132.54</v>
      </c>
      <c r="Q76" s="2"/>
      <c r="R76" s="7">
        <f t="shared" si="59"/>
        <v>0</v>
      </c>
      <c r="S76" s="2"/>
      <c r="T76" s="6">
        <v>3511.56</v>
      </c>
      <c r="U76" s="2"/>
      <c r="V76" s="7">
        <f t="shared" si="60"/>
        <v>8.9505614759632784E-3</v>
      </c>
      <c r="W76" s="2"/>
      <c r="X76" s="6">
        <f t="shared" si="61"/>
        <v>-3379.02</v>
      </c>
      <c r="Y76" s="2"/>
      <c r="Z76" s="7">
        <f t="shared" si="62"/>
        <v>-0.96225609130984524</v>
      </c>
    </row>
    <row r="77" spans="1:26" s="26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5"/>
        <v>0</v>
      </c>
      <c r="G77" s="1"/>
      <c r="H77" s="1">
        <f>SUM(OSRRefH22_14x_0)</f>
        <v>0</v>
      </c>
      <c r="I77" s="1"/>
      <c r="J77" s="5">
        <f t="shared" si="56"/>
        <v>0</v>
      </c>
      <c r="K77" s="1"/>
      <c r="L77" s="1">
        <f t="shared" si="57"/>
        <v>0</v>
      </c>
      <c r="M77" s="1"/>
      <c r="N77" s="5">
        <f t="shared" si="58"/>
        <v>0</v>
      </c>
      <c r="O77" s="12"/>
      <c r="P77" s="1">
        <f>SUM(OSRRefP22_14x_0)</f>
        <v>0</v>
      </c>
      <c r="Q77" s="1"/>
      <c r="R77" s="5">
        <f t="shared" si="59"/>
        <v>0</v>
      </c>
      <c r="S77" s="1"/>
      <c r="T77" s="1">
        <f>SUM(OSRRefT22_14x_0)</f>
        <v>337.96</v>
      </c>
      <c r="U77" s="1"/>
      <c r="V77" s="5">
        <f t="shared" si="60"/>
        <v>8.6142106540014962E-4</v>
      </c>
      <c r="W77" s="1"/>
      <c r="X77" s="1">
        <f t="shared" si="61"/>
        <v>-337.96</v>
      </c>
      <c r="Y77" s="1"/>
      <c r="Z77" s="5">
        <f t="shared" si="62"/>
        <v>-1</v>
      </c>
    </row>
    <row r="78" spans="1:26" s="23" customFormat="1" hidden="1" outlineLevel="2" x14ac:dyDescent="0.25">
      <c r="A78" s="27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5"/>
        <v>0</v>
      </c>
      <c r="G78" s="2"/>
      <c r="H78" s="6"/>
      <c r="I78" s="2"/>
      <c r="J78" s="7">
        <f t="shared" si="56"/>
        <v>0</v>
      </c>
      <c r="K78" s="2"/>
      <c r="L78" s="6">
        <f t="shared" si="57"/>
        <v>0</v>
      </c>
      <c r="M78" s="2"/>
      <c r="N78" s="7">
        <f t="shared" si="58"/>
        <v>0</v>
      </c>
      <c r="O78" s="10"/>
      <c r="P78" s="6"/>
      <c r="Q78" s="2"/>
      <c r="R78" s="7">
        <f t="shared" si="59"/>
        <v>0</v>
      </c>
      <c r="S78" s="2"/>
      <c r="T78" s="6">
        <v>337.96</v>
      </c>
      <c r="U78" s="2"/>
      <c r="V78" s="7">
        <f t="shared" si="60"/>
        <v>8.6142106540014962E-4</v>
      </c>
      <c r="W78" s="2"/>
      <c r="X78" s="6">
        <f t="shared" si="61"/>
        <v>-337.96</v>
      </c>
      <c r="Y78" s="2"/>
      <c r="Z78" s="7">
        <f t="shared" si="62"/>
        <v>-1</v>
      </c>
    </row>
    <row r="79" spans="1:26" s="57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collapsed="1" x14ac:dyDescent="0.25">
      <c r="A80" s="11"/>
      <c r="B80" s="29" t="s">
        <v>292</v>
      </c>
      <c r="C80" s="11"/>
      <c r="D80" s="4">
        <f>SUM(OSRRefD25x_0)</f>
        <v>0</v>
      </c>
      <c r="E80" s="4"/>
      <c r="F80" s="13">
        <f t="shared" ref="F80:F81" si="63">IF(D$12=0,0,D80/D$12)</f>
        <v>0</v>
      </c>
      <c r="G80" s="4"/>
      <c r="H80" s="4">
        <f>SUM(OSRRefH25x_0)</f>
        <v>0</v>
      </c>
      <c r="I80" s="4"/>
      <c r="J80" s="13">
        <f t="shared" ref="J80:J81" si="64">IF(H$12=0,0,H80/H$12)</f>
        <v>0</v>
      </c>
      <c r="K80" s="4"/>
      <c r="L80" s="4">
        <f t="shared" ref="L80:L81" si="65">+D80-H80</f>
        <v>0</v>
      </c>
      <c r="M80" s="4"/>
      <c r="N80" s="13">
        <f t="shared" ref="N80:N81" si="66">IF(H80=0,0,L80/H80)</f>
        <v>0</v>
      </c>
      <c r="O80" s="11"/>
      <c r="P80" s="4">
        <f>SUM(OSRRefP25x_0)</f>
        <v>0</v>
      </c>
      <c r="Q80" s="4"/>
      <c r="R80" s="13">
        <f t="shared" ref="R80:R81" si="67">IF(P$12=0,0,P80/P$12)</f>
        <v>0</v>
      </c>
      <c r="S80" s="4"/>
      <c r="T80" s="4">
        <f>SUM(OSRRefT25x_0)</f>
        <v>39607.82</v>
      </c>
      <c r="U80" s="4"/>
      <c r="V80" s="13">
        <f t="shared" ref="V80:V81" si="68">IF(T$12=0,0,T80/T$12)</f>
        <v>0.10095576548283038</v>
      </c>
      <c r="W80" s="4"/>
      <c r="X80" s="4">
        <f t="shared" ref="X80:X81" si="69">+P80-T80</f>
        <v>-39607.82</v>
      </c>
      <c r="Y80" s="4"/>
      <c r="Z80" s="13">
        <f t="shared" ref="Z80:Z81" si="70">IF(T80=0,0,X80/T80)</f>
        <v>-1</v>
      </c>
    </row>
    <row r="81" spans="1:26" s="23" customFormat="1" hidden="1" outlineLevel="1" x14ac:dyDescent="0.25">
      <c r="A81" s="44"/>
      <c r="B81" s="10" t="str">
        <f>CONCATENATE("          ", "9150", " - ", "MISC. INCOME")</f>
        <v xml:space="preserve">          9150 - MISC. INCOME</v>
      </c>
      <c r="C81" s="10"/>
      <c r="D81" s="2">
        <f>0</f>
        <v>0</v>
      </c>
      <c r="E81" s="2"/>
      <c r="F81" s="19">
        <f t="shared" si="63"/>
        <v>0</v>
      </c>
      <c r="G81" s="2"/>
      <c r="H81" s="2">
        <f>0</f>
        <v>0</v>
      </c>
      <c r="I81" s="2"/>
      <c r="J81" s="19">
        <f t="shared" si="64"/>
        <v>0</v>
      </c>
      <c r="K81" s="2"/>
      <c r="L81" s="2">
        <f t="shared" si="65"/>
        <v>0</v>
      </c>
      <c r="M81" s="2"/>
      <c r="N81" s="19">
        <f t="shared" si="66"/>
        <v>0</v>
      </c>
      <c r="O81" s="10"/>
      <c r="P81" s="2">
        <f>0</f>
        <v>0</v>
      </c>
      <c r="Q81" s="2"/>
      <c r="R81" s="19">
        <f t="shared" si="67"/>
        <v>0</v>
      </c>
      <c r="S81" s="2"/>
      <c r="T81" s="2">
        <f>--39607.82</f>
        <v>39607.82</v>
      </c>
      <c r="U81" s="2"/>
      <c r="V81" s="19">
        <f t="shared" si="68"/>
        <v>0.10095576548283038</v>
      </c>
      <c r="W81" s="2"/>
      <c r="X81" s="2">
        <f t="shared" si="69"/>
        <v>-39607.82</v>
      </c>
      <c r="Y81" s="2"/>
      <c r="Z81" s="19">
        <f t="shared" si="70"/>
        <v>-1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276</v>
      </c>
      <c r="C83" s="28"/>
      <c r="D83" s="20">
        <f>+D23-D25+D80</f>
        <v>-1000.91</v>
      </c>
      <c r="E83" s="14"/>
      <c r="F83" s="21">
        <f>IF(D$12=0,0,D83/D$12)</f>
        <v>0</v>
      </c>
      <c r="G83" s="14"/>
      <c r="H83" s="20">
        <f>+H23-H25+H80</f>
        <v>-6716.6200000000008</v>
      </c>
      <c r="I83" s="14"/>
      <c r="J83" s="21">
        <f>IF(H$12=0,0,H83/H$12)</f>
        <v>0</v>
      </c>
      <c r="K83" s="15"/>
      <c r="L83" s="20">
        <f>+D83-H83</f>
        <v>5715.7100000000009</v>
      </c>
      <c r="M83" s="15"/>
      <c r="N83" s="21">
        <f>IF(H83=0,0,L83/H83)</f>
        <v>-0.85098010606525309</v>
      </c>
      <c r="O83" s="29"/>
      <c r="P83" s="20">
        <f>+P23-P25+P80</f>
        <v>-8045.2899999999991</v>
      </c>
      <c r="Q83" s="14"/>
      <c r="R83" s="21">
        <f>IF(P$12=0,0,P83/P$12)</f>
        <v>0</v>
      </c>
      <c r="S83" s="14"/>
      <c r="T83" s="20">
        <f>+T23-T25+T80</f>
        <v>-40479.709999999941</v>
      </c>
      <c r="U83" s="14"/>
      <c r="V83" s="21">
        <f>IF(T$12=0,0,T83/T$12)</f>
        <v>-0.10317811254375973</v>
      </c>
      <c r="W83" s="15"/>
      <c r="X83" s="20">
        <f>+P83-T83</f>
        <v>32434.41999999994</v>
      </c>
      <c r="Y83" s="15"/>
      <c r="Z83" s="21">
        <f>IF(T83=0,0,X83/T83)</f>
        <v>-0.80125129354928648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1913.67</v>
      </c>
      <c r="I85" s="4"/>
      <c r="J85" s="13">
        <f>IF(H$12=0,0,H85/H$12)</f>
        <v>0</v>
      </c>
      <c r="K85" s="4"/>
      <c r="L85" s="4">
        <f>+D85-H85</f>
        <v>-1913.67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46459.76</v>
      </c>
      <c r="U85" s="4"/>
      <c r="V85" s="13">
        <f>IF(T$12=0,0,T85/T$12)</f>
        <v>0.11842057035576771</v>
      </c>
      <c r="W85" s="4"/>
      <c r="X85" s="4">
        <f>+P85-T85</f>
        <v>-46459.76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8" t="s">
        <v>125</v>
      </c>
      <c r="C87" s="28"/>
      <c r="D87" s="35">
        <f>+D83-D85</f>
        <v>-1000.91</v>
      </c>
      <c r="E87" s="14"/>
      <c r="F87" s="36">
        <f>IF(D$12=0,0,D87/D$12)</f>
        <v>0</v>
      </c>
      <c r="G87" s="14"/>
      <c r="H87" s="35">
        <f>+H83-H85</f>
        <v>-8630.2900000000009</v>
      </c>
      <c r="I87" s="14"/>
      <c r="J87" s="36">
        <f>IF(H$12=0,0,H87/H$12)</f>
        <v>0</v>
      </c>
      <c r="K87" s="15"/>
      <c r="L87" s="35">
        <f>D87-H87</f>
        <v>7629.380000000001</v>
      </c>
      <c r="M87" s="15"/>
      <c r="N87" s="36">
        <f>IF(H87=0,0,L87/H87)</f>
        <v>-0.88402359596259228</v>
      </c>
      <c r="O87" s="29"/>
      <c r="P87" s="35">
        <f>+P83-P85</f>
        <v>-8045.2899999999991</v>
      </c>
      <c r="Q87" s="14"/>
      <c r="R87" s="36">
        <f>IF(P$12=0,0,P87/P$12)</f>
        <v>0</v>
      </c>
      <c r="S87" s="14"/>
      <c r="T87" s="35">
        <f>+T83-T85</f>
        <v>-86939.469999999943</v>
      </c>
      <c r="U87" s="14"/>
      <c r="V87" s="36">
        <f>IF(T$12=0,0,T87/T$12)</f>
        <v>-0.22159868289952744</v>
      </c>
      <c r="W87" s="15"/>
      <c r="X87" s="35">
        <f>P87-T87</f>
        <v>78894.179999999949</v>
      </c>
      <c r="Y87" s="15"/>
      <c r="Z87" s="36">
        <f>IF(T87=0,0,X87/T87)</f>
        <v>-0.9074610185684362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293</v>
      </c>
      <c r="C90" s="28"/>
      <c r="D90" s="30">
        <f>SUM(D87:D89)</f>
        <v>-1000.91</v>
      </c>
      <c r="E90" s="14"/>
      <c r="F90" s="31">
        <f>IF(D$12=0,0,D90/D$12)</f>
        <v>0</v>
      </c>
      <c r="G90" s="14"/>
      <c r="H90" s="30">
        <f>SUM(H87:H89)</f>
        <v>-8630.2900000000009</v>
      </c>
      <c r="I90" s="14"/>
      <c r="J90" s="31">
        <f>IF(H$12=0,0,H90/H$12)</f>
        <v>0</v>
      </c>
      <c r="K90" s="15"/>
      <c r="L90" s="30">
        <f>+D90-H90</f>
        <v>7629.380000000001</v>
      </c>
      <c r="M90" s="15"/>
      <c r="N90" s="31">
        <f>IF(H90=0,0,L90/H90)</f>
        <v>-0.88402359596259228</v>
      </c>
      <c r="O90" s="29"/>
      <c r="P90" s="30">
        <f>SUM(P87:P89)</f>
        <v>-8045.2899999999991</v>
      </c>
      <c r="Q90" s="14"/>
      <c r="R90" s="31">
        <f>IF(P$12=0,0,P90/P$12)</f>
        <v>0</v>
      </c>
      <c r="S90" s="14"/>
      <c r="T90" s="30">
        <f>SUM(T87:T89)</f>
        <v>-86939.469999999943</v>
      </c>
      <c r="U90" s="14"/>
      <c r="V90" s="31">
        <f>IF(T$12=0,0,T90/T$12)</f>
        <v>-0.22159868289952744</v>
      </c>
      <c r="W90" s="15"/>
      <c r="X90" s="30">
        <f>+P90-T90</f>
        <v>78894.179999999949</v>
      </c>
      <c r="Y90" s="15"/>
      <c r="Z90" s="31">
        <f>IF(T90=0,0,X90/T90)</f>
        <v>-0.9074610185684362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9">
        <v>44356.893348032405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2" t="s">
        <v>56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4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","455", " - ", "Vending (old)")</f>
        <v>Department 455 - Vending (old)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0</v>
      </c>
      <c r="E18" s="22"/>
      <c r="F18" s="32">
        <f t="shared" ref="F18:F26" si="0">IF(D$12=0,0,D18/D$12)</f>
        <v>0</v>
      </c>
      <c r="G18" s="22"/>
      <c r="H18" s="22">
        <f>SUM(OSRRefH22x_0)</f>
        <v>0</v>
      </c>
      <c r="I18" s="22"/>
      <c r="J18" s="32">
        <f t="shared" ref="J18:J26" si="1">IF(H$12=0,0,H18/H$12)</f>
        <v>0</v>
      </c>
      <c r="K18" s="4"/>
      <c r="L18" s="22">
        <f t="shared" ref="L18:L26" si="2">+D18-H18</f>
        <v>0</v>
      </c>
      <c r="M18" s="4"/>
      <c r="N18" s="32">
        <f t="shared" ref="N18:N26" si="3">IF(H18=0,0,L18/H18)</f>
        <v>0</v>
      </c>
      <c r="O18" s="11"/>
      <c r="P18" s="22">
        <f>SUM(OSRRefP22x_0)</f>
        <v>0</v>
      </c>
      <c r="Q18" s="22"/>
      <c r="R18" s="32">
        <f t="shared" ref="R18:R26" si="4">IF(P$12=0,0,P18/P$12)</f>
        <v>0</v>
      </c>
      <c r="S18" s="22"/>
      <c r="T18" s="22">
        <f>SUM(OSRRefT22x_0)</f>
        <v>67961.41</v>
      </c>
      <c r="U18" s="22"/>
      <c r="V18" s="32">
        <f t="shared" ref="V18:V26" si="5">IF(T$12=0,0,T18/T$12)</f>
        <v>0</v>
      </c>
      <c r="W18" s="4"/>
      <c r="X18" s="22">
        <f t="shared" ref="X18:X26" si="6">+P18-T18</f>
        <v>-67961.41</v>
      </c>
      <c r="Y18" s="4"/>
      <c r="Z18" s="32">
        <f t="shared" ref="Z18:Z26" si="7">IF(T18=0,0,X18/T18)</f>
        <v>-1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2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30774.21</v>
      </c>
      <c r="U19" s="1"/>
      <c r="V19" s="5">
        <f t="shared" si="5"/>
        <v>0</v>
      </c>
      <c r="W19" s="1"/>
      <c r="X19" s="1">
        <f t="shared" si="6"/>
        <v>-30774.21</v>
      </c>
      <c r="Y19" s="1"/>
      <c r="Z19" s="5">
        <f t="shared" si="7"/>
        <v>-1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0"/>
      <c r="P20" s="6"/>
      <c r="Q20" s="2"/>
      <c r="R20" s="7">
        <f t="shared" si="4"/>
        <v>0</v>
      </c>
      <c r="S20" s="2"/>
      <c r="T20" s="6">
        <v>2908.48</v>
      </c>
      <c r="U20" s="2"/>
      <c r="V20" s="7">
        <f t="shared" si="5"/>
        <v>0</v>
      </c>
      <c r="W20" s="2"/>
      <c r="X20" s="6">
        <f t="shared" si="6"/>
        <v>-2908.48</v>
      </c>
      <c r="Y20" s="2"/>
      <c r="Z20" s="7">
        <f t="shared" si="7"/>
        <v>-1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0"/>
      <c r="P21" s="6"/>
      <c r="Q21" s="2"/>
      <c r="R21" s="7">
        <f t="shared" si="4"/>
        <v>0</v>
      </c>
      <c r="S21" s="2"/>
      <c r="T21" s="6">
        <v>159.32</v>
      </c>
      <c r="U21" s="2"/>
      <c r="V21" s="7">
        <f t="shared" si="5"/>
        <v>0</v>
      </c>
      <c r="W21" s="2"/>
      <c r="X21" s="6">
        <f t="shared" si="6"/>
        <v>-159.32</v>
      </c>
      <c r="Y21" s="2"/>
      <c r="Z21" s="7">
        <f t="shared" si="7"/>
        <v>-1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0"/>
      <c r="P22" s="6"/>
      <c r="Q22" s="2"/>
      <c r="R22" s="7">
        <f t="shared" si="4"/>
        <v>0</v>
      </c>
      <c r="S22" s="2"/>
      <c r="T22" s="6">
        <v>8394</v>
      </c>
      <c r="U22" s="2"/>
      <c r="V22" s="7">
        <f t="shared" si="5"/>
        <v>0</v>
      </c>
      <c r="W22" s="2"/>
      <c r="X22" s="6">
        <f t="shared" si="6"/>
        <v>-8394</v>
      </c>
      <c r="Y22" s="2"/>
      <c r="Z22" s="7">
        <f t="shared" si="7"/>
        <v>-1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0"/>
      <c r="P23" s="6"/>
      <c r="Q23" s="2"/>
      <c r="R23" s="7">
        <f t="shared" si="4"/>
        <v>0</v>
      </c>
      <c r="S23" s="2"/>
      <c r="T23" s="6">
        <v>134.31</v>
      </c>
      <c r="U23" s="2"/>
      <c r="V23" s="7">
        <f t="shared" si="5"/>
        <v>0</v>
      </c>
      <c r="W23" s="2"/>
      <c r="X23" s="6">
        <f t="shared" si="6"/>
        <v>-134.31</v>
      </c>
      <c r="Y23" s="2"/>
      <c r="Z23" s="7">
        <f t="shared" si="7"/>
        <v>-1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0"/>
      <c r="P24" s="6"/>
      <c r="Q24" s="2"/>
      <c r="R24" s="7">
        <f t="shared" si="4"/>
        <v>0</v>
      </c>
      <c r="S24" s="2"/>
      <c r="T24" s="6">
        <v>5280.61</v>
      </c>
      <c r="U24" s="2"/>
      <c r="V24" s="7">
        <f t="shared" si="5"/>
        <v>0</v>
      </c>
      <c r="W24" s="2"/>
      <c r="X24" s="6">
        <f t="shared" si="6"/>
        <v>-5280.61</v>
      </c>
      <c r="Y24" s="2"/>
      <c r="Z24" s="7">
        <f t="shared" si="7"/>
        <v>-1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5313.38</v>
      </c>
      <c r="U25" s="2"/>
      <c r="V25" s="7">
        <f t="shared" si="5"/>
        <v>0</v>
      </c>
      <c r="W25" s="2"/>
      <c r="X25" s="6">
        <f t="shared" si="6"/>
        <v>-5313.38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8584.11</v>
      </c>
      <c r="U26" s="2"/>
      <c r="V26" s="7">
        <f t="shared" si="5"/>
        <v>0</v>
      </c>
      <c r="W26" s="2"/>
      <c r="X26" s="6">
        <f t="shared" si="6"/>
        <v>-8584.11</v>
      </c>
      <c r="Y26" s="2"/>
      <c r="Z26" s="7">
        <f t="shared" si="7"/>
        <v>-1</v>
      </c>
    </row>
    <row r="27" spans="1:26" s="26" customFormat="1" outlineLevel="1" collapsed="1" x14ac:dyDescent="0.25">
      <c r="A27" s="25"/>
      <c r="B27" s="12" t="str">
        <f>CONCATENATE("     ","*Payroll                                          ")</f>
        <v xml:space="preserve">     *Payroll                                          </v>
      </c>
      <c r="C27" s="12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0</v>
      </c>
      <c r="I27" s="1"/>
      <c r="J27" s="5">
        <f t="shared" ref="J27:J29" si="9">IF(H$12=0,0,H27/H$12)</f>
        <v>0</v>
      </c>
      <c r="K27" s="1"/>
      <c r="L27" s="1">
        <f t="shared" ref="L27:L29" si="10">+D27-H27</f>
        <v>0</v>
      </c>
      <c r="M27" s="1"/>
      <c r="N27" s="5">
        <f t="shared" ref="N27:N29" si="11">IF(H27=0,0,L27/H27)</f>
        <v>0</v>
      </c>
      <c r="O27" s="12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37187.199999999997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-37187.199999999997</v>
      </c>
      <c r="Y27" s="1"/>
      <c r="Z27" s="5">
        <f t="shared" ref="Z27:Z29" si="15">IF(T27=0,0,X27/T27)</f>
        <v>-1</v>
      </c>
    </row>
    <row r="28" spans="1:26" s="23" customFormat="1" hidden="1" outlineLevel="2" x14ac:dyDescent="0.25">
      <c r="A28" s="27"/>
      <c r="B28" s="10" t="str">
        <f>CONCATENATE("          ", "6001", " - ", "ADMINISTRATIVE SALARIES")</f>
        <v xml:space="preserve">          6001 - ADMINISTRATIVE SALARIES</v>
      </c>
      <c r="C28" s="10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0"/>
      <c r="P28" s="6"/>
      <c r="Q28" s="2"/>
      <c r="R28" s="7">
        <f t="shared" si="12"/>
        <v>0</v>
      </c>
      <c r="S28" s="2"/>
      <c r="T28" s="6">
        <v>37187.199999999997</v>
      </c>
      <c r="U28" s="2"/>
      <c r="V28" s="7">
        <f t="shared" si="13"/>
        <v>0</v>
      </c>
      <c r="W28" s="2"/>
      <c r="X28" s="6">
        <f t="shared" si="14"/>
        <v>-37187.199999999997</v>
      </c>
      <c r="Y28" s="2"/>
      <c r="Z28" s="7">
        <f t="shared" si="15"/>
        <v>-1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7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collapsed="1" x14ac:dyDescent="0.25">
      <c r="A31" s="11"/>
      <c r="B31" s="29" t="s">
        <v>292</v>
      </c>
      <c r="C31" s="11"/>
      <c r="D31" s="4">
        <f>SUM(OSRRefD25x_0)</f>
        <v>32.82</v>
      </c>
      <c r="E31" s="4"/>
      <c r="F31" s="13">
        <f t="shared" ref="F31:F34" si="16">IF(D$12=0,0,D31/D$12)</f>
        <v>0</v>
      </c>
      <c r="G31" s="4"/>
      <c r="H31" s="4">
        <f>SUM(OSRRefH25x_0)</f>
        <v>6624.89</v>
      </c>
      <c r="I31" s="4"/>
      <c r="J31" s="13">
        <f t="shared" ref="J31:J34" si="17">IF(H$12=0,0,H31/H$12)</f>
        <v>0</v>
      </c>
      <c r="K31" s="4"/>
      <c r="L31" s="4">
        <f t="shared" ref="L31:L34" si="18">+D31-H31</f>
        <v>-6592.0700000000006</v>
      </c>
      <c r="M31" s="4"/>
      <c r="N31" s="13">
        <f t="shared" ref="N31:N34" si="19">IF(H31=0,0,L31/H31)</f>
        <v>-0.99504595548001551</v>
      </c>
      <c r="O31" s="11"/>
      <c r="P31" s="4">
        <f>SUM(OSRRefP25x_0)</f>
        <v>16320.39</v>
      </c>
      <c r="Q31" s="4"/>
      <c r="R31" s="13">
        <f t="shared" ref="R31:R34" si="20">IF(P$12=0,0,P31/P$12)</f>
        <v>0</v>
      </c>
      <c r="S31" s="4"/>
      <c r="T31" s="4">
        <f>SUM(OSRRefT25x_0)</f>
        <v>371164.31</v>
      </c>
      <c r="U31" s="4"/>
      <c r="V31" s="13">
        <f t="shared" ref="V31:V34" si="21">IF(T$12=0,0,T31/T$12)</f>
        <v>0</v>
      </c>
      <c r="W31" s="4"/>
      <c r="X31" s="4">
        <f t="shared" ref="X31:X34" si="22">+P31-T31</f>
        <v>-354843.92</v>
      </c>
      <c r="Y31" s="4"/>
      <c r="Z31" s="13">
        <f t="shared" ref="Z31:Z34" si="23">IF(T31=0,0,X31/T31)</f>
        <v>-0.95602920442431538</v>
      </c>
    </row>
    <row r="32" spans="1:26" s="23" customFormat="1" hidden="1" outlineLevel="1" x14ac:dyDescent="0.25">
      <c r="A32" s="44"/>
      <c r="B32" s="10" t="str">
        <f>CONCATENATE("          ", "9150", " - ", "MISC. INCOME")</f>
        <v xml:space="preserve">          9150 - MISC. INCOME</v>
      </c>
      <c r="C32" s="10"/>
      <c r="D32" s="2">
        <f t="shared" ref="D32:D33" si="24">0</f>
        <v>0</v>
      </c>
      <c r="E32" s="2"/>
      <c r="F32" s="19">
        <f t="shared" si="16"/>
        <v>0</v>
      </c>
      <c r="G32" s="2"/>
      <c r="H32" s="2">
        <f t="shared" ref="H32:H33" si="25">0</f>
        <v>0</v>
      </c>
      <c r="I32" s="2"/>
      <c r="J32" s="19">
        <f t="shared" si="17"/>
        <v>0</v>
      </c>
      <c r="K32" s="2"/>
      <c r="L32" s="2">
        <f t="shared" si="18"/>
        <v>0</v>
      </c>
      <c r="M32" s="2"/>
      <c r="N32" s="19">
        <f t="shared" si="19"/>
        <v>0</v>
      </c>
      <c r="O32" s="10"/>
      <c r="P32" s="2">
        <f>0</f>
        <v>0</v>
      </c>
      <c r="Q32" s="2"/>
      <c r="R32" s="19">
        <f t="shared" si="20"/>
        <v>0</v>
      </c>
      <c r="S32" s="2"/>
      <c r="T32" s="2">
        <f>0</f>
        <v>0</v>
      </c>
      <c r="U32" s="2"/>
      <c r="V32" s="19">
        <f t="shared" si="21"/>
        <v>0</v>
      </c>
      <c r="W32" s="2"/>
      <c r="X32" s="2">
        <f t="shared" si="22"/>
        <v>0</v>
      </c>
      <c r="Y32" s="2"/>
      <c r="Z32" s="19">
        <f t="shared" si="23"/>
        <v>0</v>
      </c>
    </row>
    <row r="33" spans="1:26" s="23" customFormat="1" hidden="1" outlineLevel="1" x14ac:dyDescent="0.25">
      <c r="A33" s="44"/>
      <c r="B33" s="10" t="str">
        <f>CONCATENATE("          ", "9160", " - ", "MISC. INCOME")</f>
        <v xml:space="preserve">          9160 - MISC. INCOME</v>
      </c>
      <c r="C33" s="10"/>
      <c r="D33" s="2">
        <f t="shared" si="24"/>
        <v>0</v>
      </c>
      <c r="E33" s="2"/>
      <c r="F33" s="19">
        <f t="shared" si="16"/>
        <v>0</v>
      </c>
      <c r="G33" s="2"/>
      <c r="H33" s="2">
        <f t="shared" si="25"/>
        <v>0</v>
      </c>
      <c r="I33" s="2"/>
      <c r="J33" s="19">
        <f t="shared" si="17"/>
        <v>0</v>
      </c>
      <c r="K33" s="2"/>
      <c r="L33" s="2">
        <f t="shared" si="18"/>
        <v>0</v>
      </c>
      <c r="M33" s="2"/>
      <c r="N33" s="19">
        <f t="shared" si="19"/>
        <v>0</v>
      </c>
      <c r="O33" s="10"/>
      <c r="P33" s="2">
        <f>--12798.71</f>
        <v>12798.71</v>
      </c>
      <c r="Q33" s="2"/>
      <c r="R33" s="19">
        <f t="shared" si="20"/>
        <v>0</v>
      </c>
      <c r="S33" s="2"/>
      <c r="T33" s="2">
        <f>--128039.29</f>
        <v>128039.29</v>
      </c>
      <c r="U33" s="2"/>
      <c r="V33" s="19">
        <f t="shared" si="21"/>
        <v>0</v>
      </c>
      <c r="W33" s="2"/>
      <c r="X33" s="2">
        <f t="shared" si="22"/>
        <v>-115240.57999999999</v>
      </c>
      <c r="Y33" s="2"/>
      <c r="Z33" s="19">
        <f t="shared" si="23"/>
        <v>-0.90004076092580643</v>
      </c>
    </row>
    <row r="34" spans="1:26" s="23" customFormat="1" hidden="1" outlineLevel="1" x14ac:dyDescent="0.25">
      <c r="A34" s="44"/>
      <c r="B34" s="10" t="str">
        <f>CONCATENATE("          ", "9165", " - ", "OTHER INCOME")</f>
        <v xml:space="preserve">          9165 - OTHER INCOME</v>
      </c>
      <c r="C34" s="10"/>
      <c r="D34" s="2">
        <f>--32.82</f>
        <v>32.82</v>
      </c>
      <c r="E34" s="2"/>
      <c r="F34" s="19">
        <f t="shared" si="16"/>
        <v>0</v>
      </c>
      <c r="G34" s="2"/>
      <c r="H34" s="2">
        <f>--6624.89</f>
        <v>6624.89</v>
      </c>
      <c r="I34" s="2"/>
      <c r="J34" s="19">
        <f t="shared" si="17"/>
        <v>0</v>
      </c>
      <c r="K34" s="2"/>
      <c r="L34" s="2">
        <f t="shared" si="18"/>
        <v>-6592.0700000000006</v>
      </c>
      <c r="M34" s="2"/>
      <c r="N34" s="19">
        <f t="shared" si="19"/>
        <v>-0.99504595548001551</v>
      </c>
      <c r="O34" s="10"/>
      <c r="P34" s="2">
        <f>--3521.68</f>
        <v>3521.68</v>
      </c>
      <c r="Q34" s="2"/>
      <c r="R34" s="19">
        <f t="shared" si="20"/>
        <v>0</v>
      </c>
      <c r="S34" s="2"/>
      <c r="T34" s="2">
        <f>--243125.02</f>
        <v>243125.02</v>
      </c>
      <c r="U34" s="2"/>
      <c r="V34" s="19">
        <f t="shared" si="21"/>
        <v>0</v>
      </c>
      <c r="W34" s="2"/>
      <c r="X34" s="2">
        <f t="shared" si="22"/>
        <v>-239603.34</v>
      </c>
      <c r="Y34" s="2"/>
      <c r="Z34" s="19">
        <f t="shared" si="23"/>
        <v>-0.98551494206560886</v>
      </c>
    </row>
    <row r="35" spans="1:26" x14ac:dyDescent="0.25">
      <c r="A35" s="9"/>
      <c r="B35" s="11"/>
      <c r="C35" s="11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1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x14ac:dyDescent="0.25">
      <c r="A36" s="11"/>
      <c r="B36" s="28" t="s">
        <v>276</v>
      </c>
      <c r="C36" s="28"/>
      <c r="D36" s="20">
        <f>+D16-D18+D31</f>
        <v>32.82</v>
      </c>
      <c r="E36" s="14"/>
      <c r="F36" s="21">
        <f>IF(D$12=0,0,D36/D$12)</f>
        <v>0</v>
      </c>
      <c r="G36" s="14"/>
      <c r="H36" s="20">
        <f>+H16-H18+H31</f>
        <v>6624.89</v>
      </c>
      <c r="I36" s="14"/>
      <c r="J36" s="21">
        <f>IF(H$12=0,0,H36/H$12)</f>
        <v>0</v>
      </c>
      <c r="K36" s="15"/>
      <c r="L36" s="20">
        <f>+D36-H36</f>
        <v>-6592.0700000000006</v>
      </c>
      <c r="M36" s="15"/>
      <c r="N36" s="21">
        <f>IF(H36=0,0,L36/H36)</f>
        <v>-0.99504595548001551</v>
      </c>
      <c r="O36" s="29"/>
      <c r="P36" s="20">
        <f>+P16-P18+P31</f>
        <v>16320.39</v>
      </c>
      <c r="Q36" s="14"/>
      <c r="R36" s="21">
        <f>IF(P$12=0,0,P36/P$12)</f>
        <v>0</v>
      </c>
      <c r="S36" s="14"/>
      <c r="T36" s="20">
        <f>+T16-T18+T31</f>
        <v>303202.90000000002</v>
      </c>
      <c r="U36" s="14"/>
      <c r="V36" s="21">
        <f>IF(T$12=0,0,T36/T$12)</f>
        <v>0</v>
      </c>
      <c r="W36" s="15"/>
      <c r="X36" s="20">
        <f>+P36-T36</f>
        <v>-286882.51</v>
      </c>
      <c r="Y36" s="15"/>
      <c r="Z36" s="21">
        <f>IF(T36=0,0,X36/T36)</f>
        <v>-0.94617337103306065</v>
      </c>
    </row>
    <row r="37" spans="1:26" x14ac:dyDescent="0.25">
      <c r="A37" s="9"/>
      <c r="B37" s="11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x14ac:dyDescent="0.25">
      <c r="A38" s="51"/>
      <c r="B38" s="11" t="s">
        <v>127</v>
      </c>
      <c r="C38" s="11"/>
      <c r="D38" s="4"/>
      <c r="E38" s="4"/>
      <c r="F38" s="13">
        <f>IF(D$12=0,0,D38/D$12)</f>
        <v>0</v>
      </c>
      <c r="G38" s="4"/>
      <c r="H38" s="4"/>
      <c r="I38" s="4"/>
      <c r="J38" s="13">
        <f>IF(H$12=0,0,H38/H$12)</f>
        <v>0</v>
      </c>
      <c r="K38" s="4"/>
      <c r="L38" s="4">
        <f>+D38-H38</f>
        <v>0</v>
      </c>
      <c r="M38" s="4"/>
      <c r="N38" s="13">
        <f>IF(H38=0,0,L38/H38)</f>
        <v>0</v>
      </c>
      <c r="O38" s="11"/>
      <c r="P38" s="4"/>
      <c r="Q38" s="4"/>
      <c r="R38" s="13">
        <f>IF(P$12=0,0,P38/P$12)</f>
        <v>0</v>
      </c>
      <c r="S38" s="4"/>
      <c r="T38" s="4"/>
      <c r="U38" s="4"/>
      <c r="V38" s="13">
        <f>IF(T$12=0,0,T38/T$12)</f>
        <v>0</v>
      </c>
      <c r="W38" s="4"/>
      <c r="X38" s="4">
        <f>+P38-T38</f>
        <v>0</v>
      </c>
      <c r="Y38" s="4"/>
      <c r="Z38" s="13">
        <f>IF(T38=0,0,X38/T38)</f>
        <v>0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8" t="s">
        <v>125</v>
      </c>
      <c r="C40" s="28"/>
      <c r="D40" s="35">
        <f>+D36-D38</f>
        <v>32.82</v>
      </c>
      <c r="E40" s="14"/>
      <c r="F40" s="36">
        <f>IF(D$12=0,0,D40/D$12)</f>
        <v>0</v>
      </c>
      <c r="G40" s="14"/>
      <c r="H40" s="35">
        <f>+H36-H38</f>
        <v>6624.89</v>
      </c>
      <c r="I40" s="14"/>
      <c r="J40" s="36">
        <f>IF(H$12=0,0,H40/H$12)</f>
        <v>0</v>
      </c>
      <c r="K40" s="15"/>
      <c r="L40" s="35">
        <f>D40-H40</f>
        <v>-6592.0700000000006</v>
      </c>
      <c r="M40" s="15"/>
      <c r="N40" s="36">
        <f>IF(H40=0,0,L40/H40)</f>
        <v>-0.99504595548001551</v>
      </c>
      <c r="O40" s="29"/>
      <c r="P40" s="35">
        <f>+P36-P38</f>
        <v>16320.39</v>
      </c>
      <c r="Q40" s="14"/>
      <c r="R40" s="36">
        <f>IF(P$12=0,0,P40/P$12)</f>
        <v>0</v>
      </c>
      <c r="S40" s="14"/>
      <c r="T40" s="35">
        <f>+T36-T38</f>
        <v>303202.90000000002</v>
      </c>
      <c r="U40" s="14"/>
      <c r="V40" s="36">
        <f>IF(T$12=0,0,T40/T$12)</f>
        <v>0</v>
      </c>
      <c r="W40" s="15"/>
      <c r="X40" s="35">
        <f>P40-T40</f>
        <v>-286882.51</v>
      </c>
      <c r="Y40" s="15"/>
      <c r="Z40" s="36">
        <f>IF(T40=0,0,X40/T40)</f>
        <v>-0.94617337103306065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ht="15.75" thickBot="1" x14ac:dyDescent="0.3">
      <c r="A43" s="11"/>
      <c r="B43" s="28" t="s">
        <v>293</v>
      </c>
      <c r="C43" s="28"/>
      <c r="D43" s="30">
        <f>SUM(D40:D42)</f>
        <v>32.82</v>
      </c>
      <c r="E43" s="14"/>
      <c r="F43" s="31">
        <f>IF(D$12=0,0,D43/D$12)</f>
        <v>0</v>
      </c>
      <c r="G43" s="14"/>
      <c r="H43" s="30">
        <f>SUM(H40:H42)</f>
        <v>6624.89</v>
      </c>
      <c r="I43" s="14"/>
      <c r="J43" s="31">
        <f>IF(H$12=0,0,H43/H$12)</f>
        <v>0</v>
      </c>
      <c r="K43" s="15"/>
      <c r="L43" s="30">
        <f>+D43-H43</f>
        <v>-6592.0700000000006</v>
      </c>
      <c r="M43" s="15"/>
      <c r="N43" s="31">
        <f>IF(H43=0,0,L43/H43)</f>
        <v>-0.99504595548001551</v>
      </c>
      <c r="O43" s="29"/>
      <c r="P43" s="30">
        <f>SUM(P40:P42)</f>
        <v>16320.39</v>
      </c>
      <c r="Q43" s="14"/>
      <c r="R43" s="31">
        <f>IF(P$12=0,0,P43/P$12)</f>
        <v>0</v>
      </c>
      <c r="S43" s="14"/>
      <c r="T43" s="30">
        <f>SUM(T40:T42)</f>
        <v>303202.90000000002</v>
      </c>
      <c r="U43" s="14"/>
      <c r="V43" s="31">
        <f>IF(T$12=0,0,T43/T$12)</f>
        <v>0</v>
      </c>
      <c r="W43" s="15"/>
      <c r="X43" s="30">
        <f>+P43-T43</f>
        <v>-286882.51</v>
      </c>
      <c r="Y43" s="15"/>
      <c r="Z43" s="31">
        <f>IF(T43=0,0,X43/T43)</f>
        <v>-0.94617337103306065</v>
      </c>
    </row>
    <row r="44" spans="1:26" ht="15.75" thickTop="1" x14ac:dyDescent="0.25">
      <c r="A44" s="9"/>
      <c r="C44" s="9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9">
        <v>44356.893348032405</v>
      </c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52" t="s">
        <v>56</v>
      </c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4"/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138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AF69" sqref="AF69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182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50528.700000000004</v>
      </c>
      <c r="E12" s="4"/>
      <c r="F12" s="13"/>
      <c r="G12" s="4"/>
      <c r="H12" s="4">
        <f>SUM(OSRRefH13x_0)</f>
        <v>121392.13999999998</v>
      </c>
      <c r="I12" s="4"/>
      <c r="J12" s="13"/>
      <c r="K12" s="4"/>
      <c r="L12" s="4">
        <f t="shared" ref="L12:L18" si="0">+D12-H12</f>
        <v>-70863.439999999973</v>
      </c>
      <c r="M12" s="4"/>
      <c r="N12" s="13">
        <f t="shared" ref="N12:N18" si="1">IF(H12=0,0,L12/H12)</f>
        <v>-0.58375641124705424</v>
      </c>
      <c r="O12" s="11"/>
      <c r="P12" s="4">
        <f>SUM(OSRRefP13x_0)</f>
        <v>991884.6</v>
      </c>
      <c r="Q12" s="4"/>
      <c r="R12" s="13"/>
      <c r="S12" s="4"/>
      <c r="T12" s="4">
        <f>SUM(OSRRefT13x_0)</f>
        <v>9170984.7699999996</v>
      </c>
      <c r="U12" s="4"/>
      <c r="V12" s="13"/>
      <c r="W12" s="4"/>
      <c r="X12" s="4">
        <f t="shared" ref="X12:X18" si="2">+P12-T12</f>
        <v>-8179100.1699999999</v>
      </c>
      <c r="Y12" s="4"/>
      <c r="Z12" s="13">
        <f t="shared" ref="Z12:Z18" si="3">IF(T12=0,0,X12/T12)</f>
        <v>-0.89184535522895658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--21.66</f>
        <v>21.66</v>
      </c>
      <c r="E13" s="2"/>
      <c r="F13" s="19"/>
      <c r="G13" s="2"/>
      <c r="H13" s="2">
        <f>--59.42</f>
        <v>59.42</v>
      </c>
      <c r="I13" s="2"/>
      <c r="J13" s="19"/>
      <c r="K13" s="2"/>
      <c r="L13" s="2">
        <f t="shared" si="0"/>
        <v>-37.760000000000005</v>
      </c>
      <c r="M13" s="2"/>
      <c r="N13" s="19">
        <f t="shared" si="1"/>
        <v>-0.63547627061595424</v>
      </c>
      <c r="O13" s="10"/>
      <c r="P13" s="2">
        <f>--1106.56</f>
        <v>1106.56</v>
      </c>
      <c r="Q13" s="2"/>
      <c r="R13" s="19"/>
      <c r="S13" s="2"/>
      <c r="T13" s="2">
        <f>--26715.69</f>
        <v>26715.69</v>
      </c>
      <c r="U13" s="2"/>
      <c r="V13" s="19"/>
      <c r="W13" s="2"/>
      <c r="X13" s="2">
        <f t="shared" si="2"/>
        <v>-25609.129999999997</v>
      </c>
      <c r="Y13" s="2"/>
      <c r="Z13" s="19">
        <f t="shared" si="3"/>
        <v>-0.95858014522552093</v>
      </c>
    </row>
    <row r="14" spans="1:26" s="23" customFormat="1" hidden="1" outlineLevel="1" x14ac:dyDescent="0.25">
      <c r="A14" s="44"/>
      <c r="B14" s="10" t="str">
        <f>CONCATENATE("          ", "4055", " - ", "TAXABLE SALES-FOOD")</f>
        <v xml:space="preserve">          4055 - TAXABLE SALES-FOOD</v>
      </c>
      <c r="C14" s="10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"4151", " - ", "NON-TAXABLE SALES-FOOD")</f>
        <v xml:space="preserve">          4151 - NON-TAXABLE SALES-FOOD</v>
      </c>
      <c r="C15" s="10"/>
      <c r="D15" s="2">
        <f>--47615</f>
        <v>47615</v>
      </c>
      <c r="E15" s="2"/>
      <c r="F15" s="19"/>
      <c r="G15" s="2"/>
      <c r="H15" s="2">
        <f>--125115.48</f>
        <v>125115.48</v>
      </c>
      <c r="I15" s="2"/>
      <c r="J15" s="19"/>
      <c r="K15" s="2"/>
      <c r="L15" s="2">
        <f t="shared" si="0"/>
        <v>-77500.479999999996</v>
      </c>
      <c r="M15" s="2"/>
      <c r="N15" s="19">
        <f t="shared" si="1"/>
        <v>-0.61943158432513701</v>
      </c>
      <c r="O15" s="10"/>
      <c r="P15" s="2">
        <f>--940443.72</f>
        <v>940443.72</v>
      </c>
      <c r="Q15" s="2"/>
      <c r="R15" s="19"/>
      <c r="S15" s="2"/>
      <c r="T15" s="2">
        <f>--8839225.86</f>
        <v>8839225.8599999994</v>
      </c>
      <c r="U15" s="2"/>
      <c r="V15" s="19"/>
      <c r="W15" s="2"/>
      <c r="X15" s="2">
        <f t="shared" si="2"/>
        <v>-7898782.1399999997</v>
      </c>
      <c r="Y15" s="2"/>
      <c r="Z15" s="19">
        <f t="shared" si="3"/>
        <v>-0.89360564659222319</v>
      </c>
    </row>
    <row r="16" spans="1:26" s="23" customFormat="1" hidden="1" outlineLevel="1" x14ac:dyDescent="0.25">
      <c r="A16" s="44"/>
      <c r="B16" s="10" t="str">
        <f>CONCATENATE("          ", "4153", " - ", "NON-TAXABLE SALES-FOOD")</f>
        <v xml:space="preserve">          4153 - NON-TAXABLE SALES-FOOD</v>
      </c>
      <c r="C16" s="10"/>
      <c r="D16" s="2">
        <f>--2892.04</f>
        <v>2892.04</v>
      </c>
      <c r="E16" s="2"/>
      <c r="F16" s="19"/>
      <c r="G16" s="2"/>
      <c r="H16" s="2">
        <f>-4166.46</f>
        <v>-4166.46</v>
      </c>
      <c r="I16" s="2"/>
      <c r="J16" s="19"/>
      <c r="K16" s="2"/>
      <c r="L16" s="2">
        <f t="shared" si="0"/>
        <v>7058.5</v>
      </c>
      <c r="M16" s="2"/>
      <c r="N16" s="19">
        <f t="shared" si="1"/>
        <v>-1.6941240285518162</v>
      </c>
      <c r="O16" s="10"/>
      <c r="P16" s="2">
        <f>--50334.32</f>
        <v>50334.32</v>
      </c>
      <c r="Q16" s="2"/>
      <c r="R16" s="19"/>
      <c r="S16" s="2"/>
      <c r="T16" s="2">
        <f>--299952.13</f>
        <v>299952.13</v>
      </c>
      <c r="U16" s="2"/>
      <c r="V16" s="19"/>
      <c r="W16" s="2"/>
      <c r="X16" s="2">
        <f t="shared" si="2"/>
        <v>-249617.81</v>
      </c>
      <c r="Y16" s="2"/>
      <c r="Z16" s="19">
        <f t="shared" si="3"/>
        <v>-0.83219215679515257</v>
      </c>
    </row>
    <row r="17" spans="1:26" s="23" customFormat="1" hidden="1" outlineLevel="1" x14ac:dyDescent="0.25">
      <c r="A17" s="44"/>
      <c r="B17" s="10" t="str">
        <f>CONCATENATE("          ", "4155", " - ", "NON-TAXABLE SALES-FOOD")</f>
        <v xml:space="preserve">          4155 - NON-TAXABLE SALES-FOOD</v>
      </c>
      <c r="C17" s="10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5"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"4159", " - ", "NON-TAXABLE SALES-FOOD")</f>
        <v xml:space="preserve">          4159 - NON-TAXABLE SALES-FOOD</v>
      </c>
      <c r="C18" s="10"/>
      <c r="D18" s="2">
        <f t="shared" si="4"/>
        <v>0</v>
      </c>
      <c r="E18" s="2"/>
      <c r="F18" s="19"/>
      <c r="G18" s="2"/>
      <c r="H18" s="2">
        <f>--383.7</f>
        <v>383.7</v>
      </c>
      <c r="I18" s="2"/>
      <c r="J18" s="19"/>
      <c r="K18" s="2"/>
      <c r="L18" s="2">
        <f t="shared" si="0"/>
        <v>-383.7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--383.7</f>
        <v>383.7</v>
      </c>
      <c r="U18" s="2"/>
      <c r="V18" s="19"/>
      <c r="W18" s="2"/>
      <c r="X18" s="2">
        <f t="shared" si="2"/>
        <v>-383.7</v>
      </c>
      <c r="Y18" s="2"/>
      <c r="Z18" s="19">
        <f t="shared" si="3"/>
        <v>-1</v>
      </c>
    </row>
    <row r="19" spans="1:26" x14ac:dyDescent="0.25">
      <c r="A19" s="9"/>
      <c r="B19" s="11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collapsed="1" x14ac:dyDescent="0.25">
      <c r="A20" s="11"/>
      <c r="B20" s="29" t="s">
        <v>256</v>
      </c>
      <c r="C20" s="11"/>
      <c r="D20" s="4">
        <f>SUM(OSRRefD16x_0)</f>
        <v>25181.79</v>
      </c>
      <c r="E20" s="4"/>
      <c r="F20" s="13">
        <f t="shared" ref="F20:F22" si="6">IF(D$12=0,0,D20/D$12)</f>
        <v>0.49836607710073677</v>
      </c>
      <c r="G20" s="4"/>
      <c r="H20" s="4">
        <f>SUM(OSRRefH16x_0)</f>
        <v>26408.559999999998</v>
      </c>
      <c r="I20" s="4"/>
      <c r="J20" s="13">
        <f t="shared" ref="J20:J22" si="7">IF(H$12=0,0,H20/H$12)</f>
        <v>0.21754752820075501</v>
      </c>
      <c r="K20" s="4"/>
      <c r="L20" s="4">
        <f t="shared" ref="L20:L22" si="8">+D20-H20</f>
        <v>-1226.7699999999968</v>
      </c>
      <c r="M20" s="4"/>
      <c r="N20" s="13">
        <f t="shared" ref="N20:N22" si="9">IF(H20=0,0,L20/H20)</f>
        <v>-4.6453498411121126E-2</v>
      </c>
      <c r="O20" s="11"/>
      <c r="P20" s="4">
        <f>SUM(OSRRefP16x_0)</f>
        <v>441071.97</v>
      </c>
      <c r="Q20" s="4"/>
      <c r="R20" s="13">
        <f t="shared" ref="R20:R22" si="10">IF(P$12=0,0,P20/P$12)</f>
        <v>0.44468073201257485</v>
      </c>
      <c r="S20" s="4"/>
      <c r="T20" s="4">
        <f>SUM(OSRRefT16x_0)</f>
        <v>2195142.14</v>
      </c>
      <c r="U20" s="4"/>
      <c r="V20" s="13">
        <f t="shared" ref="V20:V22" si="11">IF(T$12=0,0,T20/T$12)</f>
        <v>0.23935729859466337</v>
      </c>
      <c r="W20" s="4"/>
      <c r="X20" s="4">
        <f t="shared" ref="X20:X22" si="12">+P20-T20</f>
        <v>-1754070.1700000002</v>
      </c>
      <c r="Y20" s="4"/>
      <c r="Z20" s="13">
        <f t="shared" ref="Z20:Z22" si="13">IF(T20=0,0,X20/T20)</f>
        <v>-0.79906906165083236</v>
      </c>
    </row>
    <row r="21" spans="1:26" s="23" customFormat="1" hidden="1" outlineLevel="1" x14ac:dyDescent="0.25">
      <c r="A21" s="44"/>
      <c r="B21" s="10" t="str">
        <f>CONCATENATE("          ", "5053", " - ", "PURCHASES @ COST-FOOD")</f>
        <v xml:space="preserve">          5053 - PURCHASES @ COST-FOOD</v>
      </c>
      <c r="C21" s="10"/>
      <c r="D21" s="2">
        <v>24078.79</v>
      </c>
      <c r="E21" s="2"/>
      <c r="F21" s="19">
        <f t="shared" si="6"/>
        <v>0.47653689883175304</v>
      </c>
      <c r="G21" s="2"/>
      <c r="H21" s="2">
        <v>13513.56</v>
      </c>
      <c r="I21" s="2"/>
      <c r="J21" s="19">
        <f t="shared" si="7"/>
        <v>0.11132154025787833</v>
      </c>
      <c r="K21" s="2"/>
      <c r="L21" s="2">
        <f t="shared" si="8"/>
        <v>10565.230000000001</v>
      </c>
      <c r="M21" s="2"/>
      <c r="N21" s="19">
        <f t="shared" si="9"/>
        <v>0.78182433052430311</v>
      </c>
      <c r="O21" s="10"/>
      <c r="P21" s="2">
        <v>443748.67</v>
      </c>
      <c r="Q21" s="2"/>
      <c r="R21" s="19">
        <f t="shared" si="10"/>
        <v>0.44737933223280207</v>
      </c>
      <c r="S21" s="2"/>
      <c r="T21" s="2">
        <v>2172140.4</v>
      </c>
      <c r="U21" s="2"/>
      <c r="V21" s="19">
        <f t="shared" si="11"/>
        <v>0.23684919934721471</v>
      </c>
      <c r="W21" s="2"/>
      <c r="X21" s="2">
        <f t="shared" si="12"/>
        <v>-1728391.73</v>
      </c>
      <c r="Y21" s="2"/>
      <c r="Z21" s="19">
        <f t="shared" si="13"/>
        <v>-0.79570902967414081</v>
      </c>
    </row>
    <row r="22" spans="1:26" s="23" customFormat="1" hidden="1" outlineLevel="1" x14ac:dyDescent="0.25">
      <c r="A22" s="44"/>
      <c r="B22" s="10" t="str">
        <f>CONCATENATE("          ", "5059", " - ", "PURCHASES @ COST-FOOD")</f>
        <v xml:space="preserve">          5059 - PURCHASES @ COST-FOOD</v>
      </c>
      <c r="C22" s="10"/>
      <c r="D22" s="2">
        <v>1103</v>
      </c>
      <c r="E22" s="2"/>
      <c r="F22" s="19">
        <f t="shared" si="6"/>
        <v>2.1829178268983764E-2</v>
      </c>
      <c r="G22" s="2"/>
      <c r="H22" s="2">
        <v>12895</v>
      </c>
      <c r="I22" s="2"/>
      <c r="J22" s="19">
        <f t="shared" si="7"/>
        <v>0.10622598794287672</v>
      </c>
      <c r="K22" s="2"/>
      <c r="L22" s="2">
        <f t="shared" si="8"/>
        <v>-11792</v>
      </c>
      <c r="M22" s="2"/>
      <c r="N22" s="19">
        <f t="shared" si="9"/>
        <v>-0.91446297014346645</v>
      </c>
      <c r="O22" s="10"/>
      <c r="P22" s="2">
        <v>-2676.7</v>
      </c>
      <c r="Q22" s="2"/>
      <c r="R22" s="19">
        <f t="shared" si="10"/>
        <v>-2.6986002202272321E-3</v>
      </c>
      <c r="S22" s="2"/>
      <c r="T22" s="2">
        <v>23001.74</v>
      </c>
      <c r="U22" s="2"/>
      <c r="V22" s="19">
        <f t="shared" si="11"/>
        <v>2.5080992474486468E-3</v>
      </c>
      <c r="W22" s="2"/>
      <c r="X22" s="2">
        <f t="shared" si="12"/>
        <v>-25678.440000000002</v>
      </c>
      <c r="Y22" s="2"/>
      <c r="Z22" s="19">
        <f t="shared" si="13"/>
        <v>-1.1163694572671459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8" t="s">
        <v>107</v>
      </c>
      <c r="C24" s="28"/>
      <c r="D24" s="20">
        <f>D12-D20</f>
        <v>25346.910000000003</v>
      </c>
      <c r="E24" s="14"/>
      <c r="F24" s="21">
        <f>IF(D$12=0,0,D24/D$12)</f>
        <v>0.50163392289926323</v>
      </c>
      <c r="G24" s="14"/>
      <c r="H24" s="20">
        <f>H12-H20</f>
        <v>94983.579999999987</v>
      </c>
      <c r="I24" s="14"/>
      <c r="J24" s="21">
        <f>IF(H$12=0,0,H24/H$12)</f>
        <v>0.78245247179924493</v>
      </c>
      <c r="K24" s="15"/>
      <c r="L24" s="20">
        <f>+D24-H24</f>
        <v>-69636.669999999984</v>
      </c>
      <c r="M24" s="15"/>
      <c r="N24" s="21">
        <f>IF(H24=0,0,L24/H24)</f>
        <v>-0.73314429715114959</v>
      </c>
      <c r="O24" s="29"/>
      <c r="P24" s="20">
        <f>P12-P20</f>
        <v>550812.63</v>
      </c>
      <c r="Q24" s="14"/>
      <c r="R24" s="21">
        <f>IF(P$12=0,0,P24/P$12)</f>
        <v>0.55531926798742515</v>
      </c>
      <c r="S24" s="14"/>
      <c r="T24" s="20">
        <f>T12-T20</f>
        <v>6975842.629999999</v>
      </c>
      <c r="U24" s="14"/>
      <c r="V24" s="21">
        <f>IF(T$12=0,0,T24/T$12)</f>
        <v>0.76064270140533652</v>
      </c>
      <c r="W24" s="15"/>
      <c r="X24" s="20">
        <f>+P24-T24</f>
        <v>-6425029.9999999991</v>
      </c>
      <c r="Y24" s="15"/>
      <c r="Z24" s="21">
        <f>IF(T24=0,0,X24/T24)</f>
        <v>-0.92103998624751082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9" t="s">
        <v>294</v>
      </c>
      <c r="C26" s="11"/>
      <c r="D26" s="22">
        <f>SUM(OSRRefD22x_0)</f>
        <v>200452.86000000002</v>
      </c>
      <c r="E26" s="22"/>
      <c r="F26" s="32">
        <f t="shared" ref="F26:F36" si="14">IF(D$12=0,0,D26/D$12)</f>
        <v>3.9671089895445557</v>
      </c>
      <c r="G26" s="22"/>
      <c r="H26" s="22">
        <f>SUM(OSRRefH22x_0)</f>
        <v>176828.83999999991</v>
      </c>
      <c r="I26" s="22"/>
      <c r="J26" s="32">
        <f t="shared" ref="J26:J36" si="15">IF(H$12=0,0,H26/H$12)</f>
        <v>1.4566745425198033</v>
      </c>
      <c r="K26" s="4"/>
      <c r="L26" s="22">
        <f t="shared" ref="L26:L36" si="16">+D26-H26</f>
        <v>23624.020000000106</v>
      </c>
      <c r="M26" s="4"/>
      <c r="N26" s="32">
        <f t="shared" ref="N26:N36" si="17">IF(H26=0,0,L26/H26)</f>
        <v>0.13359822979102345</v>
      </c>
      <c r="O26" s="11"/>
      <c r="P26" s="22">
        <f>SUM(OSRRefP22x_0)</f>
        <v>2467799.77</v>
      </c>
      <c r="Q26" s="22"/>
      <c r="R26" s="32">
        <f t="shared" ref="R26:R36" si="18">IF(P$12=0,0,P26/P$12)</f>
        <v>2.4879908106245425</v>
      </c>
      <c r="S26" s="22"/>
      <c r="T26" s="22">
        <f>SUM(OSRRefT22x_0)</f>
        <v>4815778.8200000012</v>
      </c>
      <c r="U26" s="22"/>
      <c r="V26" s="32">
        <f t="shared" ref="V26:V36" si="19">IF(T$12=0,0,T26/T$12)</f>
        <v>0.52511032792828438</v>
      </c>
      <c r="W26" s="4"/>
      <c r="X26" s="22">
        <f t="shared" ref="X26:X36" si="20">+P26-T26</f>
        <v>-2347979.0500000012</v>
      </c>
      <c r="Y26" s="4"/>
      <c r="Z26" s="32">
        <f t="shared" ref="Z26:Z36" si="21">IF(T26=0,0,X26/T26)</f>
        <v>-0.48755956985582671</v>
      </c>
    </row>
    <row r="27" spans="1:26" s="26" customFormat="1" outlineLevel="1" collapsed="1" x14ac:dyDescent="0.25">
      <c r="A27" s="25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75679.17</v>
      </c>
      <c r="E27" s="1"/>
      <c r="F27" s="5">
        <f t="shared" si="14"/>
        <v>1.4977462313497081</v>
      </c>
      <c r="G27" s="1"/>
      <c r="H27" s="1">
        <f>SUM(OSRRefH22_0x_0)</f>
        <v>71605.189999999988</v>
      </c>
      <c r="I27" s="1"/>
      <c r="J27" s="5">
        <f t="shared" si="15"/>
        <v>0.58986677391139164</v>
      </c>
      <c r="K27" s="1"/>
      <c r="L27" s="1">
        <f t="shared" si="16"/>
        <v>4073.9800000000105</v>
      </c>
      <c r="M27" s="1"/>
      <c r="N27" s="5">
        <f t="shared" si="17"/>
        <v>5.6895037915547897E-2</v>
      </c>
      <c r="O27" s="12"/>
      <c r="P27" s="1">
        <f>SUM(OSRRefP22_0x_0)</f>
        <v>848883.86</v>
      </c>
      <c r="Q27" s="1"/>
      <c r="R27" s="5">
        <f t="shared" si="18"/>
        <v>0.8558292567502308</v>
      </c>
      <c r="S27" s="1"/>
      <c r="T27" s="1">
        <f>SUM(OSRRefT22_0x_0)</f>
        <v>943497.00999999966</v>
      </c>
      <c r="U27" s="1"/>
      <c r="V27" s="5">
        <f t="shared" si="19"/>
        <v>0.10287848400821188</v>
      </c>
      <c r="W27" s="1"/>
      <c r="X27" s="1">
        <f t="shared" si="20"/>
        <v>-94613.149999999674</v>
      </c>
      <c r="Y27" s="1"/>
      <c r="Z27" s="5">
        <f t="shared" si="21"/>
        <v>-0.10027922611010681</v>
      </c>
    </row>
    <row r="28" spans="1:26" s="23" customFormat="1" hidden="1" outlineLevel="2" x14ac:dyDescent="0.25">
      <c r="A28" s="27"/>
      <c r="B28" s="10" t="str">
        <f>CONCATENATE("          ", "6111", " - ", "F.I.C.A.")</f>
        <v xml:space="preserve">          6111 - F.I.C.A.</v>
      </c>
      <c r="C28" s="10"/>
      <c r="D28" s="6">
        <v>7100.5</v>
      </c>
      <c r="E28" s="2"/>
      <c r="F28" s="7">
        <f t="shared" si="14"/>
        <v>0.14052409818578351</v>
      </c>
      <c r="G28" s="2"/>
      <c r="H28" s="6">
        <v>6769.18</v>
      </c>
      <c r="I28" s="2"/>
      <c r="J28" s="7">
        <f t="shared" si="15"/>
        <v>5.5762918422889662E-2</v>
      </c>
      <c r="K28" s="2"/>
      <c r="L28" s="6">
        <f t="shared" si="16"/>
        <v>331.31999999999971</v>
      </c>
      <c r="M28" s="2"/>
      <c r="N28" s="7">
        <f t="shared" si="17"/>
        <v>4.8945367090253135E-2</v>
      </c>
      <c r="O28" s="10"/>
      <c r="P28" s="6">
        <v>89288.51</v>
      </c>
      <c r="Q28" s="2"/>
      <c r="R28" s="7">
        <f t="shared" si="18"/>
        <v>9.0019050603265746E-2</v>
      </c>
      <c r="S28" s="2"/>
      <c r="T28" s="6">
        <v>143677.35999999999</v>
      </c>
      <c r="U28" s="2"/>
      <c r="V28" s="7">
        <f t="shared" si="19"/>
        <v>1.5666513859012764E-2</v>
      </c>
      <c r="W28" s="2"/>
      <c r="X28" s="6">
        <f t="shared" si="20"/>
        <v>-54388.849999999991</v>
      </c>
      <c r="Y28" s="2"/>
      <c r="Z28" s="7">
        <f t="shared" si="21"/>
        <v>-0.37854850618079283</v>
      </c>
    </row>
    <row r="29" spans="1:26" s="23" customFormat="1" hidden="1" outlineLevel="2" x14ac:dyDescent="0.25">
      <c r="A29" s="27"/>
      <c r="B29" s="10" t="str">
        <f>CONCATENATE("          ", "6112", " - ", "COMPENSATION INSURANCE")</f>
        <v xml:space="preserve">          6112 - COMPENSATION INSURANCE</v>
      </c>
      <c r="C29" s="10"/>
      <c r="D29" s="6">
        <v>6532.49</v>
      </c>
      <c r="E29" s="2"/>
      <c r="F29" s="7">
        <f t="shared" si="14"/>
        <v>0.12928276405290456</v>
      </c>
      <c r="G29" s="2"/>
      <c r="H29" s="6">
        <v>5577.67</v>
      </c>
      <c r="I29" s="2"/>
      <c r="J29" s="7">
        <f t="shared" si="15"/>
        <v>4.5947538283780162E-2</v>
      </c>
      <c r="K29" s="2"/>
      <c r="L29" s="6">
        <f t="shared" si="16"/>
        <v>954.81999999999971</v>
      </c>
      <c r="M29" s="2"/>
      <c r="N29" s="7">
        <f t="shared" si="17"/>
        <v>0.17118617630659391</v>
      </c>
      <c r="O29" s="10"/>
      <c r="P29" s="6">
        <v>55307.93</v>
      </c>
      <c r="Q29" s="2"/>
      <c r="R29" s="7">
        <f t="shared" si="18"/>
        <v>5.576044834247855E-2</v>
      </c>
      <c r="S29" s="2"/>
      <c r="T29" s="6">
        <v>91553.67</v>
      </c>
      <c r="U29" s="2"/>
      <c r="V29" s="7">
        <f t="shared" si="19"/>
        <v>9.9829704547639321E-3</v>
      </c>
      <c r="W29" s="2"/>
      <c r="X29" s="6">
        <f t="shared" si="20"/>
        <v>-36245.74</v>
      </c>
      <c r="Y29" s="2"/>
      <c r="Z29" s="7">
        <f t="shared" si="21"/>
        <v>-0.39589609023865452</v>
      </c>
    </row>
    <row r="30" spans="1:26" s="23" customFormat="1" hidden="1" outlineLevel="2" x14ac:dyDescent="0.25">
      <c r="A30" s="27"/>
      <c r="B30" s="10" t="str">
        <f>CONCATENATE("          ", "6113", " - ", "GROUP INSURANCE")</f>
        <v xml:space="preserve">          6113 - GROUP INSURANCE</v>
      </c>
      <c r="C30" s="10"/>
      <c r="D30" s="6">
        <v>44830.89</v>
      </c>
      <c r="E30" s="2"/>
      <c r="F30" s="7">
        <f t="shared" si="14"/>
        <v>0.88723616479347367</v>
      </c>
      <c r="G30" s="2"/>
      <c r="H30" s="6">
        <v>41691.089999999997</v>
      </c>
      <c r="I30" s="2"/>
      <c r="J30" s="7">
        <f t="shared" si="15"/>
        <v>0.34344142874489242</v>
      </c>
      <c r="K30" s="2"/>
      <c r="L30" s="6">
        <f t="shared" si="16"/>
        <v>3139.8000000000029</v>
      </c>
      <c r="M30" s="2"/>
      <c r="N30" s="7">
        <f t="shared" si="17"/>
        <v>7.5311055671607605E-2</v>
      </c>
      <c r="O30" s="10"/>
      <c r="P30" s="6">
        <v>493517.74</v>
      </c>
      <c r="Q30" s="2"/>
      <c r="R30" s="7">
        <f t="shared" si="18"/>
        <v>0.49755560273846372</v>
      </c>
      <c r="S30" s="2"/>
      <c r="T30" s="6">
        <v>516248.63</v>
      </c>
      <c r="U30" s="2"/>
      <c r="V30" s="7">
        <f t="shared" si="19"/>
        <v>5.629151535489902E-2</v>
      </c>
      <c r="W30" s="2"/>
      <c r="X30" s="6">
        <f t="shared" si="20"/>
        <v>-22730.890000000014</v>
      </c>
      <c r="Y30" s="2"/>
      <c r="Z30" s="7">
        <f t="shared" si="21"/>
        <v>-4.4030896508141848E-2</v>
      </c>
    </row>
    <row r="31" spans="1:26" s="23" customFormat="1" hidden="1" outlineLevel="2" x14ac:dyDescent="0.25">
      <c r="A31" s="27"/>
      <c r="B31" s="10" t="str">
        <f>CONCATENATE("          ", "6114", " - ", "STATE UNEMPLOYMENT INSURANCE")</f>
        <v xml:space="preserve">          6114 - STATE UNEMPLOYMENT INSURANCE</v>
      </c>
      <c r="C31" s="10"/>
      <c r="D31" s="6">
        <v>395.91</v>
      </c>
      <c r="E31" s="2"/>
      <c r="F31" s="7">
        <f t="shared" si="14"/>
        <v>7.8353490194681442E-3</v>
      </c>
      <c r="G31" s="2"/>
      <c r="H31" s="6">
        <v>379.18</v>
      </c>
      <c r="I31" s="2"/>
      <c r="J31" s="7">
        <f t="shared" si="15"/>
        <v>3.1235959758185335E-3</v>
      </c>
      <c r="K31" s="2"/>
      <c r="L31" s="6">
        <f t="shared" si="16"/>
        <v>16.730000000000018</v>
      </c>
      <c r="M31" s="2"/>
      <c r="N31" s="7">
        <f t="shared" si="17"/>
        <v>4.4121525396909167E-2</v>
      </c>
      <c r="O31" s="10"/>
      <c r="P31" s="6">
        <v>3440.41</v>
      </c>
      <c r="Q31" s="2"/>
      <c r="R31" s="7">
        <f t="shared" si="18"/>
        <v>3.4685587416116753E-3</v>
      </c>
      <c r="S31" s="2"/>
      <c r="T31" s="6">
        <v>7153.84</v>
      </c>
      <c r="U31" s="2"/>
      <c r="V31" s="7">
        <f t="shared" si="19"/>
        <v>7.8005145351473534E-4</v>
      </c>
      <c r="W31" s="2"/>
      <c r="X31" s="6">
        <f t="shared" si="20"/>
        <v>-3713.4300000000003</v>
      </c>
      <c r="Y31" s="2"/>
      <c r="Z31" s="7">
        <f t="shared" si="21"/>
        <v>-0.51908205942542751</v>
      </c>
    </row>
    <row r="32" spans="1:26" s="23" customFormat="1" hidden="1" outlineLevel="2" x14ac:dyDescent="0.25">
      <c r="A32" s="27"/>
      <c r="B32" s="10" t="str">
        <f>CONCATENATE("          ", "6115", " - ", "P.E.R.S.")</f>
        <v xml:space="preserve">          6115 - P.E.R.S.</v>
      </c>
      <c r="C32" s="10"/>
      <c r="D32" s="6">
        <v>3594.33</v>
      </c>
      <c r="E32" s="2"/>
      <c r="F32" s="7">
        <f t="shared" si="14"/>
        <v>7.113442459433944E-2</v>
      </c>
      <c r="G32" s="2"/>
      <c r="H32" s="6">
        <v>3282.73</v>
      </c>
      <c r="I32" s="2"/>
      <c r="J32" s="7">
        <f t="shared" si="15"/>
        <v>2.7042360403235335E-2</v>
      </c>
      <c r="K32" s="2"/>
      <c r="L32" s="6">
        <f t="shared" si="16"/>
        <v>311.59999999999991</v>
      </c>
      <c r="M32" s="2"/>
      <c r="N32" s="7">
        <f t="shared" si="17"/>
        <v>9.4920995634730818E-2</v>
      </c>
      <c r="O32" s="10"/>
      <c r="P32" s="6">
        <v>43333.01</v>
      </c>
      <c r="Q32" s="2"/>
      <c r="R32" s="7">
        <f t="shared" si="18"/>
        <v>4.3687551959169443E-2</v>
      </c>
      <c r="S32" s="2"/>
      <c r="T32" s="6">
        <v>48405.71</v>
      </c>
      <c r="U32" s="2"/>
      <c r="V32" s="7">
        <f t="shared" si="19"/>
        <v>5.2781365593740923E-3</v>
      </c>
      <c r="W32" s="2"/>
      <c r="X32" s="6">
        <f t="shared" si="20"/>
        <v>-5072.6999999999971</v>
      </c>
      <c r="Y32" s="2"/>
      <c r="Z32" s="7">
        <f t="shared" si="21"/>
        <v>-0.10479548797032411</v>
      </c>
    </row>
    <row r="33" spans="1:26" s="23" customFormat="1" hidden="1" outlineLevel="2" x14ac:dyDescent="0.25">
      <c r="A33" s="27"/>
      <c r="B33" s="10" t="str">
        <f>CONCATENATE("          ", "6117", " - ", "RETIREMENT STAFF HOURLY")</f>
        <v xml:space="preserve">          6117 - RETIREMENT STAFF HOURLY</v>
      </c>
      <c r="C33" s="10"/>
      <c r="D33" s="6">
        <v>1429.07</v>
      </c>
      <c r="E33" s="2"/>
      <c r="F33" s="7">
        <f t="shared" si="14"/>
        <v>2.8282342510296123E-2</v>
      </c>
      <c r="G33" s="2"/>
      <c r="H33" s="6">
        <v>1448.63</v>
      </c>
      <c r="I33" s="2"/>
      <c r="J33" s="7">
        <f t="shared" si="15"/>
        <v>1.1933474440766926E-2</v>
      </c>
      <c r="K33" s="2"/>
      <c r="L33" s="6">
        <f t="shared" si="16"/>
        <v>-19.560000000000173</v>
      </c>
      <c r="M33" s="2"/>
      <c r="N33" s="7">
        <f t="shared" si="17"/>
        <v>-1.3502412624341738E-2</v>
      </c>
      <c r="O33" s="10"/>
      <c r="P33" s="6">
        <v>16831.96</v>
      </c>
      <c r="Q33" s="2"/>
      <c r="R33" s="7">
        <f t="shared" si="18"/>
        <v>1.696967570622631E-2</v>
      </c>
      <c r="S33" s="2"/>
      <c r="T33" s="6">
        <v>19423.689999999999</v>
      </c>
      <c r="U33" s="2"/>
      <c r="V33" s="7">
        <f t="shared" si="19"/>
        <v>2.1179503060062329E-3</v>
      </c>
      <c r="W33" s="2"/>
      <c r="X33" s="6">
        <f t="shared" si="20"/>
        <v>-2591.7299999999996</v>
      </c>
      <c r="Y33" s="2"/>
      <c r="Z33" s="7">
        <f t="shared" si="21"/>
        <v>-0.13343139228437026</v>
      </c>
    </row>
    <row r="34" spans="1:26" s="23" customFormat="1" hidden="1" outlineLevel="2" x14ac:dyDescent="0.25">
      <c r="A34" s="27"/>
      <c r="B34" s="10" t="str">
        <f>CONCATENATE("          ", "6118", " - ", "VACATION")</f>
        <v xml:space="preserve">          6118 - VACATION</v>
      </c>
      <c r="C34" s="10"/>
      <c r="D34" s="6">
        <v>6044.28</v>
      </c>
      <c r="E34" s="2"/>
      <c r="F34" s="7">
        <f t="shared" si="14"/>
        <v>0.11962073039678439</v>
      </c>
      <c r="G34" s="2"/>
      <c r="H34" s="6">
        <v>5908.39</v>
      </c>
      <c r="I34" s="2"/>
      <c r="J34" s="7">
        <f t="shared" si="15"/>
        <v>4.8671932136627634E-2</v>
      </c>
      <c r="K34" s="2"/>
      <c r="L34" s="6">
        <f t="shared" si="16"/>
        <v>135.88999999999942</v>
      </c>
      <c r="M34" s="2"/>
      <c r="N34" s="7">
        <f t="shared" si="17"/>
        <v>2.2999497324990296E-2</v>
      </c>
      <c r="O34" s="10"/>
      <c r="P34" s="6">
        <v>73034.73</v>
      </c>
      <c r="Q34" s="2"/>
      <c r="R34" s="7">
        <f t="shared" si="18"/>
        <v>7.3632285449335533E-2</v>
      </c>
      <c r="S34" s="2"/>
      <c r="T34" s="6">
        <v>92741.95</v>
      </c>
      <c r="U34" s="2"/>
      <c r="V34" s="7">
        <f t="shared" si="19"/>
        <v>1.0112539964451385E-2</v>
      </c>
      <c r="W34" s="2"/>
      <c r="X34" s="6">
        <f t="shared" si="20"/>
        <v>-19707.22</v>
      </c>
      <c r="Y34" s="2"/>
      <c r="Z34" s="7">
        <f t="shared" si="21"/>
        <v>-0.21249520847901088</v>
      </c>
    </row>
    <row r="35" spans="1:26" s="23" customFormat="1" hidden="1" outlineLevel="2" x14ac:dyDescent="0.25">
      <c r="A35" s="27"/>
      <c r="B35" s="10" t="str">
        <f>CONCATENATE("          ", "6119", " - ", "SICK LEAVE")</f>
        <v xml:space="preserve">          6119 - SICK LEAVE</v>
      </c>
      <c r="C35" s="10"/>
      <c r="D35" s="6">
        <v>3942.3</v>
      </c>
      <c r="E35" s="2"/>
      <c r="F35" s="7">
        <f t="shared" si="14"/>
        <v>7.8021005883784855E-2</v>
      </c>
      <c r="G35" s="2"/>
      <c r="H35" s="6">
        <v>4472.3100000000004</v>
      </c>
      <c r="I35" s="2"/>
      <c r="J35" s="7">
        <f t="shared" si="15"/>
        <v>3.6841841654657384E-2</v>
      </c>
      <c r="K35" s="2"/>
      <c r="L35" s="6">
        <f t="shared" si="16"/>
        <v>-530.01000000000022</v>
      </c>
      <c r="M35" s="2"/>
      <c r="N35" s="7">
        <f t="shared" si="17"/>
        <v>-0.11850922677542482</v>
      </c>
      <c r="O35" s="10"/>
      <c r="P35" s="6">
        <v>49291.76</v>
      </c>
      <c r="Q35" s="2"/>
      <c r="R35" s="7">
        <f t="shared" si="18"/>
        <v>4.9695055251387107E-2</v>
      </c>
      <c r="S35" s="2"/>
      <c r="T35" s="6">
        <v>-14315.68</v>
      </c>
      <c r="U35" s="2"/>
      <c r="V35" s="7">
        <f t="shared" si="19"/>
        <v>-1.5609752233837807E-3</v>
      </c>
      <c r="W35" s="2"/>
      <c r="X35" s="6">
        <f t="shared" si="20"/>
        <v>63607.44</v>
      </c>
      <c r="Y35" s="2"/>
      <c r="Z35" s="7">
        <f t="shared" si="21"/>
        <v>-4.4432007421233219</v>
      </c>
    </row>
    <row r="36" spans="1:26" s="23" customFormat="1" hidden="1" outlineLevel="2" x14ac:dyDescent="0.25">
      <c r="A36" s="27"/>
      <c r="B36" s="10" t="str">
        <f>CONCATENATE("          ", "6156", " - ", "EMPLOYEE MEALS")</f>
        <v xml:space="preserve">          6156 - EMPLOYEE MEALS</v>
      </c>
      <c r="C36" s="10"/>
      <c r="D36" s="6">
        <v>1809.4</v>
      </c>
      <c r="E36" s="2"/>
      <c r="F36" s="7">
        <f t="shared" si="14"/>
        <v>3.580935191287328E-2</v>
      </c>
      <c r="G36" s="2"/>
      <c r="H36" s="6">
        <v>2076.0100000000002</v>
      </c>
      <c r="I36" s="2"/>
      <c r="J36" s="7">
        <f t="shared" si="15"/>
        <v>1.7101683848723653E-2</v>
      </c>
      <c r="K36" s="2"/>
      <c r="L36" s="6">
        <f t="shared" si="16"/>
        <v>-266.61000000000013</v>
      </c>
      <c r="M36" s="2"/>
      <c r="N36" s="7">
        <f t="shared" si="17"/>
        <v>-0.12842423687747173</v>
      </c>
      <c r="O36" s="10"/>
      <c r="P36" s="6">
        <v>24837.81</v>
      </c>
      <c r="Q36" s="2"/>
      <c r="R36" s="7">
        <f t="shared" si="18"/>
        <v>2.504102795829273E-2</v>
      </c>
      <c r="S36" s="2"/>
      <c r="T36" s="6">
        <v>38607.839999999997</v>
      </c>
      <c r="U36" s="2"/>
      <c r="V36" s="7">
        <f t="shared" si="19"/>
        <v>4.2097812795735346E-3</v>
      </c>
      <c r="W36" s="2"/>
      <c r="X36" s="6">
        <f t="shared" si="20"/>
        <v>-13770.029999999995</v>
      </c>
      <c r="Y36" s="2"/>
      <c r="Z36" s="7">
        <f t="shared" si="21"/>
        <v>-0.3566640868797632</v>
      </c>
    </row>
    <row r="37" spans="1:26" s="26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89885.39</v>
      </c>
      <c r="E37" s="1"/>
      <c r="F37" s="5">
        <f t="shared" ref="F37:F44" si="22">IF(D$12=0,0,D37/D$12)</f>
        <v>1.7788977353464466</v>
      </c>
      <c r="G37" s="1"/>
      <c r="H37" s="1">
        <f>SUM(OSRRefH22_1x_0)</f>
        <v>65388.45</v>
      </c>
      <c r="I37" s="1"/>
      <c r="J37" s="5">
        <f t="shared" ref="J37:J44" si="23">IF(H$12=0,0,H37/H$12)</f>
        <v>0.53865472673930948</v>
      </c>
      <c r="K37" s="1"/>
      <c r="L37" s="1">
        <f t="shared" ref="L37:L44" si="24">+D37-H37</f>
        <v>24496.940000000002</v>
      </c>
      <c r="M37" s="1"/>
      <c r="N37" s="5">
        <f t="shared" ref="N37:N44" si="25">IF(H37=0,0,L37/H37)</f>
        <v>0.37463711098825564</v>
      </c>
      <c r="O37" s="12"/>
      <c r="P37" s="1">
        <f>SUM(OSRRefP22_1x_0)</f>
        <v>1158106.5699999998</v>
      </c>
      <c r="Q37" s="1"/>
      <c r="R37" s="5">
        <f t="shared" ref="R37:R44" si="26">IF(P$12=0,0,P37/P$12)</f>
        <v>1.1675819646761325</v>
      </c>
      <c r="S37" s="1"/>
      <c r="T37" s="1">
        <f>SUM(OSRRefT22_1x_0)</f>
        <v>2534012.4000000004</v>
      </c>
      <c r="U37" s="1"/>
      <c r="V37" s="5">
        <f t="shared" ref="V37:V44" si="27">IF(T$12=0,0,T37/T$12)</f>
        <v>0.27630755731807854</v>
      </c>
      <c r="W37" s="1"/>
      <c r="X37" s="1">
        <f t="shared" ref="X37:X44" si="28">+P37-T37</f>
        <v>-1375905.8300000005</v>
      </c>
      <c r="Y37" s="1"/>
      <c r="Z37" s="5">
        <f t="shared" ref="Z37:Z44" si="29">IF(T37=0,0,X37/T37)</f>
        <v>-0.54297517644349347</v>
      </c>
    </row>
    <row r="38" spans="1:26" s="23" customFormat="1" hidden="1" outlineLevel="2" x14ac:dyDescent="0.25">
      <c r="A38" s="27"/>
      <c r="B38" s="10" t="str">
        <f>CONCATENATE("          ", "6001", " - ", "ADMINISTRATIVE SALARIES")</f>
        <v xml:space="preserve">          6001 - ADMINISTRATIVE SALARIES</v>
      </c>
      <c r="C38" s="10"/>
      <c r="D38" s="6">
        <v>8959.5400000000009</v>
      </c>
      <c r="E38" s="2"/>
      <c r="F38" s="7">
        <f t="shared" si="22"/>
        <v>0.17731586207442504</v>
      </c>
      <c r="G38" s="2"/>
      <c r="H38" s="6">
        <v>8959.5400000000009</v>
      </c>
      <c r="I38" s="2"/>
      <c r="J38" s="7">
        <f t="shared" si="23"/>
        <v>7.3806590772681022E-2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>
        <v>100123.86</v>
      </c>
      <c r="Q38" s="2"/>
      <c r="R38" s="7">
        <f t="shared" si="26"/>
        <v>0.1009430532543806</v>
      </c>
      <c r="S38" s="2"/>
      <c r="T38" s="6">
        <v>91631.71</v>
      </c>
      <c r="U38" s="2"/>
      <c r="V38" s="7">
        <f t="shared" si="27"/>
        <v>9.9914799008002288E-3</v>
      </c>
      <c r="W38" s="2"/>
      <c r="X38" s="6">
        <f t="shared" si="28"/>
        <v>8492.1499999999942</v>
      </c>
      <c r="Y38" s="2"/>
      <c r="Z38" s="7">
        <f t="shared" si="29"/>
        <v>9.2676978308055075E-2</v>
      </c>
    </row>
    <row r="39" spans="1:26" s="23" customFormat="1" hidden="1" outlineLevel="2" x14ac:dyDescent="0.25">
      <c r="A39" s="27"/>
      <c r="B39" s="10" t="str">
        <f>CONCATENATE("          ", "6002", " - ", "STAFF SALARIES")</f>
        <v xml:space="preserve">          6002 - STAFF SALARIES</v>
      </c>
      <c r="C39" s="10"/>
      <c r="D39" s="6">
        <v>26766.45</v>
      </c>
      <c r="E39" s="2"/>
      <c r="F39" s="7">
        <f t="shared" si="22"/>
        <v>0.52972765972605662</v>
      </c>
      <c r="G39" s="2"/>
      <c r="H39" s="6">
        <v>14298.82</v>
      </c>
      <c r="I39" s="2"/>
      <c r="J39" s="7">
        <f t="shared" si="23"/>
        <v>0.11779032810526284</v>
      </c>
      <c r="K39" s="2"/>
      <c r="L39" s="6">
        <f t="shared" si="24"/>
        <v>12467.630000000001</v>
      </c>
      <c r="M39" s="2"/>
      <c r="N39" s="7">
        <f t="shared" si="25"/>
        <v>0.87193418757631758</v>
      </c>
      <c r="O39" s="10"/>
      <c r="P39" s="6">
        <v>317129.09000000003</v>
      </c>
      <c r="Q39" s="2"/>
      <c r="R39" s="7">
        <f t="shared" si="26"/>
        <v>0.31972377633446475</v>
      </c>
      <c r="S39" s="2"/>
      <c r="T39" s="6">
        <v>409872.81</v>
      </c>
      <c r="U39" s="2"/>
      <c r="V39" s="7">
        <f t="shared" si="27"/>
        <v>4.4692344418755373E-2</v>
      </c>
      <c r="W39" s="2"/>
      <c r="X39" s="6">
        <f t="shared" si="28"/>
        <v>-92743.719999999972</v>
      </c>
      <c r="Y39" s="2"/>
      <c r="Z39" s="7">
        <f t="shared" si="29"/>
        <v>-0.22627438985279352</v>
      </c>
    </row>
    <row r="40" spans="1:26" s="23" customFormat="1" hidden="1" outlineLevel="2" x14ac:dyDescent="0.25">
      <c r="A40" s="27"/>
      <c r="B40" s="10" t="str">
        <f>CONCATENATE("          ", "6004", " - ", "STAFF HOURLY")</f>
        <v xml:space="preserve">          6004 - STAFF HOURLY</v>
      </c>
      <c r="C40" s="10"/>
      <c r="D40" s="6">
        <v>42244.51</v>
      </c>
      <c r="E40" s="2"/>
      <c r="F40" s="7">
        <f t="shared" si="22"/>
        <v>0.83604980931628947</v>
      </c>
      <c r="G40" s="2"/>
      <c r="H40" s="6">
        <v>42130.09</v>
      </c>
      <c r="I40" s="2"/>
      <c r="J40" s="7">
        <f t="shared" si="23"/>
        <v>0.34705780786136564</v>
      </c>
      <c r="K40" s="2"/>
      <c r="L40" s="6">
        <f t="shared" si="24"/>
        <v>114.42000000000553</v>
      </c>
      <c r="M40" s="2"/>
      <c r="N40" s="7">
        <f t="shared" si="25"/>
        <v>2.7158736190690679E-3</v>
      </c>
      <c r="O40" s="10"/>
      <c r="P40" s="6">
        <v>504692.67</v>
      </c>
      <c r="Q40" s="2"/>
      <c r="R40" s="7">
        <f t="shared" si="26"/>
        <v>0.50882196376473632</v>
      </c>
      <c r="S40" s="2"/>
      <c r="T40" s="6">
        <v>665161.30000000005</v>
      </c>
      <c r="U40" s="2"/>
      <c r="V40" s="7">
        <f t="shared" si="27"/>
        <v>7.2528885030522197E-2</v>
      </c>
      <c r="W40" s="2"/>
      <c r="X40" s="6">
        <f t="shared" si="28"/>
        <v>-160468.63000000006</v>
      </c>
      <c r="Y40" s="2"/>
      <c r="Z40" s="7">
        <f t="shared" si="29"/>
        <v>-0.24124769435624119</v>
      </c>
    </row>
    <row r="41" spans="1:26" s="23" customFormat="1" hidden="1" outlineLevel="2" x14ac:dyDescent="0.25">
      <c r="A41" s="27"/>
      <c r="B41" s="10" t="str">
        <f>CONCATENATE("          ", "6005", " - ", "TEMPORARY WAGES-HOURLY")</f>
        <v xml:space="preserve">          6005 - TEMPORARY WAGES-HOURLY</v>
      </c>
      <c r="C41" s="10"/>
      <c r="D41" s="6">
        <v>6092.92</v>
      </c>
      <c r="E41" s="2"/>
      <c r="F41" s="7">
        <f t="shared" si="22"/>
        <v>0.12058335163976115</v>
      </c>
      <c r="G41" s="2"/>
      <c r="H41" s="6"/>
      <c r="I41" s="2"/>
      <c r="J41" s="7">
        <f t="shared" si="23"/>
        <v>0</v>
      </c>
      <c r="K41" s="2"/>
      <c r="L41" s="6">
        <f t="shared" si="24"/>
        <v>6092.92</v>
      </c>
      <c r="M41" s="2"/>
      <c r="N41" s="7">
        <f t="shared" si="25"/>
        <v>0</v>
      </c>
      <c r="O41" s="10"/>
      <c r="P41" s="6">
        <v>106066.99</v>
      </c>
      <c r="Q41" s="2"/>
      <c r="R41" s="7">
        <f t="shared" si="26"/>
        <v>0.10693480874690464</v>
      </c>
      <c r="S41" s="2"/>
      <c r="T41" s="6">
        <v>393545.4</v>
      </c>
      <c r="U41" s="2"/>
      <c r="V41" s="7">
        <f t="shared" si="27"/>
        <v>4.2912011072939557E-2</v>
      </c>
      <c r="W41" s="2"/>
      <c r="X41" s="6">
        <f t="shared" si="28"/>
        <v>-287478.41000000003</v>
      </c>
      <c r="Y41" s="2"/>
      <c r="Z41" s="7">
        <f t="shared" si="29"/>
        <v>-0.7304834715384807</v>
      </c>
    </row>
    <row r="42" spans="1:26" s="23" customFormat="1" hidden="1" outlineLevel="2" x14ac:dyDescent="0.25">
      <c r="A42" s="27"/>
      <c r="B42" s="10" t="str">
        <f>CONCATENATE("          ", "6006", " - ", "TEMPORARY PART TIME")</f>
        <v xml:space="preserve">          6006 - TEMPORARY PART TIME</v>
      </c>
      <c r="C42" s="10"/>
      <c r="D42" s="6">
        <v>252.7</v>
      </c>
      <c r="E42" s="2"/>
      <c r="F42" s="7">
        <f t="shared" si="22"/>
        <v>5.0011181764027168E-3</v>
      </c>
      <c r="G42" s="2"/>
      <c r="H42" s="6"/>
      <c r="I42" s="2"/>
      <c r="J42" s="7">
        <f t="shared" si="23"/>
        <v>0</v>
      </c>
      <c r="K42" s="2"/>
      <c r="L42" s="6">
        <f t="shared" si="24"/>
        <v>252.7</v>
      </c>
      <c r="M42" s="2"/>
      <c r="N42" s="7">
        <f t="shared" si="25"/>
        <v>0</v>
      </c>
      <c r="O42" s="10"/>
      <c r="P42" s="6">
        <v>2427.2199999999998</v>
      </c>
      <c r="Q42" s="2"/>
      <c r="R42" s="7">
        <f t="shared" si="26"/>
        <v>2.4470790251204626E-3</v>
      </c>
      <c r="S42" s="2"/>
      <c r="T42" s="6">
        <v>34130.699999999997</v>
      </c>
      <c r="U42" s="2"/>
      <c r="V42" s="7">
        <f t="shared" si="27"/>
        <v>3.7215959742565355E-3</v>
      </c>
      <c r="W42" s="2"/>
      <c r="X42" s="6">
        <f t="shared" si="28"/>
        <v>-31703.479999999996</v>
      </c>
      <c r="Y42" s="2"/>
      <c r="Z42" s="7">
        <f t="shared" si="29"/>
        <v>-0.92888455261685221</v>
      </c>
    </row>
    <row r="43" spans="1:26" s="23" customFormat="1" hidden="1" outlineLevel="2" x14ac:dyDescent="0.25">
      <c r="A43" s="27"/>
      <c r="B43" s="10" t="str">
        <f>CONCATENATE("          ", "6007", " - ", "STUDENT HOURLY")</f>
        <v xml:space="preserve">          6007 - STUDENT HOURLY</v>
      </c>
      <c r="C43" s="10"/>
      <c r="D43" s="6">
        <v>5569.27</v>
      </c>
      <c r="E43" s="2"/>
      <c r="F43" s="7">
        <f t="shared" si="22"/>
        <v>0.11021993441351152</v>
      </c>
      <c r="G43" s="2"/>
      <c r="H43" s="6"/>
      <c r="I43" s="2"/>
      <c r="J43" s="7">
        <f t="shared" si="23"/>
        <v>0</v>
      </c>
      <c r="K43" s="2"/>
      <c r="L43" s="6">
        <f t="shared" si="24"/>
        <v>5569.27</v>
      </c>
      <c r="M43" s="2"/>
      <c r="N43" s="7">
        <f t="shared" si="25"/>
        <v>0</v>
      </c>
      <c r="O43" s="10"/>
      <c r="P43" s="6">
        <v>117035.86</v>
      </c>
      <c r="Q43" s="2"/>
      <c r="R43" s="7">
        <f t="shared" si="26"/>
        <v>0.11799342383176431</v>
      </c>
      <c r="S43" s="2"/>
      <c r="T43" s="6">
        <v>767218.78</v>
      </c>
      <c r="U43" s="2"/>
      <c r="V43" s="7">
        <f t="shared" si="27"/>
        <v>8.3657186140981901E-2</v>
      </c>
      <c r="W43" s="2"/>
      <c r="X43" s="6">
        <f t="shared" si="28"/>
        <v>-650182.92000000004</v>
      </c>
      <c r="Y43" s="2"/>
      <c r="Z43" s="7">
        <f t="shared" si="29"/>
        <v>-0.84745438582720822</v>
      </c>
    </row>
    <row r="44" spans="1:26" s="23" customFormat="1" hidden="1" outlineLevel="2" x14ac:dyDescent="0.25">
      <c r="A44" s="27"/>
      <c r="B44" s="10" t="str">
        <f>CONCATENATE("          ", "6008", " - ", "STUDENT HOURLY-FICA EXEMPT")</f>
        <v xml:space="preserve">          6008 - STUDENT HOURLY-FICA EXEMPT</v>
      </c>
      <c r="C44" s="10"/>
      <c r="D44" s="6"/>
      <c r="E44" s="2"/>
      <c r="F44" s="7">
        <f t="shared" si="22"/>
        <v>0</v>
      </c>
      <c r="G44" s="2"/>
      <c r="H44" s="6"/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0"/>
      <c r="P44" s="6">
        <v>10630.88</v>
      </c>
      <c r="Q44" s="2"/>
      <c r="R44" s="7">
        <f t="shared" si="26"/>
        <v>1.0717859718761638E-2</v>
      </c>
      <c r="S44" s="2"/>
      <c r="T44" s="6">
        <v>172451.7</v>
      </c>
      <c r="U44" s="2"/>
      <c r="V44" s="7">
        <f t="shared" si="27"/>
        <v>1.8804054779822738E-2</v>
      </c>
      <c r="W44" s="2"/>
      <c r="X44" s="6">
        <f t="shared" si="28"/>
        <v>-161820.82</v>
      </c>
      <c r="Y44" s="2"/>
      <c r="Z44" s="7">
        <f t="shared" si="29"/>
        <v>-0.93835444939075696</v>
      </c>
    </row>
    <row r="45" spans="1:26" s="26" customFormat="1" outlineLevel="1" collapsed="1" x14ac:dyDescent="0.25">
      <c r="A45" s="25"/>
      <c r="B45" s="12" t="str">
        <f>CONCATENATE("     ","Advertising/Promo                                 ")</f>
        <v xml:space="preserve">     Advertising/Promo                                 </v>
      </c>
      <c r="C45" s="12"/>
      <c r="D45" s="1">
        <f>SUM(OSRRefD22_2x_0)</f>
        <v>0</v>
      </c>
      <c r="E45" s="1"/>
      <c r="F45" s="5">
        <f t="shared" ref="F45:F68" si="30">IF(D$12=0,0,D45/D$12)</f>
        <v>0</v>
      </c>
      <c r="G45" s="1"/>
      <c r="H45" s="1">
        <f>SUM(OSRRefH22_2x_0)</f>
        <v>0</v>
      </c>
      <c r="I45" s="1"/>
      <c r="J45" s="5">
        <f t="shared" ref="J45:J68" si="31">IF(H$12=0,0,H45/H$12)</f>
        <v>0</v>
      </c>
      <c r="K45" s="1"/>
      <c r="L45" s="1">
        <f t="shared" ref="L45:L68" si="32">+D45-H45</f>
        <v>0</v>
      </c>
      <c r="M45" s="1"/>
      <c r="N45" s="5">
        <f t="shared" ref="N45:N68" si="33">IF(H45=0,0,L45/H45)</f>
        <v>0</v>
      </c>
      <c r="O45" s="12"/>
      <c r="P45" s="1">
        <f>SUM(OSRRefP22_2x_0)</f>
        <v>1567.93</v>
      </c>
      <c r="Q45" s="1"/>
      <c r="R45" s="5">
        <f t="shared" ref="R45:R68" si="34">IF(P$12=0,0,P45/P$12)</f>
        <v>1.5807584874288805E-3</v>
      </c>
      <c r="S45" s="1"/>
      <c r="T45" s="1">
        <f>SUM(OSRRefT22_2x_0)</f>
        <v>8477.7099999999991</v>
      </c>
      <c r="U45" s="1"/>
      <c r="V45" s="5">
        <f t="shared" ref="V45:V68" si="35">IF(T$12=0,0,T45/T$12)</f>
        <v>9.2440563501230185E-4</v>
      </c>
      <c r="W45" s="1"/>
      <c r="X45" s="1">
        <f t="shared" ref="X45:X68" si="36">+P45-T45</f>
        <v>-6909.7799999999988</v>
      </c>
      <c r="Y45" s="1"/>
      <c r="Z45" s="5">
        <f t="shared" ref="Z45:Z68" si="37">IF(T45=0,0,X45/T45)</f>
        <v>-0.81505264983114534</v>
      </c>
    </row>
    <row r="46" spans="1:26" s="23" customFormat="1" hidden="1" outlineLevel="2" x14ac:dyDescent="0.25">
      <c r="A46" s="27"/>
      <c r="B46" s="10" t="str">
        <f>CONCATENATE("          ", "6362", " - ", "ADVERTISING EXPENSE")</f>
        <v xml:space="preserve">          6362 - ADVERTISING EXPENSE</v>
      </c>
      <c r="C46" s="10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0"/>
      <c r="P46" s="6">
        <v>1567.93</v>
      </c>
      <c r="Q46" s="2"/>
      <c r="R46" s="7">
        <f t="shared" si="34"/>
        <v>1.5807584874288805E-3</v>
      </c>
      <c r="S46" s="2"/>
      <c r="T46" s="6">
        <v>8477.7099999999991</v>
      </c>
      <c r="U46" s="2"/>
      <c r="V46" s="7">
        <f t="shared" si="35"/>
        <v>9.2440563501230185E-4</v>
      </c>
      <c r="W46" s="2"/>
      <c r="X46" s="6">
        <f t="shared" si="36"/>
        <v>-6909.7799999999988</v>
      </c>
      <c r="Y46" s="2"/>
      <c r="Z46" s="7">
        <f t="shared" si="37"/>
        <v>-0.81505264983114534</v>
      </c>
    </row>
    <row r="47" spans="1:26" s="26" customFormat="1" outlineLevel="1" collapsed="1" x14ac:dyDescent="0.25">
      <c r="A47" s="25"/>
      <c r="B47" s="12" t="str">
        <f>CONCATENATE("     ","Bad Debts/Over/Short                              ")</f>
        <v xml:space="preserve">     Bad Debts/Over/Short                              </v>
      </c>
      <c r="C47" s="12"/>
      <c r="D47" s="1">
        <f>SUM(OSRRefD22_3x_0)</f>
        <v>0</v>
      </c>
      <c r="E47" s="1"/>
      <c r="F47" s="5">
        <f t="shared" si="30"/>
        <v>0</v>
      </c>
      <c r="G47" s="1"/>
      <c r="H47" s="1">
        <f>SUM(OSRRefH22_3x_0)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SUM(OSRRefP22_3x_0)</f>
        <v>53.54</v>
      </c>
      <c r="Q47" s="1"/>
      <c r="R47" s="5">
        <f t="shared" si="34"/>
        <v>5.3978053495336054E-5</v>
      </c>
      <c r="S47" s="1"/>
      <c r="T47" s="1">
        <f>SUM(OSRRefT22_3x_0)</f>
        <v>63.55</v>
      </c>
      <c r="U47" s="1"/>
      <c r="V47" s="5">
        <f t="shared" si="35"/>
        <v>6.9294630395509862E-6</v>
      </c>
      <c r="W47" s="1"/>
      <c r="X47" s="1">
        <f t="shared" si="36"/>
        <v>-10.009999999999998</v>
      </c>
      <c r="Y47" s="1"/>
      <c r="Z47" s="5">
        <f t="shared" si="37"/>
        <v>-0.15751376868607395</v>
      </c>
    </row>
    <row r="48" spans="1:26" s="23" customFormat="1" hidden="1" outlineLevel="2" x14ac:dyDescent="0.25">
      <c r="A48" s="27"/>
      <c r="B48" s="10" t="str">
        <f>CONCATENATE("          ", "6272", " - ", "CASH (OVER/SHORT)")</f>
        <v xml:space="preserve">          6272 - CASH (OVER/SHORT)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>
        <v>53.54</v>
      </c>
      <c r="Q48" s="2"/>
      <c r="R48" s="7">
        <f t="shared" si="34"/>
        <v>5.3978053495336054E-5</v>
      </c>
      <c r="S48" s="2"/>
      <c r="T48" s="6">
        <v>63.55</v>
      </c>
      <c r="U48" s="2"/>
      <c r="V48" s="7">
        <f t="shared" si="35"/>
        <v>6.9294630395509862E-6</v>
      </c>
      <c r="W48" s="2"/>
      <c r="X48" s="6">
        <f t="shared" si="36"/>
        <v>-10.009999999999998</v>
      </c>
      <c r="Y48" s="2"/>
      <c r="Z48" s="7">
        <f t="shared" si="37"/>
        <v>-0.15751376868607395</v>
      </c>
    </row>
    <row r="49" spans="1:26" s="26" customFormat="1" outlineLevel="1" collapsed="1" x14ac:dyDescent="0.25">
      <c r="A49" s="25"/>
      <c r="B49" s="12" t="str">
        <f>CONCATENATE("     ","Bank/card Fees                                    ")</f>
        <v xml:space="preserve">     Bank/card Fees                                    </v>
      </c>
      <c r="C49" s="12"/>
      <c r="D49" s="1">
        <f>SUM(OSRRefD22_4x_0)</f>
        <v>77.19</v>
      </c>
      <c r="E49" s="1"/>
      <c r="F49" s="5">
        <f t="shared" si="30"/>
        <v>1.5276466641730342E-3</v>
      </c>
      <c r="G49" s="1"/>
      <c r="H49" s="1">
        <f>SUM(OSRRefH22_4x_0)</f>
        <v>29.5</v>
      </c>
      <c r="I49" s="1"/>
      <c r="J49" s="5">
        <f t="shared" si="31"/>
        <v>2.4301408641449112E-4</v>
      </c>
      <c r="K49" s="1"/>
      <c r="L49" s="1">
        <f t="shared" si="32"/>
        <v>47.69</v>
      </c>
      <c r="M49" s="1"/>
      <c r="N49" s="5">
        <f t="shared" si="33"/>
        <v>1.6166101694915254</v>
      </c>
      <c r="O49" s="12"/>
      <c r="P49" s="1">
        <f>SUM(OSRRefP22_4x_0)</f>
        <v>423.53</v>
      </c>
      <c r="Q49" s="1"/>
      <c r="R49" s="5">
        <f t="shared" si="34"/>
        <v>4.2699523714754721E-4</v>
      </c>
      <c r="S49" s="1"/>
      <c r="T49" s="1">
        <f>SUM(OSRRefT22_4x_0)</f>
        <v>3181.84</v>
      </c>
      <c r="U49" s="1"/>
      <c r="V49" s="5">
        <f t="shared" si="35"/>
        <v>3.4694638359976257E-4</v>
      </c>
      <c r="W49" s="1"/>
      <c r="X49" s="1">
        <f t="shared" si="36"/>
        <v>-2758.3100000000004</v>
      </c>
      <c r="Y49" s="1"/>
      <c r="Z49" s="5">
        <f t="shared" si="37"/>
        <v>-0.86689148417268003</v>
      </c>
    </row>
    <row r="50" spans="1:26" s="23" customFormat="1" hidden="1" outlineLevel="2" x14ac:dyDescent="0.25">
      <c r="A50" s="27"/>
      <c r="B50" s="10" t="str">
        <f>CONCATENATE("          ", "6381", " - ", "BANK/CREDIT CARD FEES")</f>
        <v xml:space="preserve">          6381 - BANK/CREDIT CARD FEES</v>
      </c>
      <c r="C50" s="10"/>
      <c r="D50" s="6">
        <v>77.19</v>
      </c>
      <c r="E50" s="2"/>
      <c r="F50" s="7">
        <f t="shared" si="30"/>
        <v>1.5276466641730342E-3</v>
      </c>
      <c r="G50" s="2"/>
      <c r="H50" s="6">
        <v>29.5</v>
      </c>
      <c r="I50" s="2"/>
      <c r="J50" s="7">
        <f t="shared" si="31"/>
        <v>2.4301408641449112E-4</v>
      </c>
      <c r="K50" s="2"/>
      <c r="L50" s="6">
        <f t="shared" si="32"/>
        <v>47.69</v>
      </c>
      <c r="M50" s="2"/>
      <c r="N50" s="7">
        <f t="shared" si="33"/>
        <v>1.6166101694915254</v>
      </c>
      <c r="O50" s="10"/>
      <c r="P50" s="6">
        <v>423.53</v>
      </c>
      <c r="Q50" s="2"/>
      <c r="R50" s="7">
        <f t="shared" si="34"/>
        <v>4.2699523714754721E-4</v>
      </c>
      <c r="S50" s="2"/>
      <c r="T50" s="6">
        <v>3181.84</v>
      </c>
      <c r="U50" s="2"/>
      <c r="V50" s="7">
        <f t="shared" si="35"/>
        <v>3.4694638359976257E-4</v>
      </c>
      <c r="W50" s="2"/>
      <c r="X50" s="6">
        <f t="shared" si="36"/>
        <v>-2758.3100000000004</v>
      </c>
      <c r="Y50" s="2"/>
      <c r="Z50" s="7">
        <f t="shared" si="37"/>
        <v>-0.86689148417268003</v>
      </c>
    </row>
    <row r="51" spans="1:26" s="26" customFormat="1" outlineLevel="1" collapsed="1" x14ac:dyDescent="0.25">
      <c r="A51" s="25"/>
      <c r="B51" s="12" t="str">
        <f>CONCATENATE("     ","Depreciation                                      ")</f>
        <v xml:space="preserve">     Depreciation                                      </v>
      </c>
      <c r="C51" s="12"/>
      <c r="D51" s="1">
        <f>SUM(OSRRefD22_5x_0)</f>
        <v>758.5</v>
      </c>
      <c r="E51" s="1"/>
      <c r="F51" s="5">
        <f t="shared" si="30"/>
        <v>1.5011270822324736E-2</v>
      </c>
      <c r="G51" s="1"/>
      <c r="H51" s="1">
        <f>SUM(OSRRefH22_5x_0)</f>
        <v>213.02</v>
      </c>
      <c r="I51" s="1"/>
      <c r="J51" s="5">
        <f t="shared" si="31"/>
        <v>1.754808836881861E-3</v>
      </c>
      <c r="K51" s="1"/>
      <c r="L51" s="1">
        <f t="shared" si="32"/>
        <v>545.48</v>
      </c>
      <c r="M51" s="1"/>
      <c r="N51" s="5">
        <f t="shared" si="33"/>
        <v>2.5606985259600039</v>
      </c>
      <c r="O51" s="12"/>
      <c r="P51" s="1">
        <f>SUM(OSRRefP22_5x_0)</f>
        <v>7815.06</v>
      </c>
      <c r="Q51" s="1"/>
      <c r="R51" s="5">
        <f t="shared" si="34"/>
        <v>7.8790012467176134E-3</v>
      </c>
      <c r="S51" s="1"/>
      <c r="T51" s="1">
        <f>SUM(OSRRefT22_5x_0)</f>
        <v>639.05999999999995</v>
      </c>
      <c r="U51" s="1"/>
      <c r="V51" s="5">
        <f t="shared" si="35"/>
        <v>6.9682811173177865E-5</v>
      </c>
      <c r="W51" s="1"/>
      <c r="X51" s="1">
        <f t="shared" si="36"/>
        <v>7176</v>
      </c>
      <c r="Y51" s="1"/>
      <c r="Z51" s="5">
        <f t="shared" si="37"/>
        <v>11.228992582856071</v>
      </c>
    </row>
    <row r="52" spans="1:26" s="23" customFormat="1" hidden="1" outlineLevel="2" x14ac:dyDescent="0.25">
      <c r="A52" s="27"/>
      <c r="B52" s="10" t="str">
        <f>CONCATENATE("          ", "6322", " - ", "EQUIPMENT DEPRECIATION EXPENSE")</f>
        <v xml:space="preserve">          6322 - EQUIPMENT DEPRECIATION EXPENSE</v>
      </c>
      <c r="C52" s="10"/>
      <c r="D52" s="6">
        <v>758.5</v>
      </c>
      <c r="E52" s="2"/>
      <c r="F52" s="7">
        <f t="shared" si="30"/>
        <v>1.5011270822324736E-2</v>
      </c>
      <c r="G52" s="2"/>
      <c r="H52" s="6">
        <v>213.02</v>
      </c>
      <c r="I52" s="2"/>
      <c r="J52" s="7">
        <f t="shared" si="31"/>
        <v>1.754808836881861E-3</v>
      </c>
      <c r="K52" s="2"/>
      <c r="L52" s="6">
        <f t="shared" si="32"/>
        <v>545.48</v>
      </c>
      <c r="M52" s="2"/>
      <c r="N52" s="7">
        <f t="shared" si="33"/>
        <v>2.5606985259600039</v>
      </c>
      <c r="O52" s="10"/>
      <c r="P52" s="6">
        <v>7815.06</v>
      </c>
      <c r="Q52" s="2"/>
      <c r="R52" s="7">
        <f t="shared" si="34"/>
        <v>7.8790012467176134E-3</v>
      </c>
      <c r="S52" s="2"/>
      <c r="T52" s="6">
        <v>639.05999999999995</v>
      </c>
      <c r="U52" s="2"/>
      <c r="V52" s="7">
        <f t="shared" si="35"/>
        <v>6.9682811173177865E-5</v>
      </c>
      <c r="W52" s="2"/>
      <c r="X52" s="6">
        <f t="shared" si="36"/>
        <v>7176</v>
      </c>
      <c r="Y52" s="2"/>
      <c r="Z52" s="7">
        <f t="shared" si="37"/>
        <v>11.228992582856071</v>
      </c>
    </row>
    <row r="53" spans="1:26" s="26" customFormat="1" outlineLevel="1" collapsed="1" x14ac:dyDescent="0.25">
      <c r="A53" s="25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SUM(OSRRefD22_6x_0)</f>
        <v>3603.41</v>
      </c>
      <c r="E53" s="1"/>
      <c r="F53" s="5">
        <f t="shared" si="30"/>
        <v>7.1314124448085936E-2</v>
      </c>
      <c r="G53" s="1"/>
      <c r="H53" s="1">
        <f>SUM(OSRRefH22_6x_0)</f>
        <v>19955.669999999998</v>
      </c>
      <c r="I53" s="1"/>
      <c r="J53" s="5">
        <f t="shared" si="31"/>
        <v>0.16439013267251076</v>
      </c>
      <c r="K53" s="1"/>
      <c r="L53" s="1">
        <f t="shared" si="32"/>
        <v>-16352.259999999998</v>
      </c>
      <c r="M53" s="1"/>
      <c r="N53" s="5">
        <f t="shared" si="33"/>
        <v>-0.81942926496579671</v>
      </c>
      <c r="O53" s="12"/>
      <c r="P53" s="1">
        <f>SUM(OSRRefP22_6x_0)</f>
        <v>61909.05</v>
      </c>
      <c r="Q53" s="1"/>
      <c r="R53" s="5">
        <f t="shared" si="34"/>
        <v>6.2415577376642412E-2</v>
      </c>
      <c r="S53" s="1"/>
      <c r="T53" s="1">
        <f>SUM(OSRRefT22_6x_0)</f>
        <v>140099.51999999999</v>
      </c>
      <c r="U53" s="1"/>
      <c r="V53" s="5">
        <f t="shared" si="35"/>
        <v>1.5276387815874651E-2</v>
      </c>
      <c r="W53" s="1"/>
      <c r="X53" s="1">
        <f t="shared" si="36"/>
        <v>-78190.469999999987</v>
      </c>
      <c r="Y53" s="1"/>
      <c r="Z53" s="5">
        <f t="shared" si="37"/>
        <v>-0.55810662306337666</v>
      </c>
    </row>
    <row r="54" spans="1:26" s="23" customFormat="1" hidden="1" outlineLevel="2" x14ac:dyDescent="0.25">
      <c r="A54" s="27"/>
      <c r="B54" s="10" t="str">
        <f>CONCATENATE("          ", "6399", " - ", "DONATION-ON CAMPUS")</f>
        <v xml:space="preserve">          6399 - DONATION-ON CAMPUS</v>
      </c>
      <c r="C54" s="10"/>
      <c r="D54" s="6">
        <v>3603.41</v>
      </c>
      <c r="E54" s="2"/>
      <c r="F54" s="7">
        <f t="shared" si="30"/>
        <v>7.1314124448085936E-2</v>
      </c>
      <c r="G54" s="2"/>
      <c r="H54" s="6">
        <v>19955.669999999998</v>
      </c>
      <c r="I54" s="2"/>
      <c r="J54" s="7">
        <f t="shared" si="31"/>
        <v>0.16439013267251076</v>
      </c>
      <c r="K54" s="2"/>
      <c r="L54" s="6">
        <f t="shared" si="32"/>
        <v>-16352.259999999998</v>
      </c>
      <c r="M54" s="2"/>
      <c r="N54" s="7">
        <f t="shared" si="33"/>
        <v>-0.81942926496579671</v>
      </c>
      <c r="O54" s="10"/>
      <c r="P54" s="6">
        <v>61909.05</v>
      </c>
      <c r="Q54" s="2"/>
      <c r="R54" s="7">
        <f t="shared" si="34"/>
        <v>6.2415577376642412E-2</v>
      </c>
      <c r="S54" s="2"/>
      <c r="T54" s="6">
        <v>140099.51999999999</v>
      </c>
      <c r="U54" s="2"/>
      <c r="V54" s="7">
        <f t="shared" si="35"/>
        <v>1.5276387815874651E-2</v>
      </c>
      <c r="W54" s="2"/>
      <c r="X54" s="6">
        <f t="shared" si="36"/>
        <v>-78190.469999999987</v>
      </c>
      <c r="Y54" s="2"/>
      <c r="Z54" s="7">
        <f t="shared" si="37"/>
        <v>-0.55810662306337666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SUM(OSRRefD22_7x_0)</f>
        <v>0</v>
      </c>
      <c r="E55" s="1"/>
      <c r="F55" s="5">
        <f t="shared" si="30"/>
        <v>0</v>
      </c>
      <c r="G55" s="1"/>
      <c r="H55" s="1">
        <f>SUM(OSRRefH22_7x_0)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2"/>
      <c r="P55" s="1">
        <f>SUM(OSRRefP22_7x_0)</f>
        <v>0</v>
      </c>
      <c r="Q55" s="1"/>
      <c r="R55" s="5">
        <f t="shared" si="34"/>
        <v>0</v>
      </c>
      <c r="S55" s="1"/>
      <c r="T55" s="1">
        <f>SUM(OSRRefT22_7x_0)</f>
        <v>1798.43</v>
      </c>
      <c r="U55" s="1"/>
      <c r="V55" s="5">
        <f t="shared" si="35"/>
        <v>1.960999876352428E-4</v>
      </c>
      <c r="W55" s="1"/>
      <c r="X55" s="1">
        <f t="shared" si="36"/>
        <v>-1798.43</v>
      </c>
      <c r="Y55" s="1"/>
      <c r="Z55" s="5">
        <f t="shared" si="37"/>
        <v>-1</v>
      </c>
    </row>
    <row r="56" spans="1:26" s="23" customFormat="1" hidden="1" outlineLevel="2" x14ac:dyDescent="0.25">
      <c r="A56" s="27"/>
      <c r="B56" s="10" t="str">
        <f>CONCATENATE("          ", "6277", " - ", "EMPLOYEE APPRECIATION")</f>
        <v xml:space="preserve">          6277 - EMPLOYEE APPRECIATION</v>
      </c>
      <c r="C56" s="10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/>
      <c r="Q56" s="2"/>
      <c r="R56" s="7">
        <f t="shared" si="34"/>
        <v>0</v>
      </c>
      <c r="S56" s="2"/>
      <c r="T56" s="6">
        <v>1798.43</v>
      </c>
      <c r="U56" s="2"/>
      <c r="V56" s="7">
        <f t="shared" si="35"/>
        <v>1.960999876352428E-4</v>
      </c>
      <c r="W56" s="2"/>
      <c r="X56" s="6">
        <f t="shared" si="36"/>
        <v>-1798.43</v>
      </c>
      <c r="Y56" s="2"/>
      <c r="Z56" s="7">
        <f t="shared" si="37"/>
        <v>-1</v>
      </c>
    </row>
    <row r="57" spans="1:26" s="26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SUM(OSRRefD22_8x_0)</f>
        <v>808.32</v>
      </c>
      <c r="E57" s="1"/>
      <c r="F57" s="5">
        <f t="shared" si="30"/>
        <v>1.5997245129995428E-2</v>
      </c>
      <c r="G57" s="1"/>
      <c r="H57" s="1">
        <f>SUM(OSRRefH22_8x_0)</f>
        <v>91.26</v>
      </c>
      <c r="I57" s="1"/>
      <c r="J57" s="5">
        <f t="shared" si="31"/>
        <v>7.5177849241310035E-4</v>
      </c>
      <c r="K57" s="1"/>
      <c r="L57" s="1">
        <f t="shared" si="32"/>
        <v>717.06000000000006</v>
      </c>
      <c r="M57" s="1"/>
      <c r="N57" s="5">
        <f t="shared" si="33"/>
        <v>7.8573307034845499</v>
      </c>
      <c r="O57" s="12"/>
      <c r="P57" s="1">
        <f>SUM(OSRRefP22_8x_0)</f>
        <v>6285.5</v>
      </c>
      <c r="Q57" s="1"/>
      <c r="R57" s="5">
        <f t="shared" si="34"/>
        <v>6.3369266948997902E-3</v>
      </c>
      <c r="S57" s="1"/>
      <c r="T57" s="1">
        <f>SUM(OSRRefT22_8x_0)</f>
        <v>4950.8599999999997</v>
      </c>
      <c r="U57" s="1"/>
      <c r="V57" s="5">
        <f t="shared" si="35"/>
        <v>5.3983951823747276E-4</v>
      </c>
      <c r="W57" s="1"/>
      <c r="X57" s="1">
        <f t="shared" si="36"/>
        <v>1334.6400000000003</v>
      </c>
      <c r="Y57" s="1"/>
      <c r="Z57" s="5">
        <f t="shared" si="37"/>
        <v>0.26957740675357422</v>
      </c>
    </row>
    <row r="58" spans="1:26" s="23" customFormat="1" hidden="1" outlineLevel="2" x14ac:dyDescent="0.25">
      <c r="A58" s="27"/>
      <c r="B58" s="10" t="str">
        <f>CONCATENATE("          ", "6351", " - ", "EQUIPMENT RENTAL")</f>
        <v xml:space="preserve">          6351 - EQUIPMENT RENTAL</v>
      </c>
      <c r="C58" s="10"/>
      <c r="D58" s="6">
        <v>808.32</v>
      </c>
      <c r="E58" s="2"/>
      <c r="F58" s="7">
        <f t="shared" si="30"/>
        <v>1.5997245129995428E-2</v>
      </c>
      <c r="G58" s="2"/>
      <c r="H58" s="6">
        <v>91.26</v>
      </c>
      <c r="I58" s="2"/>
      <c r="J58" s="7">
        <f t="shared" si="31"/>
        <v>7.5177849241310035E-4</v>
      </c>
      <c r="K58" s="2"/>
      <c r="L58" s="6">
        <f t="shared" si="32"/>
        <v>717.06000000000006</v>
      </c>
      <c r="M58" s="2"/>
      <c r="N58" s="7">
        <f t="shared" si="33"/>
        <v>7.8573307034845499</v>
      </c>
      <c r="O58" s="10"/>
      <c r="P58" s="6">
        <v>6285.5</v>
      </c>
      <c r="Q58" s="2"/>
      <c r="R58" s="7">
        <f t="shared" si="34"/>
        <v>6.3369266948997902E-3</v>
      </c>
      <c r="S58" s="2"/>
      <c r="T58" s="6">
        <v>4950.8599999999997</v>
      </c>
      <c r="U58" s="2"/>
      <c r="V58" s="7">
        <f t="shared" si="35"/>
        <v>5.3983951823747276E-4</v>
      </c>
      <c r="W58" s="2"/>
      <c r="X58" s="6">
        <f t="shared" si="36"/>
        <v>1334.6400000000003</v>
      </c>
      <c r="Y58" s="2"/>
      <c r="Z58" s="7">
        <f t="shared" si="37"/>
        <v>0.26957740675357422</v>
      </c>
    </row>
    <row r="59" spans="1:26" s="26" customFormat="1" outlineLevel="1" collapsed="1" x14ac:dyDescent="0.25">
      <c r="A59" s="25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SUM(OSRRefD22_9x_0)</f>
        <v>303.18</v>
      </c>
      <c r="E59" s="1"/>
      <c r="F59" s="5">
        <f t="shared" si="30"/>
        <v>6.0001543677157734E-3</v>
      </c>
      <c r="G59" s="1"/>
      <c r="H59" s="1">
        <f>SUM(OSRRefH22_9x_0)</f>
        <v>0</v>
      </c>
      <c r="I59" s="1"/>
      <c r="J59" s="5">
        <f t="shared" si="31"/>
        <v>0</v>
      </c>
      <c r="K59" s="1"/>
      <c r="L59" s="1">
        <f t="shared" si="32"/>
        <v>303.18</v>
      </c>
      <c r="M59" s="1"/>
      <c r="N59" s="5">
        <f t="shared" si="33"/>
        <v>0</v>
      </c>
      <c r="O59" s="12"/>
      <c r="P59" s="1">
        <f>SUM(OSRRefP22_9x_0)</f>
        <v>7916.93</v>
      </c>
      <c r="Q59" s="1"/>
      <c r="R59" s="5">
        <f t="shared" si="34"/>
        <v>7.9817047265377441E-3</v>
      </c>
      <c r="S59" s="1"/>
      <c r="T59" s="1">
        <f>SUM(OSRRefT22_9x_0)</f>
        <v>9014.11</v>
      </c>
      <c r="U59" s="1"/>
      <c r="V59" s="5">
        <f t="shared" si="35"/>
        <v>9.828944465687954E-4</v>
      </c>
      <c r="W59" s="1"/>
      <c r="X59" s="1">
        <f t="shared" si="36"/>
        <v>-1097.1800000000003</v>
      </c>
      <c r="Y59" s="1"/>
      <c r="Z59" s="5">
        <f t="shared" si="37"/>
        <v>-0.12171806201610588</v>
      </c>
    </row>
    <row r="60" spans="1:26" s="23" customFormat="1" hidden="1" outlineLevel="2" x14ac:dyDescent="0.25">
      <c r="A60" s="27"/>
      <c r="B60" s="10" t="str">
        <f>CONCATENATE("          ", "6279", " - ", "GENERAL EXPENSE")</f>
        <v xml:space="preserve">          6279 - GENERAL EXPENSE</v>
      </c>
      <c r="C60" s="10"/>
      <c r="D60" s="6">
        <v>303.18</v>
      </c>
      <c r="E60" s="2"/>
      <c r="F60" s="7">
        <f t="shared" si="30"/>
        <v>6.0001543677157734E-3</v>
      </c>
      <c r="G60" s="2"/>
      <c r="H60" s="6">
        <v>0</v>
      </c>
      <c r="I60" s="2"/>
      <c r="J60" s="7">
        <f t="shared" si="31"/>
        <v>0</v>
      </c>
      <c r="K60" s="2"/>
      <c r="L60" s="6">
        <f t="shared" si="32"/>
        <v>303.18</v>
      </c>
      <c r="M60" s="2"/>
      <c r="N60" s="7">
        <f t="shared" si="33"/>
        <v>0</v>
      </c>
      <c r="O60" s="10"/>
      <c r="P60" s="6">
        <v>7916.93</v>
      </c>
      <c r="Q60" s="2"/>
      <c r="R60" s="7">
        <f t="shared" si="34"/>
        <v>7.9817047265377441E-3</v>
      </c>
      <c r="S60" s="2"/>
      <c r="T60" s="6">
        <v>9014.11</v>
      </c>
      <c r="U60" s="2"/>
      <c r="V60" s="7">
        <f t="shared" si="35"/>
        <v>9.828944465687954E-4</v>
      </c>
      <c r="W60" s="2"/>
      <c r="X60" s="6">
        <f t="shared" si="36"/>
        <v>-1097.1800000000003</v>
      </c>
      <c r="Y60" s="2"/>
      <c r="Z60" s="7">
        <f t="shared" si="37"/>
        <v>-0.12171806201610588</v>
      </c>
    </row>
    <row r="61" spans="1:26" s="26" customFormat="1" outlineLevel="1" collapsed="1" x14ac:dyDescent="0.25">
      <c r="A61" s="25"/>
      <c r="B61" s="12" t="str">
        <f>CONCATENATE("     ","Insurance                                         ")</f>
        <v xml:space="preserve">     Insurance                                         </v>
      </c>
      <c r="C61" s="12"/>
      <c r="D61" s="1">
        <f>SUM(OSRRefD22_10x_0)</f>
        <v>5.9</v>
      </c>
      <c r="E61" s="1"/>
      <c r="F61" s="5">
        <f t="shared" si="30"/>
        <v>1.1676532346963211E-4</v>
      </c>
      <c r="G61" s="1"/>
      <c r="H61" s="1">
        <f>SUM(OSRRefH22_10x_0)</f>
        <v>5.9</v>
      </c>
      <c r="I61" s="1"/>
      <c r="J61" s="5">
        <f t="shared" si="31"/>
        <v>4.8602817282898225E-5</v>
      </c>
      <c r="K61" s="1"/>
      <c r="L61" s="1">
        <f t="shared" si="32"/>
        <v>0</v>
      </c>
      <c r="M61" s="1"/>
      <c r="N61" s="5">
        <f t="shared" si="33"/>
        <v>0</v>
      </c>
      <c r="O61" s="12"/>
      <c r="P61" s="1">
        <f>SUM(OSRRefP22_10x_0)</f>
        <v>64.900000000000006</v>
      </c>
      <c r="Q61" s="1"/>
      <c r="R61" s="5">
        <f t="shared" si="34"/>
        <v>6.5430998727069662E-5</v>
      </c>
      <c r="S61" s="1"/>
      <c r="T61" s="1">
        <f>SUM(OSRRefT22_10x_0)</f>
        <v>64.900000000000006</v>
      </c>
      <c r="U61" s="1"/>
      <c r="V61" s="5">
        <f t="shared" si="35"/>
        <v>7.0766664243408186E-6</v>
      </c>
      <c r="W61" s="1"/>
      <c r="X61" s="1">
        <f t="shared" si="36"/>
        <v>0</v>
      </c>
      <c r="Y61" s="1"/>
      <c r="Z61" s="5">
        <f t="shared" si="37"/>
        <v>0</v>
      </c>
    </row>
    <row r="62" spans="1:26" s="23" customFormat="1" hidden="1" outlineLevel="2" x14ac:dyDescent="0.25">
      <c r="A62" s="27"/>
      <c r="B62" s="10" t="str">
        <f>CONCATENATE("          ", "6314", " - ", "LIABILITY INSURANCE")</f>
        <v xml:space="preserve">          6314 - LIABILITY INSURANCE</v>
      </c>
      <c r="C62" s="10"/>
      <c r="D62" s="6">
        <v>5.9</v>
      </c>
      <c r="E62" s="2"/>
      <c r="F62" s="7">
        <f t="shared" si="30"/>
        <v>1.1676532346963211E-4</v>
      </c>
      <c r="G62" s="2"/>
      <c r="H62" s="6">
        <v>5.9</v>
      </c>
      <c r="I62" s="2"/>
      <c r="J62" s="7">
        <f t="shared" si="31"/>
        <v>4.8602817282898225E-5</v>
      </c>
      <c r="K62" s="2"/>
      <c r="L62" s="6">
        <f t="shared" si="32"/>
        <v>0</v>
      </c>
      <c r="M62" s="2"/>
      <c r="N62" s="7">
        <f t="shared" si="33"/>
        <v>0</v>
      </c>
      <c r="O62" s="10"/>
      <c r="P62" s="6">
        <v>64.900000000000006</v>
      </c>
      <c r="Q62" s="2"/>
      <c r="R62" s="7">
        <f t="shared" si="34"/>
        <v>6.5430998727069662E-5</v>
      </c>
      <c r="S62" s="2"/>
      <c r="T62" s="6">
        <v>64.900000000000006</v>
      </c>
      <c r="U62" s="2"/>
      <c r="V62" s="7">
        <f t="shared" si="35"/>
        <v>7.0766664243408186E-6</v>
      </c>
      <c r="W62" s="2"/>
      <c r="X62" s="6">
        <f t="shared" si="36"/>
        <v>0</v>
      </c>
      <c r="Y62" s="2"/>
      <c r="Z62" s="7">
        <f t="shared" si="37"/>
        <v>0</v>
      </c>
    </row>
    <row r="63" spans="1:26" s="26" customFormat="1" outlineLevel="1" collapsed="1" x14ac:dyDescent="0.25">
      <c r="A63" s="25"/>
      <c r="B63" s="12" t="str">
        <f>CONCATENATE("     ","R/H Commissions                                   ")</f>
        <v xml:space="preserve">     R/H Commissions                                   </v>
      </c>
      <c r="C63" s="12"/>
      <c r="D63" s="1">
        <f>SUM(OSRRefD22_11x_0)</f>
        <v>3760.68</v>
      </c>
      <c r="E63" s="1"/>
      <c r="F63" s="5">
        <f t="shared" si="30"/>
        <v>7.4426612994199323E-2</v>
      </c>
      <c r="G63" s="1"/>
      <c r="H63" s="1">
        <f>SUM(OSRRefH22_11x_0)</f>
        <v>8412.7900000000009</v>
      </c>
      <c r="I63" s="1"/>
      <c r="J63" s="5">
        <f t="shared" si="31"/>
        <v>6.9302592408371763E-2</v>
      </c>
      <c r="K63" s="1"/>
      <c r="L63" s="1">
        <f t="shared" si="32"/>
        <v>-4652.1100000000006</v>
      </c>
      <c r="M63" s="1"/>
      <c r="N63" s="5">
        <f t="shared" si="33"/>
        <v>-0.5529806401918983</v>
      </c>
      <c r="O63" s="12"/>
      <c r="P63" s="1">
        <f>SUM(OSRRefP22_11x_0)</f>
        <v>69400.47</v>
      </c>
      <c r="Q63" s="1"/>
      <c r="R63" s="5">
        <f t="shared" si="34"/>
        <v>6.9968290666071437E-2</v>
      </c>
      <c r="S63" s="1"/>
      <c r="T63" s="1">
        <f>SUM(OSRRefT22_11x_0)</f>
        <v>714276.08</v>
      </c>
      <c r="U63" s="1"/>
      <c r="V63" s="5">
        <f t="shared" si="35"/>
        <v>7.7884338259565117E-2</v>
      </c>
      <c r="W63" s="1"/>
      <c r="X63" s="1">
        <f t="shared" si="36"/>
        <v>-644875.61</v>
      </c>
      <c r="Y63" s="1"/>
      <c r="Z63" s="5">
        <f t="shared" si="37"/>
        <v>-0.90283803147936859</v>
      </c>
    </row>
    <row r="64" spans="1:26" s="23" customFormat="1" hidden="1" outlineLevel="2" x14ac:dyDescent="0.25">
      <c r="A64" s="27"/>
      <c r="B64" s="10" t="str">
        <f>CONCATENATE("          ", "6387", " - ", "COMMISSION DUE HOUSING")</f>
        <v xml:space="preserve">          6387 - COMMISSION DUE HOUSING</v>
      </c>
      <c r="C64" s="10"/>
      <c r="D64" s="6">
        <v>3760.68</v>
      </c>
      <c r="E64" s="2"/>
      <c r="F64" s="7">
        <f t="shared" si="30"/>
        <v>7.4426612994199323E-2</v>
      </c>
      <c r="G64" s="2"/>
      <c r="H64" s="6">
        <v>8412.7900000000009</v>
      </c>
      <c r="I64" s="2"/>
      <c r="J64" s="7">
        <f t="shared" si="31"/>
        <v>6.9302592408371763E-2</v>
      </c>
      <c r="K64" s="2"/>
      <c r="L64" s="6">
        <f t="shared" si="32"/>
        <v>-4652.1100000000006</v>
      </c>
      <c r="M64" s="2"/>
      <c r="N64" s="7">
        <f t="shared" si="33"/>
        <v>-0.5529806401918983</v>
      </c>
      <c r="O64" s="10"/>
      <c r="P64" s="6">
        <v>69400.47</v>
      </c>
      <c r="Q64" s="2"/>
      <c r="R64" s="7">
        <f t="shared" si="34"/>
        <v>6.9968290666071437E-2</v>
      </c>
      <c r="S64" s="2"/>
      <c r="T64" s="6">
        <v>714276.08</v>
      </c>
      <c r="U64" s="2"/>
      <c r="V64" s="7">
        <f t="shared" si="35"/>
        <v>7.7884338259565117E-2</v>
      </c>
      <c r="W64" s="2"/>
      <c r="X64" s="6">
        <f t="shared" si="36"/>
        <v>-644875.61</v>
      </c>
      <c r="Y64" s="2"/>
      <c r="Z64" s="7">
        <f t="shared" si="37"/>
        <v>-0.90283803147936859</v>
      </c>
    </row>
    <row r="65" spans="1:26" s="26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SUM(OSRRefD22_12x_0)</f>
        <v>3515.29</v>
      </c>
      <c r="E65" s="1"/>
      <c r="F65" s="5">
        <f t="shared" si="30"/>
        <v>6.9570165074502213E-2</v>
      </c>
      <c r="G65" s="1"/>
      <c r="H65" s="1">
        <f>SUM(OSRRefH22_12x_0)</f>
        <v>0.52</v>
      </c>
      <c r="I65" s="1"/>
      <c r="J65" s="5">
        <f t="shared" si="31"/>
        <v>4.2836381334079795E-6</v>
      </c>
      <c r="K65" s="1"/>
      <c r="L65" s="1">
        <f t="shared" si="32"/>
        <v>3514.77</v>
      </c>
      <c r="M65" s="1"/>
      <c r="N65" s="5">
        <f t="shared" si="33"/>
        <v>6759.1730769230762</v>
      </c>
      <c r="O65" s="12"/>
      <c r="P65" s="1">
        <f>SUM(OSRRefP22_12x_0)</f>
        <v>26077.27</v>
      </c>
      <c r="Q65" s="1"/>
      <c r="R65" s="5">
        <f t="shared" si="34"/>
        <v>2.6290628970345946E-2</v>
      </c>
      <c r="S65" s="1"/>
      <c r="T65" s="1">
        <f>SUM(OSRRefT22_12x_0)</f>
        <v>64845.54</v>
      </c>
      <c r="U65" s="1"/>
      <c r="V65" s="5">
        <f t="shared" si="35"/>
        <v>7.0707281307588526E-3</v>
      </c>
      <c r="W65" s="1"/>
      <c r="X65" s="1">
        <f t="shared" si="36"/>
        <v>-38768.270000000004</v>
      </c>
      <c r="Y65" s="1"/>
      <c r="Z65" s="5">
        <f t="shared" si="37"/>
        <v>-0.59785561196652848</v>
      </c>
    </row>
    <row r="66" spans="1:26" s="23" customFormat="1" hidden="1" outlineLevel="2" x14ac:dyDescent="0.25">
      <c r="A66" s="27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3500</v>
      </c>
      <c r="E66" s="2"/>
      <c r="F66" s="7">
        <f t="shared" si="30"/>
        <v>6.9267564770120735E-2</v>
      </c>
      <c r="G66" s="2"/>
      <c r="H66" s="6"/>
      <c r="I66" s="2"/>
      <c r="J66" s="7">
        <f t="shared" si="31"/>
        <v>0</v>
      </c>
      <c r="K66" s="2"/>
      <c r="L66" s="6">
        <f t="shared" si="32"/>
        <v>3500</v>
      </c>
      <c r="M66" s="2"/>
      <c r="N66" s="7">
        <f t="shared" si="33"/>
        <v>0</v>
      </c>
      <c r="O66" s="10"/>
      <c r="P66" s="6">
        <v>21000</v>
      </c>
      <c r="Q66" s="2"/>
      <c r="R66" s="7">
        <f t="shared" si="34"/>
        <v>2.1171817769930091E-2</v>
      </c>
      <c r="S66" s="2"/>
      <c r="T66" s="6">
        <v>63062.93</v>
      </c>
      <c r="U66" s="2"/>
      <c r="V66" s="7">
        <f t="shared" si="35"/>
        <v>6.8763531487142579E-3</v>
      </c>
      <c r="W66" s="2"/>
      <c r="X66" s="6">
        <f t="shared" si="36"/>
        <v>-42062.93</v>
      </c>
      <c r="Y66" s="2"/>
      <c r="Z66" s="7">
        <f t="shared" si="37"/>
        <v>-0.66699929736851749</v>
      </c>
    </row>
    <row r="67" spans="1:26" s="23" customFormat="1" hidden="1" outlineLevel="2" x14ac:dyDescent="0.25">
      <c r="A67" s="27"/>
      <c r="B67" s="10" t="str">
        <f>CONCATENATE("          ", "6373", " - ", "MAINTENANCE CONTRACTS")</f>
        <v xml:space="preserve">          6373 - MAINTENANCE CONTRACTS</v>
      </c>
      <c r="C67" s="10"/>
      <c r="D67" s="6">
        <v>10.89</v>
      </c>
      <c r="E67" s="2"/>
      <c r="F67" s="7">
        <f t="shared" si="30"/>
        <v>2.1552108009903281E-4</v>
      </c>
      <c r="G67" s="2"/>
      <c r="H67" s="6">
        <v>0.52</v>
      </c>
      <c r="I67" s="2"/>
      <c r="J67" s="7">
        <f t="shared" si="31"/>
        <v>4.2836381334079795E-6</v>
      </c>
      <c r="K67" s="2"/>
      <c r="L67" s="6">
        <f t="shared" si="32"/>
        <v>10.370000000000001</v>
      </c>
      <c r="M67" s="2"/>
      <c r="N67" s="7">
        <f t="shared" si="33"/>
        <v>19.942307692307693</v>
      </c>
      <c r="O67" s="10"/>
      <c r="P67" s="6">
        <v>3250.3</v>
      </c>
      <c r="Q67" s="2"/>
      <c r="R67" s="7">
        <f t="shared" si="34"/>
        <v>3.2768932998858942E-3</v>
      </c>
      <c r="S67" s="2"/>
      <c r="T67" s="6">
        <v>723.42</v>
      </c>
      <c r="U67" s="2"/>
      <c r="V67" s="7">
        <f t="shared" si="35"/>
        <v>7.8881387129378039E-5</v>
      </c>
      <c r="W67" s="2"/>
      <c r="X67" s="6">
        <f t="shared" si="36"/>
        <v>2526.88</v>
      </c>
      <c r="Y67" s="2"/>
      <c r="Z67" s="7">
        <f t="shared" si="37"/>
        <v>3.4929639766663905</v>
      </c>
    </row>
    <row r="68" spans="1:26" s="23" customFormat="1" hidden="1" outlineLevel="2" x14ac:dyDescent="0.25">
      <c r="A68" s="27"/>
      <c r="B68" s="10" t="str">
        <f>CONCATENATE("          ", "6375", " - ", "OUTSIDE REPAIRS &amp; MAINTENANCE")</f>
        <v xml:space="preserve">          6375 - OUTSIDE REPAIRS &amp; MAINTENANCE</v>
      </c>
      <c r="C68" s="10"/>
      <c r="D68" s="6">
        <v>4.4000000000000004</v>
      </c>
      <c r="E68" s="2"/>
      <c r="F68" s="7">
        <f t="shared" si="30"/>
        <v>8.7079224282437509E-5</v>
      </c>
      <c r="G68" s="2"/>
      <c r="H68" s="6"/>
      <c r="I68" s="2"/>
      <c r="J68" s="7">
        <f t="shared" si="31"/>
        <v>0</v>
      </c>
      <c r="K68" s="2"/>
      <c r="L68" s="6">
        <f t="shared" si="32"/>
        <v>4.4000000000000004</v>
      </c>
      <c r="M68" s="2"/>
      <c r="N68" s="7">
        <f t="shared" si="33"/>
        <v>0</v>
      </c>
      <c r="O68" s="10"/>
      <c r="P68" s="6">
        <v>1826.97</v>
      </c>
      <c r="Q68" s="2"/>
      <c r="R68" s="7">
        <f t="shared" si="34"/>
        <v>1.8419179005299609E-3</v>
      </c>
      <c r="S68" s="2"/>
      <c r="T68" s="6">
        <v>1059.19</v>
      </c>
      <c r="U68" s="2"/>
      <c r="V68" s="7">
        <f t="shared" si="35"/>
        <v>1.1549359491521651E-4</v>
      </c>
      <c r="W68" s="2"/>
      <c r="X68" s="6">
        <f t="shared" si="36"/>
        <v>767.78</v>
      </c>
      <c r="Y68" s="2"/>
      <c r="Z68" s="7">
        <f t="shared" si="37"/>
        <v>0.72487466837866665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SUM(OSRRefD22_13x_0)</f>
        <v>11620.48</v>
      </c>
      <c r="E69" s="1"/>
      <c r="F69" s="5">
        <f t="shared" ref="F69:F73" si="38">IF(D$12=0,0,D69/D$12)</f>
        <v>0.22997781458854075</v>
      </c>
      <c r="G69" s="1"/>
      <c r="H69" s="1">
        <f>SUM(OSRRefH22_13x_0)</f>
        <v>7168.58</v>
      </c>
      <c r="I69" s="1"/>
      <c r="J69" s="5">
        <f t="shared" ref="J69:J73" si="39">IF(H$12=0,0,H69/H$12)</f>
        <v>5.9053082019972634E-2</v>
      </c>
      <c r="K69" s="1"/>
      <c r="L69" s="1">
        <f t="shared" ref="L69:L73" si="40">+D69-H69</f>
        <v>4451.8999999999996</v>
      </c>
      <c r="M69" s="1"/>
      <c r="N69" s="5">
        <f t="shared" ref="N69:N73" si="41">IF(H69=0,0,L69/H69)</f>
        <v>0.62102954839033664</v>
      </c>
      <c r="O69" s="12"/>
      <c r="P69" s="1">
        <f>SUM(OSRRefP22_13x_0)</f>
        <v>129005.8</v>
      </c>
      <c r="Q69" s="1"/>
      <c r="R69" s="5">
        <f t="shared" ref="R69:R73" si="42">IF(P$12=0,0,P69/P$12)</f>
        <v>0.13006129946971653</v>
      </c>
      <c r="S69" s="1"/>
      <c r="T69" s="1">
        <f>SUM(OSRRefT22_13x_0)</f>
        <v>183032.39</v>
      </c>
      <c r="U69" s="1"/>
      <c r="V69" s="5">
        <f t="shared" ref="V69:V73" si="43">IF(T$12=0,0,T69/T$12)</f>
        <v>1.9957768395683424E-2</v>
      </c>
      <c r="W69" s="1"/>
      <c r="X69" s="1">
        <f t="shared" ref="X69:X73" si="44">+P69-T69</f>
        <v>-54026.590000000011</v>
      </c>
      <c r="Y69" s="1"/>
      <c r="Z69" s="5">
        <f t="shared" ref="Z69:Z73" si="45">IF(T69=0,0,X69/T69)</f>
        <v>-0.29517502339340052</v>
      </c>
    </row>
    <row r="70" spans="1:26" s="23" customFormat="1" hidden="1" outlineLevel="2" x14ac:dyDescent="0.25">
      <c r="A70" s="27"/>
      <c r="B70" s="10" t="str">
        <f>CONCATENATE("          ", "6282", " - ", "JANITORIAL/EXTERMINATOR EXPENS")</f>
        <v xml:space="preserve">          6282 - JANITORIAL/EXTERMINATOR EXPENS</v>
      </c>
      <c r="C70" s="10"/>
      <c r="D70" s="6">
        <v>1508.3</v>
      </c>
      <c r="E70" s="2"/>
      <c r="F70" s="7">
        <f t="shared" si="38"/>
        <v>2.9850362269363745E-2</v>
      </c>
      <c r="G70" s="2"/>
      <c r="H70" s="6">
        <v>1436.53</v>
      </c>
      <c r="I70" s="2"/>
      <c r="J70" s="7">
        <f t="shared" si="39"/>
        <v>1.1833797476508777E-2</v>
      </c>
      <c r="K70" s="2"/>
      <c r="L70" s="6">
        <f t="shared" si="40"/>
        <v>71.769999999999982</v>
      </c>
      <c r="M70" s="2"/>
      <c r="N70" s="7">
        <f t="shared" si="41"/>
        <v>4.9960669112374949E-2</v>
      </c>
      <c r="O70" s="10"/>
      <c r="P70" s="6">
        <v>15949.85</v>
      </c>
      <c r="Q70" s="2"/>
      <c r="R70" s="7">
        <f t="shared" si="42"/>
        <v>1.6080348459891404E-2</v>
      </c>
      <c r="S70" s="2"/>
      <c r="T70" s="6">
        <v>18297.830000000002</v>
      </c>
      <c r="U70" s="2"/>
      <c r="V70" s="7">
        <f t="shared" si="43"/>
        <v>1.9951870446732844E-3</v>
      </c>
      <c r="W70" s="2"/>
      <c r="X70" s="6">
        <f t="shared" si="44"/>
        <v>-2347.9800000000014</v>
      </c>
      <c r="Y70" s="2"/>
      <c r="Z70" s="7">
        <f t="shared" si="45"/>
        <v>-0.12832013413612439</v>
      </c>
    </row>
    <row r="71" spans="1:26" s="23" customFormat="1" hidden="1" outlineLevel="2" x14ac:dyDescent="0.25">
      <c r="A71" s="27"/>
      <c r="B71" s="10" t="str">
        <f>CONCATENATE("          ", "6284", " - ", "TRASH REMOVAL EXPENSE")</f>
        <v xml:space="preserve">          6284 - TRASH REMOVAL EXPENSE</v>
      </c>
      <c r="C71" s="10"/>
      <c r="D71" s="6"/>
      <c r="E71" s="2"/>
      <c r="F71" s="7">
        <f t="shared" si="38"/>
        <v>0</v>
      </c>
      <c r="G71" s="2"/>
      <c r="H71" s="6"/>
      <c r="I71" s="2"/>
      <c r="J71" s="7">
        <f t="shared" si="39"/>
        <v>0</v>
      </c>
      <c r="K71" s="2"/>
      <c r="L71" s="6">
        <f t="shared" si="40"/>
        <v>0</v>
      </c>
      <c r="M71" s="2"/>
      <c r="N71" s="7">
        <f t="shared" si="41"/>
        <v>0</v>
      </c>
      <c r="O71" s="10"/>
      <c r="P71" s="6">
        <v>282.75</v>
      </c>
      <c r="Q71" s="2"/>
      <c r="R71" s="7">
        <f t="shared" si="42"/>
        <v>2.8506340354513015E-4</v>
      </c>
      <c r="S71" s="2"/>
      <c r="T71" s="6"/>
      <c r="U71" s="2"/>
      <c r="V71" s="7">
        <f t="shared" si="43"/>
        <v>0</v>
      </c>
      <c r="W71" s="2"/>
      <c r="X71" s="6">
        <f t="shared" si="44"/>
        <v>282.75</v>
      </c>
      <c r="Y71" s="2"/>
      <c r="Z71" s="7">
        <f t="shared" si="45"/>
        <v>0</v>
      </c>
    </row>
    <row r="72" spans="1:26" s="23" customFormat="1" hidden="1" outlineLevel="2" x14ac:dyDescent="0.25">
      <c r="A72" s="27"/>
      <c r="B72" s="10" t="str">
        <f>CONCATENATE("          ", "6285", " - ", "JANITORIAL SERVICES")</f>
        <v xml:space="preserve">          6285 - JANITORIAL SERVICES</v>
      </c>
      <c r="C72" s="10"/>
      <c r="D72" s="6">
        <v>8897.19</v>
      </c>
      <c r="E72" s="2"/>
      <c r="F72" s="7">
        <f t="shared" si="38"/>
        <v>0.17608190988487729</v>
      </c>
      <c r="G72" s="2"/>
      <c r="H72" s="6">
        <v>5732.05</v>
      </c>
      <c r="I72" s="2"/>
      <c r="J72" s="7">
        <f t="shared" si="39"/>
        <v>4.7219284543463858E-2</v>
      </c>
      <c r="K72" s="2"/>
      <c r="L72" s="6">
        <f t="shared" si="40"/>
        <v>3165.1400000000003</v>
      </c>
      <c r="M72" s="2"/>
      <c r="N72" s="7">
        <f t="shared" si="41"/>
        <v>0.5521829014052565</v>
      </c>
      <c r="O72" s="10"/>
      <c r="P72" s="6">
        <v>96970.54</v>
      </c>
      <c r="Q72" s="2"/>
      <c r="R72" s="7">
        <f t="shared" si="42"/>
        <v>9.7763933425319832E-2</v>
      </c>
      <c r="S72" s="2"/>
      <c r="T72" s="6">
        <v>123196.57</v>
      </c>
      <c r="U72" s="2"/>
      <c r="V72" s="7">
        <f t="shared" si="43"/>
        <v>1.3433297850738881E-2</v>
      </c>
      <c r="W72" s="2"/>
      <c r="X72" s="6">
        <f t="shared" si="44"/>
        <v>-26226.030000000013</v>
      </c>
      <c r="Y72" s="2"/>
      <c r="Z72" s="7">
        <f t="shared" si="45"/>
        <v>-0.21287954688998251</v>
      </c>
    </row>
    <row r="73" spans="1:26" s="23" customFormat="1" hidden="1" outlineLevel="2" x14ac:dyDescent="0.25">
      <c r="A73" s="27"/>
      <c r="B73" s="10" t="str">
        <f>CONCATENATE("          ", "6286", " - ", "LAUNDRY EXPENSE")</f>
        <v xml:space="preserve">          6286 - LAUNDRY EXPENSE</v>
      </c>
      <c r="C73" s="10"/>
      <c r="D73" s="6">
        <v>1214.99</v>
      </c>
      <c r="E73" s="2"/>
      <c r="F73" s="7">
        <f t="shared" si="38"/>
        <v>2.4045542434299714E-2</v>
      </c>
      <c r="G73" s="2"/>
      <c r="H73" s="6"/>
      <c r="I73" s="2"/>
      <c r="J73" s="7">
        <f t="shared" si="39"/>
        <v>0</v>
      </c>
      <c r="K73" s="2"/>
      <c r="L73" s="6">
        <f t="shared" si="40"/>
        <v>1214.99</v>
      </c>
      <c r="M73" s="2"/>
      <c r="N73" s="7">
        <f t="shared" si="41"/>
        <v>0</v>
      </c>
      <c r="O73" s="10"/>
      <c r="P73" s="6">
        <v>15802.66</v>
      </c>
      <c r="Q73" s="2"/>
      <c r="R73" s="7">
        <f t="shared" si="42"/>
        <v>1.5931954180960165E-2</v>
      </c>
      <c r="S73" s="2"/>
      <c r="T73" s="6">
        <v>41537.99</v>
      </c>
      <c r="U73" s="2"/>
      <c r="V73" s="7">
        <f t="shared" si="43"/>
        <v>4.5292835002712578E-3</v>
      </c>
      <c r="W73" s="2"/>
      <c r="X73" s="6">
        <f t="shared" si="44"/>
        <v>-25735.329999999998</v>
      </c>
      <c r="Y73" s="2"/>
      <c r="Z73" s="7">
        <f t="shared" si="45"/>
        <v>-0.61956127390853533</v>
      </c>
    </row>
    <row r="74" spans="1:26" s="26" customFormat="1" outlineLevel="1" collapsed="1" x14ac:dyDescent="0.25">
      <c r="A74" s="25"/>
      <c r="B74" s="12" t="str">
        <f>CONCATENATE("     ","Subscriptions &amp; Dues                              ")</f>
        <v xml:space="preserve">     Subscriptions &amp; Dues                              </v>
      </c>
      <c r="C74" s="12"/>
      <c r="D74" s="1">
        <f>SUM(OSRRefD22_14x_0)</f>
        <v>0</v>
      </c>
      <c r="E74" s="1"/>
      <c r="F74" s="5">
        <f t="shared" ref="F74:F85" si="46">IF(D$12=0,0,D74/D$12)</f>
        <v>0</v>
      </c>
      <c r="G74" s="1"/>
      <c r="H74" s="1">
        <f>SUM(OSRRefH22_14x_0)</f>
        <v>0</v>
      </c>
      <c r="I74" s="1"/>
      <c r="J74" s="5">
        <f t="shared" ref="J74:J85" si="47">IF(H$12=0,0,H74/H$12)</f>
        <v>0</v>
      </c>
      <c r="K74" s="1"/>
      <c r="L74" s="1">
        <f t="shared" ref="L74:L85" si="48">+D74-H74</f>
        <v>0</v>
      </c>
      <c r="M74" s="1"/>
      <c r="N74" s="5">
        <f t="shared" ref="N74:N85" si="49">IF(H74=0,0,L74/H74)</f>
        <v>0</v>
      </c>
      <c r="O74" s="12"/>
      <c r="P74" s="1">
        <f>SUM(OSRRefP22_14x_0)</f>
        <v>795</v>
      </c>
      <c r="Q74" s="1"/>
      <c r="R74" s="5">
        <f t="shared" ref="R74:R85" si="50">IF(P$12=0,0,P74/P$12)</f>
        <v>8.0150452986163913E-4</v>
      </c>
      <c r="S74" s="1"/>
      <c r="T74" s="1">
        <f>SUM(OSRRefT22_14x_0)</f>
        <v>0</v>
      </c>
      <c r="U74" s="1"/>
      <c r="V74" s="5">
        <f t="shared" ref="V74:V85" si="51">IF(T$12=0,0,T74/T$12)</f>
        <v>0</v>
      </c>
      <c r="W74" s="1"/>
      <c r="X74" s="1">
        <f t="shared" ref="X74:X85" si="52">+P74-T74</f>
        <v>795</v>
      </c>
      <c r="Y74" s="1"/>
      <c r="Z74" s="5">
        <f t="shared" ref="Z74:Z85" si="53">IF(T74=0,0,X74/T74)</f>
        <v>0</v>
      </c>
    </row>
    <row r="75" spans="1:26" s="23" customFormat="1" hidden="1" outlineLevel="2" x14ac:dyDescent="0.25">
      <c r="A75" s="27"/>
      <c r="B75" s="10" t="str">
        <f>CONCATENATE("          ", "6258", " - ", "MEMBERSHIP DUES")</f>
        <v xml:space="preserve">          6258 - MEMBERSHIP DUES</v>
      </c>
      <c r="C75" s="10"/>
      <c r="D75" s="6"/>
      <c r="E75" s="2"/>
      <c r="F75" s="7">
        <f t="shared" si="46"/>
        <v>0</v>
      </c>
      <c r="G75" s="2"/>
      <c r="H75" s="6"/>
      <c r="I75" s="2"/>
      <c r="J75" s="7">
        <f t="shared" si="47"/>
        <v>0</v>
      </c>
      <c r="K75" s="2"/>
      <c r="L75" s="6">
        <f t="shared" si="48"/>
        <v>0</v>
      </c>
      <c r="M75" s="2"/>
      <c r="N75" s="7">
        <f t="shared" si="49"/>
        <v>0</v>
      </c>
      <c r="O75" s="10"/>
      <c r="P75" s="6">
        <v>795</v>
      </c>
      <c r="Q75" s="2"/>
      <c r="R75" s="7">
        <f t="shared" si="50"/>
        <v>8.0150452986163913E-4</v>
      </c>
      <c r="S75" s="2"/>
      <c r="T75" s="6"/>
      <c r="U75" s="2"/>
      <c r="V75" s="7">
        <f t="shared" si="51"/>
        <v>0</v>
      </c>
      <c r="W75" s="2"/>
      <c r="X75" s="6">
        <f t="shared" si="52"/>
        <v>795</v>
      </c>
      <c r="Y75" s="2"/>
      <c r="Z75" s="7">
        <f t="shared" si="53"/>
        <v>0</v>
      </c>
    </row>
    <row r="76" spans="1:26" s="26" customFormat="1" outlineLevel="1" collapsed="1" x14ac:dyDescent="0.25">
      <c r="A76" s="25"/>
      <c r="B76" s="12" t="str">
        <f>CONCATENATE("     ","Supplies                                          ")</f>
        <v xml:space="preserve">     Supplies                                          </v>
      </c>
      <c r="C76" s="12"/>
      <c r="D76" s="1">
        <f>SUM(OSRRefD22_15x_0)</f>
        <v>9812.35</v>
      </c>
      <c r="E76" s="1"/>
      <c r="F76" s="5">
        <f t="shared" si="46"/>
        <v>0.19419359690631263</v>
      </c>
      <c r="G76" s="1"/>
      <c r="H76" s="1">
        <f>SUM(OSRRefH22_15x_0)</f>
        <v>3421.66</v>
      </c>
      <c r="I76" s="1"/>
      <c r="J76" s="5">
        <f t="shared" si="47"/>
        <v>2.8186833183762972E-2</v>
      </c>
      <c r="K76" s="1"/>
      <c r="L76" s="1">
        <f t="shared" si="48"/>
        <v>6390.6900000000005</v>
      </c>
      <c r="M76" s="1"/>
      <c r="N76" s="5">
        <f t="shared" si="49"/>
        <v>1.8677162546833994</v>
      </c>
      <c r="O76" s="12"/>
      <c r="P76" s="1">
        <f>SUM(OSRRefP22_15x_0)</f>
        <v>143149.51</v>
      </c>
      <c r="Q76" s="1"/>
      <c r="R76" s="5">
        <f t="shared" si="50"/>
        <v>0.14432073045594215</v>
      </c>
      <c r="S76" s="1"/>
      <c r="T76" s="1">
        <f>SUM(OSRRefT22_15x_0)</f>
        <v>192436.13</v>
      </c>
      <c r="U76" s="1"/>
      <c r="V76" s="5">
        <f t="shared" si="51"/>
        <v>2.098314791989345E-2</v>
      </c>
      <c r="W76" s="1"/>
      <c r="X76" s="1">
        <f t="shared" si="52"/>
        <v>-49286.619999999995</v>
      </c>
      <c r="Y76" s="1"/>
      <c r="Z76" s="5">
        <f t="shared" si="53"/>
        <v>-0.25611936802096358</v>
      </c>
    </row>
    <row r="77" spans="1:26" s="23" customFormat="1" hidden="1" outlineLevel="2" x14ac:dyDescent="0.25">
      <c r="A77" s="27"/>
      <c r="B77" s="10" t="str">
        <f>CONCATENATE("          ", "6234", " - ", "EXPENDABLE SUPPLIES &amp; EQUIPMEN")</f>
        <v xml:space="preserve">          6234 - EXPENDABLE SUPPLIES &amp; EQUIPMEN</v>
      </c>
      <c r="C77" s="10"/>
      <c r="D77" s="6"/>
      <c r="E77" s="2"/>
      <c r="F77" s="7">
        <f t="shared" si="46"/>
        <v>0</v>
      </c>
      <c r="G77" s="2"/>
      <c r="H77" s="6"/>
      <c r="I77" s="2"/>
      <c r="J77" s="7">
        <f t="shared" si="47"/>
        <v>0</v>
      </c>
      <c r="K77" s="2"/>
      <c r="L77" s="6">
        <f t="shared" si="48"/>
        <v>0</v>
      </c>
      <c r="M77" s="2"/>
      <c r="N77" s="7">
        <f t="shared" si="49"/>
        <v>0</v>
      </c>
      <c r="O77" s="10"/>
      <c r="P77" s="6"/>
      <c r="Q77" s="2"/>
      <c r="R77" s="7">
        <f t="shared" si="50"/>
        <v>0</v>
      </c>
      <c r="S77" s="2"/>
      <c r="T77" s="6">
        <v>118.34</v>
      </c>
      <c r="U77" s="2"/>
      <c r="V77" s="7">
        <f t="shared" si="51"/>
        <v>1.2903739671132395E-5</v>
      </c>
      <c r="W77" s="2"/>
      <c r="X77" s="6">
        <f t="shared" si="52"/>
        <v>-118.34</v>
      </c>
      <c r="Y77" s="2"/>
      <c r="Z77" s="7">
        <f t="shared" si="53"/>
        <v>-1</v>
      </c>
    </row>
    <row r="78" spans="1:26" s="23" customFormat="1" hidden="1" outlineLevel="2" x14ac:dyDescent="0.25">
      <c r="A78" s="27"/>
      <c r="B78" s="10" t="str">
        <f>CONCATENATE("          ", "6235", " - ", "COVID-19 EXPENSES")</f>
        <v xml:space="preserve">          6235 - COVID-19 EXPENSES</v>
      </c>
      <c r="C78" s="10"/>
      <c r="D78" s="6">
        <v>2921.2</v>
      </c>
      <c r="E78" s="2"/>
      <c r="F78" s="7">
        <f t="shared" si="46"/>
        <v>5.781268863042191E-2</v>
      </c>
      <c r="G78" s="2"/>
      <c r="H78" s="6">
        <v>856.03</v>
      </c>
      <c r="I78" s="2"/>
      <c r="J78" s="7">
        <f t="shared" si="47"/>
        <v>7.0517745218100615E-3</v>
      </c>
      <c r="K78" s="2"/>
      <c r="L78" s="6">
        <f t="shared" si="48"/>
        <v>2065.17</v>
      </c>
      <c r="M78" s="2"/>
      <c r="N78" s="7">
        <f t="shared" si="49"/>
        <v>2.4124972255645249</v>
      </c>
      <c r="O78" s="10"/>
      <c r="P78" s="6">
        <v>59411.95</v>
      </c>
      <c r="Q78" s="2"/>
      <c r="R78" s="7">
        <f t="shared" si="50"/>
        <v>5.9898046607437999E-2</v>
      </c>
      <c r="S78" s="2"/>
      <c r="T78" s="6">
        <v>856.03</v>
      </c>
      <c r="U78" s="2"/>
      <c r="V78" s="7">
        <f t="shared" si="51"/>
        <v>9.3341121097511101E-5</v>
      </c>
      <c r="W78" s="2"/>
      <c r="X78" s="6">
        <f t="shared" si="52"/>
        <v>58555.92</v>
      </c>
      <c r="Y78" s="2"/>
      <c r="Z78" s="7">
        <f t="shared" si="53"/>
        <v>68.404051259885748</v>
      </c>
    </row>
    <row r="79" spans="1:26" s="23" customFormat="1" hidden="1" outlineLevel="2" x14ac:dyDescent="0.25">
      <c r="A79" s="27"/>
      <c r="B79" s="10" t="str">
        <f>CONCATENATE("          ", "6237", " - ", "JANITORIAL SUPPLIES")</f>
        <v xml:space="preserve">          6237 - JANITORIAL SUPPLIES</v>
      </c>
      <c r="C79" s="10"/>
      <c r="D79" s="6">
        <v>1425.01</v>
      </c>
      <c r="E79" s="2"/>
      <c r="F79" s="7">
        <f t="shared" si="46"/>
        <v>2.8201992135162786E-2</v>
      </c>
      <c r="G79" s="2"/>
      <c r="H79" s="6">
        <v>1075.9100000000001</v>
      </c>
      <c r="I79" s="2"/>
      <c r="J79" s="7">
        <f t="shared" si="47"/>
        <v>8.8630944309903443E-3</v>
      </c>
      <c r="K79" s="2"/>
      <c r="L79" s="6">
        <f t="shared" si="48"/>
        <v>349.09999999999991</v>
      </c>
      <c r="M79" s="2"/>
      <c r="N79" s="7">
        <f t="shared" si="49"/>
        <v>0.32446951882592401</v>
      </c>
      <c r="O79" s="10"/>
      <c r="P79" s="6">
        <v>23166.73</v>
      </c>
      <c r="Q79" s="2"/>
      <c r="R79" s="7">
        <f t="shared" si="50"/>
        <v>2.3356275518341549E-2</v>
      </c>
      <c r="S79" s="2"/>
      <c r="T79" s="6">
        <v>74207.23</v>
      </c>
      <c r="U79" s="2"/>
      <c r="V79" s="7">
        <f t="shared" si="51"/>
        <v>8.0915225421315361E-3</v>
      </c>
      <c r="W79" s="2"/>
      <c r="X79" s="6">
        <f t="shared" si="52"/>
        <v>-51040.5</v>
      </c>
      <c r="Y79" s="2"/>
      <c r="Z79" s="7">
        <f t="shared" si="53"/>
        <v>-0.68781033869610819</v>
      </c>
    </row>
    <row r="80" spans="1:26" s="23" customFormat="1" hidden="1" outlineLevel="2" x14ac:dyDescent="0.25">
      <c r="A80" s="27"/>
      <c r="B80" s="10" t="str">
        <f>CONCATENATE("          ", "6239", " - ", "KITCHEN SUPPLIES")</f>
        <v xml:space="preserve">          6239 - KITCHEN SUPPLIES</v>
      </c>
      <c r="C80" s="10"/>
      <c r="D80" s="6">
        <v>618.89</v>
      </c>
      <c r="E80" s="2"/>
      <c r="F80" s="7">
        <f t="shared" si="46"/>
        <v>1.2248286617308578E-2</v>
      </c>
      <c r="G80" s="2"/>
      <c r="H80" s="6">
        <v>50</v>
      </c>
      <c r="I80" s="2"/>
      <c r="J80" s="7">
        <f t="shared" si="47"/>
        <v>4.118882820584595E-4</v>
      </c>
      <c r="K80" s="2"/>
      <c r="L80" s="6">
        <f t="shared" si="48"/>
        <v>568.89</v>
      </c>
      <c r="M80" s="2"/>
      <c r="N80" s="7">
        <f t="shared" si="49"/>
        <v>11.377800000000001</v>
      </c>
      <c r="O80" s="10"/>
      <c r="P80" s="6">
        <v>7866.27</v>
      </c>
      <c r="Q80" s="2"/>
      <c r="R80" s="7">
        <f t="shared" si="50"/>
        <v>7.9306302366222853E-3</v>
      </c>
      <c r="S80" s="2"/>
      <c r="T80" s="6">
        <v>26848.5</v>
      </c>
      <c r="U80" s="2"/>
      <c r="V80" s="7">
        <f t="shared" si="51"/>
        <v>2.9275482048368947E-3</v>
      </c>
      <c r="W80" s="2"/>
      <c r="X80" s="6">
        <f t="shared" si="52"/>
        <v>-18982.23</v>
      </c>
      <c r="Y80" s="2"/>
      <c r="Z80" s="7">
        <f t="shared" si="53"/>
        <v>-0.7070126822727526</v>
      </c>
    </row>
    <row r="81" spans="1:26" s="23" customFormat="1" hidden="1" outlineLevel="2" x14ac:dyDescent="0.25">
      <c r="A81" s="27"/>
      <c r="B81" s="10" t="str">
        <f>CONCATENATE("          ", "6241", " - ", "OFFICE EXPENSE")</f>
        <v xml:space="preserve">          6241 - OFFICE EXPENSE</v>
      </c>
      <c r="C81" s="10"/>
      <c r="D81" s="6">
        <v>1504.3</v>
      </c>
      <c r="E81" s="2"/>
      <c r="F81" s="7">
        <f t="shared" si="46"/>
        <v>2.9771199338197891E-2</v>
      </c>
      <c r="G81" s="2"/>
      <c r="H81" s="6">
        <v>177.61</v>
      </c>
      <c r="I81" s="2"/>
      <c r="J81" s="7">
        <f t="shared" si="47"/>
        <v>1.4631095555280599E-3</v>
      </c>
      <c r="K81" s="2"/>
      <c r="L81" s="6">
        <f t="shared" si="48"/>
        <v>1326.69</v>
      </c>
      <c r="M81" s="2"/>
      <c r="N81" s="7">
        <f t="shared" si="49"/>
        <v>7.4696807612183997</v>
      </c>
      <c r="O81" s="10"/>
      <c r="P81" s="6">
        <v>9485.1</v>
      </c>
      <c r="Q81" s="2"/>
      <c r="R81" s="7">
        <f t="shared" si="50"/>
        <v>9.562705177598281E-3</v>
      </c>
      <c r="S81" s="2"/>
      <c r="T81" s="6">
        <v>28558.06</v>
      </c>
      <c r="U81" s="2"/>
      <c r="V81" s="7">
        <f t="shared" si="51"/>
        <v>3.1139578481711953E-3</v>
      </c>
      <c r="W81" s="2"/>
      <c r="X81" s="6">
        <f t="shared" si="52"/>
        <v>-19072.96</v>
      </c>
      <c r="Y81" s="2"/>
      <c r="Z81" s="7">
        <f t="shared" si="53"/>
        <v>-0.66786609454563783</v>
      </c>
    </row>
    <row r="82" spans="1:26" s="23" customFormat="1" hidden="1" outlineLevel="2" x14ac:dyDescent="0.25">
      <c r="A82" s="27"/>
      <c r="B82" s="10" t="str">
        <f>CONCATENATE("          ", "6243", " - ", "PAPER SUPPLIES")</f>
        <v xml:space="preserve">          6243 - PAPER SUPPLIES</v>
      </c>
      <c r="C82" s="10"/>
      <c r="D82" s="6">
        <v>3342.95</v>
      </c>
      <c r="E82" s="2"/>
      <c r="F82" s="7">
        <f t="shared" si="46"/>
        <v>6.6159430185221454E-2</v>
      </c>
      <c r="G82" s="2"/>
      <c r="H82" s="6">
        <v>1262.1099999999999</v>
      </c>
      <c r="I82" s="2"/>
      <c r="J82" s="7">
        <f t="shared" si="47"/>
        <v>1.0396966393376046E-2</v>
      </c>
      <c r="K82" s="2"/>
      <c r="L82" s="6">
        <f t="shared" si="48"/>
        <v>2080.84</v>
      </c>
      <c r="M82" s="2"/>
      <c r="N82" s="7">
        <f t="shared" si="49"/>
        <v>1.6486994002107584</v>
      </c>
      <c r="O82" s="10"/>
      <c r="P82" s="6">
        <v>38718.870000000003</v>
      </c>
      <c r="Q82" s="2"/>
      <c r="R82" s="7">
        <f t="shared" si="50"/>
        <v>3.9035659995124435E-2</v>
      </c>
      <c r="S82" s="2"/>
      <c r="T82" s="6">
        <v>59955.55</v>
      </c>
      <c r="U82" s="2"/>
      <c r="V82" s="7">
        <f t="shared" si="51"/>
        <v>6.5375258495822368E-3</v>
      </c>
      <c r="W82" s="2"/>
      <c r="X82" s="6">
        <f t="shared" si="52"/>
        <v>-21236.68</v>
      </c>
      <c r="Y82" s="2"/>
      <c r="Z82" s="7">
        <f t="shared" si="53"/>
        <v>-0.35420707507478455</v>
      </c>
    </row>
    <row r="83" spans="1:26" s="23" customFormat="1" hidden="1" outlineLevel="2" x14ac:dyDescent="0.25">
      <c r="A83" s="27"/>
      <c r="B83" s="10" t="str">
        <f>CONCATENATE("          ", "6245", " - ", "PRINTING")</f>
        <v xml:space="preserve">          6245 - PRINTING</v>
      </c>
      <c r="C83" s="10"/>
      <c r="D83" s="6"/>
      <c r="E83" s="2"/>
      <c r="F83" s="7">
        <f t="shared" si="46"/>
        <v>0</v>
      </c>
      <c r="G83" s="2"/>
      <c r="H83" s="6"/>
      <c r="I83" s="2"/>
      <c r="J83" s="7">
        <f t="shared" si="47"/>
        <v>0</v>
      </c>
      <c r="K83" s="2"/>
      <c r="L83" s="6">
        <f t="shared" si="48"/>
        <v>0</v>
      </c>
      <c r="M83" s="2"/>
      <c r="N83" s="7">
        <f t="shared" si="49"/>
        <v>0</v>
      </c>
      <c r="O83" s="10"/>
      <c r="P83" s="6"/>
      <c r="Q83" s="2"/>
      <c r="R83" s="7">
        <f t="shared" si="50"/>
        <v>0</v>
      </c>
      <c r="S83" s="2"/>
      <c r="T83" s="6">
        <v>1351.44</v>
      </c>
      <c r="U83" s="2"/>
      <c r="V83" s="7">
        <f t="shared" si="51"/>
        <v>1.4736040173360794E-4</v>
      </c>
      <c r="W83" s="2"/>
      <c r="X83" s="6">
        <f t="shared" si="52"/>
        <v>-1351.44</v>
      </c>
      <c r="Y83" s="2"/>
      <c r="Z83" s="7">
        <f t="shared" si="53"/>
        <v>-1</v>
      </c>
    </row>
    <row r="84" spans="1:26" s="23" customFormat="1" hidden="1" outlineLevel="2" x14ac:dyDescent="0.25">
      <c r="A84" s="27"/>
      <c r="B84" s="10" t="str">
        <f>CONCATENATE("          ", "6247", " - ", "STORE SUPPLIES")</f>
        <v xml:space="preserve">          6247 - STORE SUPPLIES</v>
      </c>
      <c r="C84" s="10"/>
      <c r="D84" s="6"/>
      <c r="E84" s="2"/>
      <c r="F84" s="7">
        <f t="shared" si="46"/>
        <v>0</v>
      </c>
      <c r="G84" s="2"/>
      <c r="H84" s="6"/>
      <c r="I84" s="2"/>
      <c r="J84" s="7">
        <f t="shared" si="47"/>
        <v>0</v>
      </c>
      <c r="K84" s="2"/>
      <c r="L84" s="6">
        <f t="shared" si="48"/>
        <v>0</v>
      </c>
      <c r="M84" s="2"/>
      <c r="N84" s="7">
        <f t="shared" si="49"/>
        <v>0</v>
      </c>
      <c r="O84" s="10"/>
      <c r="P84" s="6"/>
      <c r="Q84" s="2"/>
      <c r="R84" s="7">
        <f t="shared" si="50"/>
        <v>0</v>
      </c>
      <c r="S84" s="2"/>
      <c r="T84" s="6">
        <v>667.78</v>
      </c>
      <c r="U84" s="2"/>
      <c r="V84" s="7">
        <f t="shared" si="51"/>
        <v>7.2814426885151181E-5</v>
      </c>
      <c r="W84" s="2"/>
      <c r="X84" s="6">
        <f t="shared" si="52"/>
        <v>-667.78</v>
      </c>
      <c r="Y84" s="2"/>
      <c r="Z84" s="7">
        <f t="shared" si="53"/>
        <v>-1</v>
      </c>
    </row>
    <row r="85" spans="1:26" s="23" customFormat="1" hidden="1" outlineLevel="2" x14ac:dyDescent="0.25">
      <c r="A85" s="27"/>
      <c r="B85" s="10" t="str">
        <f>CONCATENATE("          ", "6248", " - ", "UNIFORMS")</f>
        <v xml:space="preserve">          6248 - UNIFORMS</v>
      </c>
      <c r="C85" s="10"/>
      <c r="D85" s="6"/>
      <c r="E85" s="2"/>
      <c r="F85" s="7">
        <f t="shared" si="46"/>
        <v>0</v>
      </c>
      <c r="G85" s="2"/>
      <c r="H85" s="6"/>
      <c r="I85" s="2"/>
      <c r="J85" s="7">
        <f t="shared" si="47"/>
        <v>0</v>
      </c>
      <c r="K85" s="2"/>
      <c r="L85" s="6">
        <f t="shared" si="48"/>
        <v>0</v>
      </c>
      <c r="M85" s="2"/>
      <c r="N85" s="7">
        <f t="shared" si="49"/>
        <v>0</v>
      </c>
      <c r="O85" s="10"/>
      <c r="P85" s="6">
        <v>4500.59</v>
      </c>
      <c r="Q85" s="2"/>
      <c r="R85" s="7">
        <f t="shared" si="50"/>
        <v>4.5374129208176038E-3</v>
      </c>
      <c r="S85" s="2"/>
      <c r="T85" s="6">
        <v>-126.8</v>
      </c>
      <c r="U85" s="2"/>
      <c r="V85" s="7">
        <f t="shared" si="51"/>
        <v>-1.3826214215815343E-5</v>
      </c>
      <c r="W85" s="2"/>
      <c r="X85" s="6">
        <f t="shared" si="52"/>
        <v>4627.3900000000003</v>
      </c>
      <c r="Y85" s="2"/>
      <c r="Z85" s="7">
        <f t="shared" si="53"/>
        <v>-36.493611987381705</v>
      </c>
    </row>
    <row r="86" spans="1:26" s="26" customFormat="1" outlineLevel="1" collapsed="1" x14ac:dyDescent="0.25">
      <c r="A86" s="25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SUM(OSRRefD22_16x_0)</f>
        <v>623</v>
      </c>
      <c r="E86" s="1"/>
      <c r="F86" s="5">
        <f t="shared" ref="F86:F92" si="54">IF(D$12=0,0,D86/D$12)</f>
        <v>1.2329626529081492E-2</v>
      </c>
      <c r="G86" s="1"/>
      <c r="H86" s="1">
        <f>SUM(OSRRefH22_16x_0)</f>
        <v>536.29999999999995</v>
      </c>
      <c r="I86" s="1"/>
      <c r="J86" s="5">
        <f t="shared" ref="J86:J92" si="55">IF(H$12=0,0,H86/H$12)</f>
        <v>4.4179137133590366E-3</v>
      </c>
      <c r="K86" s="1"/>
      <c r="L86" s="1">
        <f t="shared" ref="L86:L92" si="56">+D86-H86</f>
        <v>86.700000000000045</v>
      </c>
      <c r="M86" s="1"/>
      <c r="N86" s="5">
        <f t="shared" ref="N86:N92" si="57">IF(H86=0,0,L86/H86)</f>
        <v>0.1616632481819878</v>
      </c>
      <c r="O86" s="12"/>
      <c r="P86" s="1">
        <f>SUM(OSRRefP22_16x_0)</f>
        <v>5398.32</v>
      </c>
      <c r="Q86" s="1"/>
      <c r="R86" s="5">
        <f t="shared" ref="R86:R92" si="58">IF(P$12=0,0,P86/P$12)</f>
        <v>5.4424879668461433E-3</v>
      </c>
      <c r="S86" s="1"/>
      <c r="T86" s="1">
        <f>SUM(OSRRefT22_16x_0)</f>
        <v>7096.8</v>
      </c>
      <c r="U86" s="1"/>
      <c r="V86" s="5">
        <f t="shared" ref="V86:V92" si="59">IF(T$12=0,0,T86/T$12)</f>
        <v>7.7383183790850419E-4</v>
      </c>
      <c r="W86" s="1"/>
      <c r="X86" s="1">
        <f t="shared" ref="X86:X92" si="60">+P86-T86</f>
        <v>-1698.4800000000005</v>
      </c>
      <c r="Y86" s="1"/>
      <c r="Z86" s="5">
        <f t="shared" ref="Z86:Z92" si="61">IF(T86=0,0,X86/T86)</f>
        <v>-0.23933040243490031</v>
      </c>
    </row>
    <row r="87" spans="1:26" s="23" customFormat="1" hidden="1" outlineLevel="2" x14ac:dyDescent="0.25">
      <c r="A87" s="27"/>
      <c r="B87" s="10" t="str">
        <f>CONCATENATE("          ", "6309", " - ", "TELEPHONE")</f>
        <v xml:space="preserve">          6309 - TELEPHONE</v>
      </c>
      <c r="C87" s="10"/>
      <c r="D87" s="6">
        <v>623</v>
      </c>
      <c r="E87" s="2"/>
      <c r="F87" s="7">
        <f t="shared" si="54"/>
        <v>1.2329626529081492E-2</v>
      </c>
      <c r="G87" s="2"/>
      <c r="H87" s="6">
        <v>536.29999999999995</v>
      </c>
      <c r="I87" s="2"/>
      <c r="J87" s="7">
        <f t="shared" si="55"/>
        <v>4.4179137133590366E-3</v>
      </c>
      <c r="K87" s="2"/>
      <c r="L87" s="6">
        <f t="shared" si="56"/>
        <v>86.700000000000045</v>
      </c>
      <c r="M87" s="2"/>
      <c r="N87" s="7">
        <f t="shared" si="57"/>
        <v>0.1616632481819878</v>
      </c>
      <c r="O87" s="10"/>
      <c r="P87" s="6">
        <v>5398.32</v>
      </c>
      <c r="Q87" s="2"/>
      <c r="R87" s="7">
        <f t="shared" si="58"/>
        <v>5.4424879668461433E-3</v>
      </c>
      <c r="S87" s="2"/>
      <c r="T87" s="6">
        <v>7096.8</v>
      </c>
      <c r="U87" s="2"/>
      <c r="V87" s="7">
        <f t="shared" si="59"/>
        <v>7.7383183790850419E-4</v>
      </c>
      <c r="W87" s="2"/>
      <c r="X87" s="6">
        <f t="shared" si="60"/>
        <v>-1698.4800000000005</v>
      </c>
      <c r="Y87" s="2"/>
      <c r="Z87" s="7">
        <f t="shared" si="61"/>
        <v>-0.23933040243490031</v>
      </c>
    </row>
    <row r="88" spans="1:26" s="26" customFormat="1" outlineLevel="1" collapsed="1" x14ac:dyDescent="0.25">
      <c r="A88" s="25"/>
      <c r="B88" s="12" t="str">
        <f>CONCATENATE("     ","Training                                          ")</f>
        <v xml:space="preserve">     Training                                          </v>
      </c>
      <c r="C88" s="12"/>
      <c r="D88" s="1">
        <f>SUM(OSRRefD22_17x_0)</f>
        <v>0</v>
      </c>
      <c r="E88" s="1"/>
      <c r="F88" s="5">
        <f t="shared" si="54"/>
        <v>0</v>
      </c>
      <c r="G88" s="1"/>
      <c r="H88" s="1">
        <f>SUM(OSRRefH22_17x_0)</f>
        <v>0</v>
      </c>
      <c r="I88" s="1"/>
      <c r="J88" s="5">
        <f t="shared" si="55"/>
        <v>0</v>
      </c>
      <c r="K88" s="1"/>
      <c r="L88" s="1">
        <f t="shared" si="56"/>
        <v>0</v>
      </c>
      <c r="M88" s="1"/>
      <c r="N88" s="5">
        <f t="shared" si="57"/>
        <v>0</v>
      </c>
      <c r="O88" s="12"/>
      <c r="P88" s="1">
        <f>SUM(OSRRefP22_17x_0)</f>
        <v>786.23</v>
      </c>
      <c r="Q88" s="1"/>
      <c r="R88" s="5">
        <f t="shared" si="58"/>
        <v>7.9266277548819695E-4</v>
      </c>
      <c r="S88" s="1"/>
      <c r="T88" s="1">
        <f>SUM(OSRRefT22_17x_0)</f>
        <v>6398.23</v>
      </c>
      <c r="U88" s="1"/>
      <c r="V88" s="5">
        <f t="shared" si="59"/>
        <v>6.9766008345470193E-4</v>
      </c>
      <c r="W88" s="1"/>
      <c r="X88" s="1">
        <f t="shared" si="60"/>
        <v>-5612</v>
      </c>
      <c r="Y88" s="1"/>
      <c r="Z88" s="5">
        <f t="shared" si="61"/>
        <v>-0.87711757783011868</v>
      </c>
    </row>
    <row r="89" spans="1:26" s="23" customFormat="1" hidden="1" outlineLevel="2" x14ac:dyDescent="0.25">
      <c r="A89" s="27"/>
      <c r="B89" s="10" t="str">
        <f>CONCATENATE("          ", "6376", " - ", "TRAINING")</f>
        <v xml:space="preserve">          6376 - TRAINING</v>
      </c>
      <c r="C89" s="10"/>
      <c r="D89" s="6"/>
      <c r="E89" s="2"/>
      <c r="F89" s="7">
        <f t="shared" si="54"/>
        <v>0</v>
      </c>
      <c r="G89" s="2"/>
      <c r="H89" s="6">
        <v>0</v>
      </c>
      <c r="I89" s="2"/>
      <c r="J89" s="7">
        <f t="shared" si="55"/>
        <v>0</v>
      </c>
      <c r="K89" s="2"/>
      <c r="L89" s="6">
        <f t="shared" si="56"/>
        <v>0</v>
      </c>
      <c r="M89" s="2"/>
      <c r="N89" s="7">
        <f t="shared" si="57"/>
        <v>0</v>
      </c>
      <c r="O89" s="10"/>
      <c r="P89" s="6">
        <v>786.23</v>
      </c>
      <c r="Q89" s="2"/>
      <c r="R89" s="7">
        <f t="shared" si="58"/>
        <v>7.9266277548819695E-4</v>
      </c>
      <c r="S89" s="2"/>
      <c r="T89" s="6">
        <v>6398.23</v>
      </c>
      <c r="U89" s="2"/>
      <c r="V89" s="7">
        <f t="shared" si="59"/>
        <v>6.9766008345470193E-4</v>
      </c>
      <c r="W89" s="2"/>
      <c r="X89" s="6">
        <f t="shared" si="60"/>
        <v>-5612</v>
      </c>
      <c r="Y89" s="2"/>
      <c r="Z89" s="7">
        <f t="shared" si="61"/>
        <v>-0.87711757783011868</v>
      </c>
    </row>
    <row r="90" spans="1:26" s="26" customFormat="1" outlineLevel="1" collapsed="1" x14ac:dyDescent="0.25">
      <c r="A90" s="25"/>
      <c r="B90" s="12" t="str">
        <f>CONCATENATE("     ","Travel                                            ")</f>
        <v xml:space="preserve">     Travel                                            </v>
      </c>
      <c r="C90" s="12"/>
      <c r="D90" s="1">
        <f>SUM(OSRRefD22_18x_0)</f>
        <v>0</v>
      </c>
      <c r="E90" s="1"/>
      <c r="F90" s="5">
        <f t="shared" si="54"/>
        <v>0</v>
      </c>
      <c r="G90" s="1"/>
      <c r="H90" s="1">
        <f>SUM(OSRRefH22_18x_0)</f>
        <v>0</v>
      </c>
      <c r="I90" s="1"/>
      <c r="J90" s="5">
        <f t="shared" si="55"/>
        <v>0</v>
      </c>
      <c r="K90" s="1"/>
      <c r="L90" s="1">
        <f t="shared" si="56"/>
        <v>0</v>
      </c>
      <c r="M90" s="1"/>
      <c r="N90" s="5">
        <f t="shared" si="57"/>
        <v>0</v>
      </c>
      <c r="O90" s="12"/>
      <c r="P90" s="1">
        <f>SUM(OSRRefP22_18x_0)</f>
        <v>160.30000000000001</v>
      </c>
      <c r="Q90" s="1"/>
      <c r="R90" s="5">
        <f t="shared" si="58"/>
        <v>1.6161154231046637E-4</v>
      </c>
      <c r="S90" s="1"/>
      <c r="T90" s="1">
        <f>SUM(OSRRefT22_18x_0)</f>
        <v>1894.26</v>
      </c>
      <c r="U90" s="1"/>
      <c r="V90" s="5">
        <f t="shared" si="59"/>
        <v>2.0654924716443512E-4</v>
      </c>
      <c r="W90" s="1"/>
      <c r="X90" s="1">
        <f t="shared" si="60"/>
        <v>-1733.96</v>
      </c>
      <c r="Y90" s="1"/>
      <c r="Z90" s="5">
        <f t="shared" si="61"/>
        <v>-0.91537592516338839</v>
      </c>
    </row>
    <row r="91" spans="1:26" s="23" customFormat="1" hidden="1" outlineLevel="2" x14ac:dyDescent="0.25">
      <c r="A91" s="27"/>
      <c r="B91" s="10" t="str">
        <f>CONCATENATE("          ", "6292", " - ", "TRAVEL/CONFERENCE")</f>
        <v xml:space="preserve">          6292 - TRAVEL/CONFERENCE</v>
      </c>
      <c r="C91" s="10"/>
      <c r="D91" s="6"/>
      <c r="E91" s="2"/>
      <c r="F91" s="7">
        <f t="shared" si="54"/>
        <v>0</v>
      </c>
      <c r="G91" s="2"/>
      <c r="H91" s="6"/>
      <c r="I91" s="2"/>
      <c r="J91" s="7">
        <f t="shared" si="55"/>
        <v>0</v>
      </c>
      <c r="K91" s="2"/>
      <c r="L91" s="6">
        <f t="shared" si="56"/>
        <v>0</v>
      </c>
      <c r="M91" s="2"/>
      <c r="N91" s="7">
        <f t="shared" si="57"/>
        <v>0</v>
      </c>
      <c r="O91" s="10"/>
      <c r="P91" s="6"/>
      <c r="Q91" s="2"/>
      <c r="R91" s="7">
        <f t="shared" si="58"/>
        <v>0</v>
      </c>
      <c r="S91" s="2"/>
      <c r="T91" s="6">
        <v>1894.26</v>
      </c>
      <c r="U91" s="2"/>
      <c r="V91" s="7">
        <f t="shared" si="59"/>
        <v>2.0654924716443512E-4</v>
      </c>
      <c r="W91" s="2"/>
      <c r="X91" s="6">
        <f t="shared" si="60"/>
        <v>-1894.26</v>
      </c>
      <c r="Y91" s="2"/>
      <c r="Z91" s="7">
        <f t="shared" si="61"/>
        <v>-1</v>
      </c>
    </row>
    <row r="92" spans="1:26" s="23" customFormat="1" hidden="1" outlineLevel="2" x14ac:dyDescent="0.25">
      <c r="A92" s="27"/>
      <c r="B92" s="10" t="str">
        <f>CONCATENATE("          ", "6294", " - ", "TRAVEL OPERATIONAL")</f>
        <v xml:space="preserve">          6294 - TRAVEL OPERATIONAL</v>
      </c>
      <c r="C92" s="10"/>
      <c r="D92" s="6"/>
      <c r="E92" s="2"/>
      <c r="F92" s="7">
        <f t="shared" si="54"/>
        <v>0</v>
      </c>
      <c r="G92" s="2"/>
      <c r="H92" s="6"/>
      <c r="I92" s="2"/>
      <c r="J92" s="7">
        <f t="shared" si="55"/>
        <v>0</v>
      </c>
      <c r="K92" s="2"/>
      <c r="L92" s="6">
        <f t="shared" si="56"/>
        <v>0</v>
      </c>
      <c r="M92" s="2"/>
      <c r="N92" s="7">
        <f t="shared" si="57"/>
        <v>0</v>
      </c>
      <c r="O92" s="10"/>
      <c r="P92" s="6">
        <v>160.30000000000001</v>
      </c>
      <c r="Q92" s="2"/>
      <c r="R92" s="7">
        <f t="shared" si="58"/>
        <v>1.6161154231046637E-4</v>
      </c>
      <c r="S92" s="2"/>
      <c r="T92" s="6"/>
      <c r="U92" s="2"/>
      <c r="V92" s="7">
        <f t="shared" si="59"/>
        <v>0</v>
      </c>
      <c r="W92" s="2"/>
      <c r="X92" s="6">
        <f t="shared" si="60"/>
        <v>160.30000000000001</v>
      </c>
      <c r="Y92" s="2"/>
      <c r="Z92" s="7">
        <f t="shared" si="61"/>
        <v>0</v>
      </c>
    </row>
    <row r="93" spans="1:26" s="57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4" customFormat="1" x14ac:dyDescent="0.25">
      <c r="A94" s="11"/>
      <c r="B94" s="29" t="s">
        <v>292</v>
      </c>
      <c r="C94" s="11"/>
      <c r="D94" s="4">
        <f>SUM(0)</f>
        <v>0</v>
      </c>
      <c r="E94" s="4"/>
      <c r="F94" s="13">
        <f>IF(D$12=0,0,D94/D$12)</f>
        <v>0</v>
      </c>
      <c r="G94" s="4"/>
      <c r="H94" s="4">
        <f>SUM(0)</f>
        <v>0</v>
      </c>
      <c r="I94" s="4"/>
      <c r="J94" s="13">
        <f>IF(H$12=0,0,H94/H$12)</f>
        <v>0</v>
      </c>
      <c r="K94" s="4"/>
      <c r="L94" s="4">
        <f>+D94-H94</f>
        <v>0</v>
      </c>
      <c r="M94" s="4"/>
      <c r="N94" s="13">
        <f>IF(H94=0,0,L94/H94)</f>
        <v>0</v>
      </c>
      <c r="O94" s="11"/>
      <c r="P94" s="4">
        <f>SUM(0)</f>
        <v>0</v>
      </c>
      <c r="Q94" s="4"/>
      <c r="R94" s="13">
        <f>IF(P$12=0,0,P94/P$12)</f>
        <v>0</v>
      </c>
      <c r="S94" s="4"/>
      <c r="T94" s="4">
        <f>SUM(0)</f>
        <v>0</v>
      </c>
      <c r="U94" s="4"/>
      <c r="V94" s="13">
        <f>IF(T$12=0,0,T94/T$12)</f>
        <v>0</v>
      </c>
      <c r="W94" s="4"/>
      <c r="X94" s="4">
        <f>+P94-T94</f>
        <v>0</v>
      </c>
      <c r="Y94" s="4"/>
      <c r="Z94" s="13">
        <f>IF(T94=0,0,X94/T94)</f>
        <v>0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x14ac:dyDescent="0.25">
      <c r="A96" s="11"/>
      <c r="B96" s="28" t="s">
        <v>276</v>
      </c>
      <c r="C96" s="28"/>
      <c r="D96" s="20">
        <f>+D24-D26+D94</f>
        <v>-175105.95</v>
      </c>
      <c r="E96" s="14"/>
      <c r="F96" s="21">
        <f>IF(D$12=0,0,D96/D$12)</f>
        <v>-3.4654750666452925</v>
      </c>
      <c r="G96" s="14"/>
      <c r="H96" s="20">
        <f>+H24-H26+H94</f>
        <v>-81845.259999999922</v>
      </c>
      <c r="I96" s="14"/>
      <c r="J96" s="21">
        <f>IF(H$12=0,0,H96/H$12)</f>
        <v>-0.6742220707205584</v>
      </c>
      <c r="K96" s="15"/>
      <c r="L96" s="20">
        <f>+D96-H96</f>
        <v>-93260.69000000009</v>
      </c>
      <c r="M96" s="15"/>
      <c r="N96" s="21">
        <f>IF(H96=0,0,L96/H96)</f>
        <v>1.1394757619439437</v>
      </c>
      <c r="O96" s="29"/>
      <c r="P96" s="20">
        <f>+P24-P26+P94</f>
        <v>-1916987.1400000001</v>
      </c>
      <c r="Q96" s="14"/>
      <c r="R96" s="21">
        <f>IF(P$12=0,0,P96/P$12)</f>
        <v>-1.9326715426371175</v>
      </c>
      <c r="S96" s="14"/>
      <c r="T96" s="20">
        <f>+T24-T26+T94</f>
        <v>2160063.8099999977</v>
      </c>
      <c r="U96" s="14"/>
      <c r="V96" s="21">
        <f>IF(T$12=0,0,T96/T$12)</f>
        <v>0.23553237347705222</v>
      </c>
      <c r="W96" s="15"/>
      <c r="X96" s="20">
        <f>+P96-T96</f>
        <v>-4077050.9499999979</v>
      </c>
      <c r="Y96" s="15"/>
      <c r="Z96" s="21">
        <f>IF(T96=0,0,X96/T96)</f>
        <v>-1.8874678290175151</v>
      </c>
    </row>
    <row r="97" spans="1:26" x14ac:dyDescent="0.25">
      <c r="A97" s="9"/>
      <c r="B97" s="11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x14ac:dyDescent="0.25">
      <c r="A98" s="51"/>
      <c r="B98" s="11" t="s">
        <v>127</v>
      </c>
      <c r="C98" s="11"/>
      <c r="D98" s="4">
        <v>15020.87</v>
      </c>
      <c r="E98" s="4"/>
      <c r="F98" s="13">
        <f>IF(D$12=0,0,D98/D$12)</f>
        <v>0.29727402446530388</v>
      </c>
      <c r="G98" s="4"/>
      <c r="H98" s="4">
        <v>58516.82</v>
      </c>
      <c r="I98" s="4"/>
      <c r="J98" s="13">
        <f>IF(H$12=0,0,H98/H$12)</f>
        <v>0.48204784922648208</v>
      </c>
      <c r="K98" s="4"/>
      <c r="L98" s="4">
        <f>+D98-H98</f>
        <v>-43495.95</v>
      </c>
      <c r="M98" s="4"/>
      <c r="N98" s="13">
        <f>IF(H98=0,0,L98/H98)</f>
        <v>-0.74330679623397167</v>
      </c>
      <c r="O98" s="11"/>
      <c r="P98" s="4">
        <v>211956.34</v>
      </c>
      <c r="Q98" s="4"/>
      <c r="R98" s="13">
        <f>IF(P$12=0,0,P98/P$12)</f>
        <v>0.21369052407911163</v>
      </c>
      <c r="S98" s="4"/>
      <c r="T98" s="4">
        <v>1086033.29</v>
      </c>
      <c r="U98" s="4"/>
      <c r="V98" s="13">
        <f>IF(T$12=0,0,T98/T$12)</f>
        <v>0.11842057502402767</v>
      </c>
      <c r="W98" s="4"/>
      <c r="X98" s="4">
        <f>+P98-T98</f>
        <v>-874076.95000000007</v>
      </c>
      <c r="Y98" s="4"/>
      <c r="Z98" s="13">
        <f>IF(T98=0,0,X98/T98)</f>
        <v>-0.80483439876875229</v>
      </c>
    </row>
    <row r="99" spans="1:26" x14ac:dyDescent="0.25">
      <c r="A99" s="9"/>
      <c r="B99" s="11"/>
      <c r="C99" s="11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1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4" customFormat="1" ht="15.75" thickBot="1" x14ac:dyDescent="0.3">
      <c r="A100" s="11"/>
      <c r="B100" s="28" t="s">
        <v>125</v>
      </c>
      <c r="C100" s="28"/>
      <c r="D100" s="35">
        <f>+D96-D98</f>
        <v>-190126.82</v>
      </c>
      <c r="E100" s="14"/>
      <c r="F100" s="36">
        <f>IF(D$12=0,0,D100/D$12)</f>
        <v>-3.7627490911105963</v>
      </c>
      <c r="G100" s="14"/>
      <c r="H100" s="35">
        <f>+H96-H98</f>
        <v>-140362.07999999993</v>
      </c>
      <c r="I100" s="14"/>
      <c r="J100" s="36">
        <f>IF(H$12=0,0,H100/H$12)</f>
        <v>-1.1562699199470405</v>
      </c>
      <c r="K100" s="15"/>
      <c r="L100" s="35">
        <f>D100-H100</f>
        <v>-49764.740000000078</v>
      </c>
      <c r="M100" s="15"/>
      <c r="N100" s="36">
        <f>IF(H100=0,0,L100/H100)</f>
        <v>0.3545454726803714</v>
      </c>
      <c r="O100" s="29"/>
      <c r="P100" s="35">
        <f>+P96-P98</f>
        <v>-2128943.48</v>
      </c>
      <c r="Q100" s="14"/>
      <c r="R100" s="36">
        <f>IF(P$12=0,0,P100/P$12)</f>
        <v>-2.1463620667162289</v>
      </c>
      <c r="S100" s="14"/>
      <c r="T100" s="35">
        <f>+T96-T98</f>
        <v>1074030.5199999977</v>
      </c>
      <c r="U100" s="14"/>
      <c r="V100" s="36">
        <f>IF(T$12=0,0,T100/T$12)</f>
        <v>0.11711179845302455</v>
      </c>
      <c r="W100" s="15"/>
      <c r="X100" s="35">
        <f>P100-T100</f>
        <v>-3202973.9999999977</v>
      </c>
      <c r="Y100" s="15"/>
      <c r="Z100" s="36">
        <f>IF(T100=0,0,X100/T100)</f>
        <v>-2.9822001706245782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ht="15.75" thickBot="1" x14ac:dyDescent="0.3">
      <c r="A103" s="11"/>
      <c r="B103" s="28" t="s">
        <v>293</v>
      </c>
      <c r="C103" s="28"/>
      <c r="D103" s="30">
        <f>SUM(D100:D102)</f>
        <v>-190126.82</v>
      </c>
      <c r="E103" s="14"/>
      <c r="F103" s="31">
        <f>IF(D$12=0,0,D103/D$12)</f>
        <v>-3.7627490911105963</v>
      </c>
      <c r="G103" s="14"/>
      <c r="H103" s="30">
        <f>SUM(H100:H102)</f>
        <v>-140362.07999999993</v>
      </c>
      <c r="I103" s="14"/>
      <c r="J103" s="31">
        <f>IF(H$12=0,0,H103/H$12)</f>
        <v>-1.1562699199470405</v>
      </c>
      <c r="K103" s="15"/>
      <c r="L103" s="30">
        <f>+D103-H103</f>
        <v>-49764.740000000078</v>
      </c>
      <c r="M103" s="15"/>
      <c r="N103" s="31">
        <f>IF(H103=0,0,L103/H103)</f>
        <v>0.3545454726803714</v>
      </c>
      <c r="O103" s="29"/>
      <c r="P103" s="30">
        <f>SUM(P100:P102)</f>
        <v>-2128943.48</v>
      </c>
      <c r="Q103" s="14"/>
      <c r="R103" s="31">
        <f>IF(P$12=0,0,P103/P$12)</f>
        <v>-2.1463620667162289</v>
      </c>
      <c r="S103" s="14"/>
      <c r="T103" s="30">
        <f>SUM(T100:T102)</f>
        <v>1074030.5199999977</v>
      </c>
      <c r="U103" s="14"/>
      <c r="V103" s="31">
        <f>IF(T$12=0,0,T103/T$12)</f>
        <v>0.11711179845302455</v>
      </c>
      <c r="W103" s="15"/>
      <c r="X103" s="30">
        <f>+P103-T103</f>
        <v>-3202973.9999999977</v>
      </c>
      <c r="Y103" s="15"/>
      <c r="Z103" s="31">
        <f>IF(T103=0,0,X103/T103)</f>
        <v>-2.9822001706245782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9">
        <v>44356.8932866088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2" t="s">
        <v>56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4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2">
        <f>SUM(OSRRefD22x_0)</f>
        <v>18469.2</v>
      </c>
      <c r="E18" s="22"/>
      <c r="F18" s="32">
        <f t="shared" ref="F18:F27" si="0">IF(D$12=0,0,D18/D$12)</f>
        <v>0</v>
      </c>
      <c r="G18" s="22"/>
      <c r="H18" s="22">
        <f>SUM(OSRRefH22x_0)</f>
        <v>14475.840000000002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3993.3599999999988</v>
      </c>
      <c r="M18" s="4"/>
      <c r="N18" s="32">
        <f t="shared" ref="N18:N27" si="3">IF(H18=0,0,L18/H18)</f>
        <v>0.27586378407056161</v>
      </c>
      <c r="O18" s="11"/>
      <c r="P18" s="22">
        <f>SUM(OSRRefP22x_0)</f>
        <v>190488.40000000002</v>
      </c>
      <c r="Q18" s="22"/>
      <c r="R18" s="32">
        <f t="shared" ref="R18:R27" si="4">IF(P$12=0,0,P18/P$12)</f>
        <v>0</v>
      </c>
      <c r="S18" s="22"/>
      <c r="T18" s="22">
        <f>SUM(OSRRefT22x_0)</f>
        <v>211339.99000000002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-20851.589999999997</v>
      </c>
      <c r="Y18" s="4"/>
      <c r="Z18" s="32">
        <f t="shared" ref="Z18:Z27" si="7">IF(T18=0,0,X18/T18)</f>
        <v>-9.866372190137794E-2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5934.6600000000008</v>
      </c>
      <c r="E19" s="1"/>
      <c r="F19" s="5">
        <f t="shared" si="0"/>
        <v>0</v>
      </c>
      <c r="G19" s="1"/>
      <c r="H19" s="1">
        <f>SUM(OSRRefH22_0x_0)</f>
        <v>5018.79</v>
      </c>
      <c r="I19" s="1"/>
      <c r="J19" s="5">
        <f t="shared" si="1"/>
        <v>0</v>
      </c>
      <c r="K19" s="1"/>
      <c r="L19" s="1">
        <f t="shared" si="2"/>
        <v>915.8700000000008</v>
      </c>
      <c r="M19" s="1"/>
      <c r="N19" s="5">
        <f t="shared" si="3"/>
        <v>0.18248820930941537</v>
      </c>
      <c r="O19" s="12"/>
      <c r="P19" s="1">
        <f>SUM(OSRRefP22_0x_0)</f>
        <v>63897.46</v>
      </c>
      <c r="Q19" s="1"/>
      <c r="R19" s="5">
        <f t="shared" si="4"/>
        <v>0</v>
      </c>
      <c r="S19" s="1"/>
      <c r="T19" s="1">
        <f>SUM(OSRRefT22_0x_0)</f>
        <v>65537.740000000005</v>
      </c>
      <c r="U19" s="1"/>
      <c r="V19" s="5">
        <f t="shared" si="5"/>
        <v>0</v>
      </c>
      <c r="W19" s="1"/>
      <c r="X19" s="1">
        <f t="shared" si="6"/>
        <v>-1640.2800000000061</v>
      </c>
      <c r="Y19" s="1"/>
      <c r="Z19" s="5">
        <f t="shared" si="7"/>
        <v>-2.5028022022120476E-2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691.15</v>
      </c>
      <c r="E20" s="2"/>
      <c r="F20" s="7">
        <f t="shared" si="0"/>
        <v>0</v>
      </c>
      <c r="G20" s="2"/>
      <c r="H20" s="6">
        <v>685.42</v>
      </c>
      <c r="I20" s="2"/>
      <c r="J20" s="7">
        <f t="shared" si="1"/>
        <v>0</v>
      </c>
      <c r="K20" s="2"/>
      <c r="L20" s="6">
        <f t="shared" si="2"/>
        <v>5.7300000000000182</v>
      </c>
      <c r="M20" s="2"/>
      <c r="N20" s="7">
        <f t="shared" si="3"/>
        <v>8.359837763706952E-3</v>
      </c>
      <c r="O20" s="10"/>
      <c r="P20" s="6">
        <v>8476.69</v>
      </c>
      <c r="Q20" s="2"/>
      <c r="R20" s="7">
        <f t="shared" si="4"/>
        <v>0</v>
      </c>
      <c r="S20" s="2"/>
      <c r="T20" s="6">
        <v>8560.7099999999991</v>
      </c>
      <c r="U20" s="2"/>
      <c r="V20" s="7">
        <f t="shared" si="5"/>
        <v>0</v>
      </c>
      <c r="W20" s="2"/>
      <c r="X20" s="6">
        <f t="shared" si="6"/>
        <v>-84.019999999998618</v>
      </c>
      <c r="Y20" s="2"/>
      <c r="Z20" s="7">
        <f t="shared" si="7"/>
        <v>-9.814606498759872E-3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582.98</v>
      </c>
      <c r="E21" s="2"/>
      <c r="F21" s="7">
        <f t="shared" si="0"/>
        <v>0</v>
      </c>
      <c r="G21" s="2"/>
      <c r="H21" s="6">
        <v>521.45000000000005</v>
      </c>
      <c r="I21" s="2"/>
      <c r="J21" s="7">
        <f t="shared" si="1"/>
        <v>0</v>
      </c>
      <c r="K21" s="2"/>
      <c r="L21" s="6">
        <f t="shared" si="2"/>
        <v>61.529999999999973</v>
      </c>
      <c r="M21" s="2"/>
      <c r="N21" s="7">
        <f t="shared" si="3"/>
        <v>0.11799789049765072</v>
      </c>
      <c r="O21" s="10"/>
      <c r="P21" s="6">
        <v>4744.07</v>
      </c>
      <c r="Q21" s="2"/>
      <c r="R21" s="7">
        <f t="shared" si="4"/>
        <v>0</v>
      </c>
      <c r="S21" s="2"/>
      <c r="T21" s="6">
        <v>3751.52</v>
      </c>
      <c r="U21" s="2"/>
      <c r="V21" s="7">
        <f t="shared" si="5"/>
        <v>0</v>
      </c>
      <c r="W21" s="2"/>
      <c r="X21" s="6">
        <f t="shared" si="6"/>
        <v>992.54999999999973</v>
      </c>
      <c r="Y21" s="2"/>
      <c r="Z21" s="7">
        <f t="shared" si="7"/>
        <v>0.26457275984134426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0"/>
      <c r="P22" s="6">
        <v>29886.05</v>
      </c>
      <c r="Q22" s="2"/>
      <c r="R22" s="7">
        <f t="shared" si="4"/>
        <v>0</v>
      </c>
      <c r="S22" s="2"/>
      <c r="T22" s="6">
        <v>30073.1</v>
      </c>
      <c r="U22" s="2"/>
      <c r="V22" s="7">
        <f t="shared" si="5"/>
        <v>0</v>
      </c>
      <c r="W22" s="2"/>
      <c r="X22" s="6">
        <f t="shared" si="6"/>
        <v>-187.04999999999927</v>
      </c>
      <c r="Y22" s="2"/>
      <c r="Z22" s="7">
        <f t="shared" si="7"/>
        <v>-6.2198443126913845E-3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35.33</v>
      </c>
      <c r="E23" s="2"/>
      <c r="F23" s="7">
        <f t="shared" si="0"/>
        <v>0</v>
      </c>
      <c r="G23" s="2"/>
      <c r="H23" s="6">
        <v>34.94</v>
      </c>
      <c r="I23" s="2"/>
      <c r="J23" s="7">
        <f t="shared" si="1"/>
        <v>0</v>
      </c>
      <c r="K23" s="2"/>
      <c r="L23" s="6">
        <f t="shared" si="2"/>
        <v>0.39000000000000057</v>
      </c>
      <c r="M23" s="2"/>
      <c r="N23" s="7">
        <f t="shared" si="3"/>
        <v>1.1161991986262181E-2</v>
      </c>
      <c r="O23" s="10"/>
      <c r="P23" s="6">
        <v>287.5</v>
      </c>
      <c r="Q23" s="2"/>
      <c r="R23" s="7">
        <f t="shared" si="4"/>
        <v>0</v>
      </c>
      <c r="S23" s="2"/>
      <c r="T23" s="6">
        <v>290.45</v>
      </c>
      <c r="U23" s="2"/>
      <c r="V23" s="7">
        <f t="shared" si="5"/>
        <v>0</v>
      </c>
      <c r="W23" s="2"/>
      <c r="X23" s="6">
        <f t="shared" si="6"/>
        <v>-2.9499999999999886</v>
      </c>
      <c r="Y23" s="2"/>
      <c r="Z23" s="7">
        <f t="shared" si="7"/>
        <v>-1.0156653468755342E-2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692.57</v>
      </c>
      <c r="E24" s="2"/>
      <c r="F24" s="7">
        <f t="shared" si="0"/>
        <v>0</v>
      </c>
      <c r="G24" s="2"/>
      <c r="H24" s="6">
        <v>625.82000000000005</v>
      </c>
      <c r="I24" s="2"/>
      <c r="J24" s="7">
        <f t="shared" si="1"/>
        <v>0</v>
      </c>
      <c r="K24" s="2"/>
      <c r="L24" s="6">
        <f t="shared" si="2"/>
        <v>66.75</v>
      </c>
      <c r="M24" s="2"/>
      <c r="N24" s="7">
        <f t="shared" si="3"/>
        <v>0.10666006199865775</v>
      </c>
      <c r="O24" s="10"/>
      <c r="P24" s="6">
        <v>8310.85</v>
      </c>
      <c r="Q24" s="2"/>
      <c r="R24" s="7">
        <f t="shared" si="4"/>
        <v>0</v>
      </c>
      <c r="S24" s="2"/>
      <c r="T24" s="6">
        <v>6713.37</v>
      </c>
      <c r="U24" s="2"/>
      <c r="V24" s="7">
        <f t="shared" si="5"/>
        <v>0</v>
      </c>
      <c r="W24" s="2"/>
      <c r="X24" s="6">
        <f t="shared" si="6"/>
        <v>1597.4800000000005</v>
      </c>
      <c r="Y24" s="2"/>
      <c r="Z24" s="7">
        <f t="shared" si="7"/>
        <v>0.2379550062040377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827.64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827.64</v>
      </c>
      <c r="M25" s="2"/>
      <c r="N25" s="7">
        <f t="shared" si="3"/>
        <v>0</v>
      </c>
      <c r="O25" s="10"/>
      <c r="P25" s="6">
        <v>7065.18</v>
      </c>
      <c r="Q25" s="2"/>
      <c r="R25" s="7">
        <f t="shared" si="4"/>
        <v>0</v>
      </c>
      <c r="S25" s="2"/>
      <c r="T25" s="6">
        <v>9187.49</v>
      </c>
      <c r="U25" s="2"/>
      <c r="V25" s="7">
        <f t="shared" si="5"/>
        <v>0</v>
      </c>
      <c r="W25" s="2"/>
      <c r="X25" s="6">
        <f t="shared" si="6"/>
        <v>-2122.3099999999995</v>
      </c>
      <c r="Y25" s="2"/>
      <c r="Z25" s="7">
        <f t="shared" si="7"/>
        <v>-0.23099997931970534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413.26</v>
      </c>
      <c r="E26" s="2"/>
      <c r="F26" s="7">
        <f t="shared" si="0"/>
        <v>0</v>
      </c>
      <c r="G26" s="2"/>
      <c r="H26" s="6">
        <v>413.26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4959.12</v>
      </c>
      <c r="Q26" s="2"/>
      <c r="R26" s="7">
        <f t="shared" si="4"/>
        <v>0</v>
      </c>
      <c r="S26" s="2"/>
      <c r="T26" s="6">
        <v>5736.51</v>
      </c>
      <c r="U26" s="2"/>
      <c r="V26" s="7">
        <f t="shared" si="5"/>
        <v>0</v>
      </c>
      <c r="W26" s="2"/>
      <c r="X26" s="6">
        <f t="shared" si="6"/>
        <v>-777.39000000000033</v>
      </c>
      <c r="Y26" s="2"/>
      <c r="Z26" s="7">
        <f t="shared" si="7"/>
        <v>-0.13551619364387063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0"/>
      <c r="P27" s="6">
        <v>168</v>
      </c>
      <c r="Q27" s="2"/>
      <c r="R27" s="7">
        <f t="shared" si="4"/>
        <v>0</v>
      </c>
      <c r="S27" s="2"/>
      <c r="T27" s="6">
        <v>1224.5899999999999</v>
      </c>
      <c r="U27" s="2"/>
      <c r="V27" s="7">
        <f t="shared" si="5"/>
        <v>0</v>
      </c>
      <c r="W27" s="2"/>
      <c r="X27" s="6">
        <f t="shared" si="6"/>
        <v>-1056.5899999999999</v>
      </c>
      <c r="Y27" s="2"/>
      <c r="Z27" s="7">
        <f t="shared" si="7"/>
        <v>-0.86281122661462206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8959.5400000000009</v>
      </c>
      <c r="E28" s="1"/>
      <c r="F28" s="5">
        <f t="shared" ref="F28:F36" si="8">IF(D$12=0,0,D28/D$12)</f>
        <v>0</v>
      </c>
      <c r="G28" s="1"/>
      <c r="H28" s="1">
        <f>SUM(OSRRefH22_1x_0)</f>
        <v>8959.5400000000009</v>
      </c>
      <c r="I28" s="1"/>
      <c r="J28" s="5">
        <f t="shared" ref="J28:J36" si="9">IF(H$12=0,0,H28/H$12)</f>
        <v>0</v>
      </c>
      <c r="K28" s="1"/>
      <c r="L28" s="1">
        <f t="shared" ref="L28:L36" si="10">+D28-H28</f>
        <v>0</v>
      </c>
      <c r="M28" s="1"/>
      <c r="N28" s="5">
        <f t="shared" ref="N28:N36" si="11">IF(H28=0,0,L28/H28)</f>
        <v>0</v>
      </c>
      <c r="O28" s="12"/>
      <c r="P28" s="1">
        <f>SUM(OSRRefP22_1x_0)</f>
        <v>100123.86</v>
      </c>
      <c r="Q28" s="1"/>
      <c r="R28" s="5">
        <f t="shared" ref="R28:R36" si="12">IF(P$12=0,0,P28/P$12)</f>
        <v>0</v>
      </c>
      <c r="S28" s="1"/>
      <c r="T28" s="1">
        <f>SUM(OSRRefT22_1x_0)</f>
        <v>91631.71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8492.1499999999942</v>
      </c>
      <c r="Y28" s="1"/>
      <c r="Z28" s="5">
        <f t="shared" ref="Z28:Z36" si="15">IF(T28=0,0,X28/T28)</f>
        <v>9.2676978308055075E-2</v>
      </c>
    </row>
    <row r="29" spans="1:26" s="23" customFormat="1" hidden="1" outlineLevel="2" x14ac:dyDescent="0.25">
      <c r="A29" s="27"/>
      <c r="B29" s="10" t="str">
        <f>CONCATENATE("          ", "6001", " - ", "ADMINISTRATIVE SALARIES")</f>
        <v xml:space="preserve">          6001 - ADMINISTRATIVE SALARIES</v>
      </c>
      <c r="C29" s="10"/>
      <c r="D29" s="6">
        <v>8959.5400000000009</v>
      </c>
      <c r="E29" s="2"/>
      <c r="F29" s="7">
        <f t="shared" si="8"/>
        <v>0</v>
      </c>
      <c r="G29" s="2"/>
      <c r="H29" s="6">
        <v>8959.5400000000009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>
        <v>100123.86</v>
      </c>
      <c r="Q29" s="2"/>
      <c r="R29" s="7">
        <f t="shared" si="12"/>
        <v>0</v>
      </c>
      <c r="S29" s="2"/>
      <c r="T29" s="6">
        <v>91631.71</v>
      </c>
      <c r="U29" s="2"/>
      <c r="V29" s="7">
        <f t="shared" si="13"/>
        <v>0</v>
      </c>
      <c r="W29" s="2"/>
      <c r="X29" s="6">
        <f t="shared" si="14"/>
        <v>8492.1499999999942</v>
      </c>
      <c r="Y29" s="2"/>
      <c r="Z29" s="7">
        <f t="shared" si="15"/>
        <v>9.2676978308055075E-2</v>
      </c>
    </row>
    <row r="30" spans="1:26" s="26" customFormat="1" outlineLevel="1" collapsed="1" x14ac:dyDescent="0.25">
      <c r="A30" s="25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293.82</v>
      </c>
      <c r="U30" s="1"/>
      <c r="V30" s="5">
        <f t="shared" si="13"/>
        <v>0</v>
      </c>
      <c r="W30" s="1"/>
      <c r="X30" s="1">
        <f t="shared" si="14"/>
        <v>-292.17</v>
      </c>
      <c r="Y30" s="1"/>
      <c r="Z30" s="5">
        <f t="shared" si="15"/>
        <v>-0.99438431692873197</v>
      </c>
    </row>
    <row r="31" spans="1:26" s="23" customFormat="1" hidden="1" outlineLevel="2" x14ac:dyDescent="0.25">
      <c r="A31" s="27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1.65</v>
      </c>
      <c r="Q31" s="2"/>
      <c r="R31" s="7">
        <f t="shared" si="12"/>
        <v>0</v>
      </c>
      <c r="S31" s="2"/>
      <c r="T31" s="6">
        <v>293.82</v>
      </c>
      <c r="U31" s="2"/>
      <c r="V31" s="7">
        <f t="shared" si="13"/>
        <v>0</v>
      </c>
      <c r="W31" s="2"/>
      <c r="X31" s="6">
        <f t="shared" si="14"/>
        <v>-292.17</v>
      </c>
      <c r="Y31" s="2"/>
      <c r="Z31" s="7">
        <f t="shared" si="15"/>
        <v>-0.99438431692873197</v>
      </c>
    </row>
    <row r="32" spans="1:26" s="26" customFormat="1" outlineLevel="1" collapsed="1" x14ac:dyDescent="0.25">
      <c r="A32" s="25"/>
      <c r="B32" s="12" t="str">
        <f>CONCATENATE("     ","Repair and Maintenance                            ")</f>
        <v xml:space="preserve">     Repair and Maintenance                            </v>
      </c>
      <c r="C32" s="12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2"/>
      <c r="P32" s="1">
        <f>SUM(OSRRefP22_3x_0)</f>
        <v>21000</v>
      </c>
      <c r="Q32" s="1"/>
      <c r="R32" s="5">
        <f t="shared" si="12"/>
        <v>0</v>
      </c>
      <c r="S32" s="1"/>
      <c r="T32" s="1">
        <f>SUM(OSRRefT22_3x_0)</f>
        <v>46585.43</v>
      </c>
      <c r="U32" s="1"/>
      <c r="V32" s="5">
        <f t="shared" si="13"/>
        <v>0</v>
      </c>
      <c r="W32" s="1"/>
      <c r="X32" s="1">
        <f t="shared" si="14"/>
        <v>-25585.43</v>
      </c>
      <c r="Y32" s="1"/>
      <c r="Z32" s="5">
        <f t="shared" si="15"/>
        <v>-0.54921528039990186</v>
      </c>
    </row>
    <row r="33" spans="1:26" s="23" customFormat="1" hidden="1" outlineLevel="2" x14ac:dyDescent="0.25">
      <c r="A33" s="27"/>
      <c r="B33" s="10" t="str">
        <f>CONCATENATE("          ", "6371", " - ", "COMPUTER SOFTWARE MAINTENANCE")</f>
        <v xml:space="preserve">          6371 - COMPUTER SOFTWARE MAINTENANCE</v>
      </c>
      <c r="C33" s="10"/>
      <c r="D33" s="6">
        <v>3500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3500</v>
      </c>
      <c r="M33" s="2"/>
      <c r="N33" s="7">
        <f t="shared" si="11"/>
        <v>0</v>
      </c>
      <c r="O33" s="10"/>
      <c r="P33" s="6">
        <v>21000</v>
      </c>
      <c r="Q33" s="2"/>
      <c r="R33" s="7">
        <f t="shared" si="12"/>
        <v>0</v>
      </c>
      <c r="S33" s="2"/>
      <c r="T33" s="6">
        <v>46585.43</v>
      </c>
      <c r="U33" s="2"/>
      <c r="V33" s="7">
        <f t="shared" si="13"/>
        <v>0</v>
      </c>
      <c r="W33" s="2"/>
      <c r="X33" s="6">
        <f t="shared" si="14"/>
        <v>-25585.43</v>
      </c>
      <c r="Y33" s="2"/>
      <c r="Z33" s="7">
        <f t="shared" si="15"/>
        <v>-0.54921528039990186</v>
      </c>
    </row>
    <row r="34" spans="1:26" s="26" customFormat="1" outlineLevel="1" collapsed="1" x14ac:dyDescent="0.25">
      <c r="A34" s="25"/>
      <c r="B34" s="12" t="str">
        <f>CONCATENATE("     ","Supplies                                          ")</f>
        <v xml:space="preserve">     Supplies                                          </v>
      </c>
      <c r="C34" s="12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547.51</v>
      </c>
      <c r="I34" s="1"/>
      <c r="J34" s="5">
        <f t="shared" si="9"/>
        <v>0</v>
      </c>
      <c r="K34" s="1"/>
      <c r="L34" s="1">
        <f t="shared" si="10"/>
        <v>-547.51</v>
      </c>
      <c r="M34" s="1"/>
      <c r="N34" s="5">
        <f t="shared" si="11"/>
        <v>-1</v>
      </c>
      <c r="O34" s="12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4465.32</v>
      </c>
      <c r="U34" s="1"/>
      <c r="V34" s="5">
        <f t="shared" si="13"/>
        <v>0</v>
      </c>
      <c r="W34" s="1"/>
      <c r="X34" s="1">
        <f t="shared" si="14"/>
        <v>473.88000000000011</v>
      </c>
      <c r="Y34" s="1"/>
      <c r="Z34" s="5">
        <f t="shared" si="15"/>
        <v>0.10612453306817879</v>
      </c>
    </row>
    <row r="35" spans="1:26" s="23" customFormat="1" hidden="1" outlineLevel="2" x14ac:dyDescent="0.25">
      <c r="A35" s="27"/>
      <c r="B35" s="10" t="str">
        <f>CONCATENATE("          ", "6235", " - ", "COVID-19 EXPENSES")</f>
        <v xml:space="preserve">          6235 - COVID-19 EXPENSES</v>
      </c>
      <c r="C35" s="10"/>
      <c r="D35" s="6"/>
      <c r="E35" s="2"/>
      <c r="F35" s="7">
        <f t="shared" si="8"/>
        <v>0</v>
      </c>
      <c r="G35" s="2"/>
      <c r="H35" s="6">
        <v>529.20000000000005</v>
      </c>
      <c r="I35" s="2"/>
      <c r="J35" s="7">
        <f t="shared" si="9"/>
        <v>0</v>
      </c>
      <c r="K35" s="2"/>
      <c r="L35" s="6">
        <f t="shared" si="10"/>
        <v>-529.20000000000005</v>
      </c>
      <c r="M35" s="2"/>
      <c r="N35" s="7">
        <f t="shared" si="11"/>
        <v>-1</v>
      </c>
      <c r="O35" s="10"/>
      <c r="P35" s="6">
        <v>4939.2</v>
      </c>
      <c r="Q35" s="2"/>
      <c r="R35" s="7">
        <f t="shared" si="12"/>
        <v>0</v>
      </c>
      <c r="S35" s="2"/>
      <c r="T35" s="6">
        <v>529.20000000000005</v>
      </c>
      <c r="U35" s="2"/>
      <c r="V35" s="7">
        <f t="shared" si="13"/>
        <v>0</v>
      </c>
      <c r="W35" s="2"/>
      <c r="X35" s="6">
        <f t="shared" si="14"/>
        <v>4410</v>
      </c>
      <c r="Y35" s="2"/>
      <c r="Z35" s="7">
        <f t="shared" si="15"/>
        <v>8.3333333333333321</v>
      </c>
    </row>
    <row r="36" spans="1:26" s="23" customFormat="1" hidden="1" outlineLevel="2" x14ac:dyDescent="0.25">
      <c r="A36" s="27"/>
      <c r="B36" s="10" t="str">
        <f>CONCATENATE("          ", "6241", " - ", "OFFICE EXPENSE")</f>
        <v xml:space="preserve">          6241 - OFFICE EXPENSE</v>
      </c>
      <c r="C36" s="10"/>
      <c r="D36" s="6"/>
      <c r="E36" s="2"/>
      <c r="F36" s="7">
        <f t="shared" si="8"/>
        <v>0</v>
      </c>
      <c r="G36" s="2"/>
      <c r="H36" s="6">
        <v>18.309999999999999</v>
      </c>
      <c r="I36" s="2"/>
      <c r="J36" s="7">
        <f t="shared" si="9"/>
        <v>0</v>
      </c>
      <c r="K36" s="2"/>
      <c r="L36" s="6">
        <f t="shared" si="10"/>
        <v>-18.309999999999999</v>
      </c>
      <c r="M36" s="2"/>
      <c r="N36" s="7">
        <f t="shared" si="11"/>
        <v>-1</v>
      </c>
      <c r="O36" s="10"/>
      <c r="P36" s="6"/>
      <c r="Q36" s="2"/>
      <c r="R36" s="7">
        <f t="shared" si="12"/>
        <v>0</v>
      </c>
      <c r="S36" s="2"/>
      <c r="T36" s="6">
        <v>3936.12</v>
      </c>
      <c r="U36" s="2"/>
      <c r="V36" s="7">
        <f t="shared" si="13"/>
        <v>0</v>
      </c>
      <c r="W36" s="2"/>
      <c r="X36" s="6">
        <f t="shared" si="14"/>
        <v>-3936.12</v>
      </c>
      <c r="Y36" s="2"/>
      <c r="Z36" s="7">
        <f t="shared" si="15"/>
        <v>-1</v>
      </c>
    </row>
    <row r="37" spans="1:26" s="26" customFormat="1" outlineLevel="1" collapsed="1" x14ac:dyDescent="0.25">
      <c r="A37" s="25"/>
      <c r="B37" s="12" t="str">
        <f>CONCATENATE("     ","Telephone/Data Lines                              ")</f>
        <v xml:space="preserve">     Telephone/Data Lines                              </v>
      </c>
      <c r="C37" s="12"/>
      <c r="D37" s="1">
        <f>SUM(OSRRefD22_5x_0)</f>
        <v>75</v>
      </c>
      <c r="E37" s="1"/>
      <c r="F37" s="5">
        <f t="shared" ref="F37:F42" si="16">IF(D$12=0,0,D37/D$12)</f>
        <v>0</v>
      </c>
      <c r="G37" s="1"/>
      <c r="H37" s="1">
        <f>SUM(OSRRefH22_5x_0)</f>
        <v>-50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125</v>
      </c>
      <c r="M37" s="1"/>
      <c r="N37" s="5">
        <f t="shared" ref="N37:N42" si="19">IF(H37=0,0,L37/H37)</f>
        <v>-2.5</v>
      </c>
      <c r="O37" s="12"/>
      <c r="P37" s="1">
        <f>SUM(OSRRefP22_5x_0)</f>
        <v>475</v>
      </c>
      <c r="Q37" s="1"/>
      <c r="R37" s="5">
        <f t="shared" ref="R37:R42" si="20">IF(P$12=0,0,P37/P$12)</f>
        <v>0</v>
      </c>
      <c r="S37" s="1"/>
      <c r="T37" s="1">
        <f>SUM(OSRRefT22_5x_0)</f>
        <v>-450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925</v>
      </c>
      <c r="Y37" s="1"/>
      <c r="Z37" s="5">
        <f t="shared" ref="Z37:Z42" si="23">IF(T37=0,0,X37/T37)</f>
        <v>-2.0555555555555554</v>
      </c>
    </row>
    <row r="38" spans="1:26" s="23" customFormat="1" hidden="1" outlineLevel="2" x14ac:dyDescent="0.25">
      <c r="A38" s="27"/>
      <c r="B38" s="10" t="str">
        <f>CONCATENATE("          ", "6309", " - ", "TELEPHONE")</f>
        <v xml:space="preserve">          6309 - TELEPHONE</v>
      </c>
      <c r="C38" s="10"/>
      <c r="D38" s="6">
        <v>75</v>
      </c>
      <c r="E38" s="2"/>
      <c r="F38" s="7">
        <f t="shared" si="16"/>
        <v>0</v>
      </c>
      <c r="G38" s="2"/>
      <c r="H38" s="6">
        <v>-50</v>
      </c>
      <c r="I38" s="2"/>
      <c r="J38" s="7">
        <f t="shared" si="17"/>
        <v>0</v>
      </c>
      <c r="K38" s="2"/>
      <c r="L38" s="6">
        <f t="shared" si="18"/>
        <v>125</v>
      </c>
      <c r="M38" s="2"/>
      <c r="N38" s="7">
        <f t="shared" si="19"/>
        <v>-2.5</v>
      </c>
      <c r="O38" s="10"/>
      <c r="P38" s="6">
        <v>475</v>
      </c>
      <c r="Q38" s="2"/>
      <c r="R38" s="7">
        <f t="shared" si="20"/>
        <v>0</v>
      </c>
      <c r="S38" s="2"/>
      <c r="T38" s="6">
        <v>-450</v>
      </c>
      <c r="U38" s="2"/>
      <c r="V38" s="7">
        <f t="shared" si="21"/>
        <v>0</v>
      </c>
      <c r="W38" s="2"/>
      <c r="X38" s="6">
        <f t="shared" si="22"/>
        <v>925</v>
      </c>
      <c r="Y38" s="2"/>
      <c r="Z38" s="7">
        <f t="shared" si="23"/>
        <v>-2.0555555555555554</v>
      </c>
    </row>
    <row r="39" spans="1:26" s="26" customFormat="1" outlineLevel="1" collapsed="1" x14ac:dyDescent="0.25">
      <c r="A39" s="25"/>
      <c r="B39" s="12" t="str">
        <f>CONCATENATE("     ","Training                                          ")</f>
        <v xml:space="preserve">     Training                                          </v>
      </c>
      <c r="C39" s="12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SUM(OSRRefP22_6x_0)</f>
        <v>51.23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-2898.99</v>
      </c>
      <c r="Y39" s="1"/>
      <c r="Z39" s="5">
        <f t="shared" si="23"/>
        <v>-0.98263519330761773</v>
      </c>
    </row>
    <row r="40" spans="1:26" s="23" customFormat="1" hidden="1" outlineLevel="2" x14ac:dyDescent="0.25">
      <c r="A40" s="27"/>
      <c r="B40" s="10" t="str">
        <f>CONCATENATE("          ", "6376", " - ", "TRAINING")</f>
        <v xml:space="preserve">          6376 - TRAINING</v>
      </c>
      <c r="C40" s="10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>
        <v>51.23</v>
      </c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-2898.99</v>
      </c>
      <c r="Y40" s="2"/>
      <c r="Z40" s="7">
        <f t="shared" si="23"/>
        <v>-0.98263519330761773</v>
      </c>
    </row>
    <row r="41" spans="1:26" s="26" customFormat="1" outlineLevel="1" collapsed="1" x14ac:dyDescent="0.25">
      <c r="A41" s="25"/>
      <c r="B41" s="12" t="str">
        <f>CONCATENATE("     ","Travel                                            ")</f>
        <v xml:space="preserve">     Travel                                            </v>
      </c>
      <c r="C41" s="12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3" customFormat="1" hidden="1" outlineLevel="2" x14ac:dyDescent="0.25">
      <c r="A42" s="27"/>
      <c r="B42" s="10" t="str">
        <f>CONCATENATE("          ", "6292", " - ", "TRAVEL/CONFERENCE")</f>
        <v xml:space="preserve">          6292 - TRAVEL/CONFERENCE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57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4" customFormat="1" x14ac:dyDescent="0.25">
      <c r="A44" s="11"/>
      <c r="B44" s="29" t="s">
        <v>292</v>
      </c>
      <c r="C44" s="11"/>
      <c r="D44" s="4">
        <f>SUM(0)</f>
        <v>0</v>
      </c>
      <c r="E44" s="4"/>
      <c r="F44" s="13">
        <f>IF(D$12=0,0,D44/D$12)</f>
        <v>0</v>
      </c>
      <c r="G44" s="4"/>
      <c r="H44" s="4">
        <f>SUM(0)</f>
        <v>0</v>
      </c>
      <c r="I44" s="4"/>
      <c r="J44" s="13">
        <f>IF(H$12=0,0,H44/H$12)</f>
        <v>0</v>
      </c>
      <c r="K44" s="4"/>
      <c r="L44" s="4">
        <f>+D44-H44</f>
        <v>0</v>
      </c>
      <c r="M44" s="4"/>
      <c r="N44" s="13">
        <f>IF(H44=0,0,L44/H44)</f>
        <v>0</v>
      </c>
      <c r="O44" s="11"/>
      <c r="P44" s="4">
        <f>SUM(0)</f>
        <v>0</v>
      </c>
      <c r="Q44" s="4"/>
      <c r="R44" s="13">
        <f>IF(P$12=0,0,P44/P$12)</f>
        <v>0</v>
      </c>
      <c r="S44" s="4"/>
      <c r="T44" s="4">
        <f>SUM(0)</f>
        <v>0</v>
      </c>
      <c r="U44" s="4"/>
      <c r="V44" s="13">
        <f>IF(T$12=0,0,T44/T$12)</f>
        <v>0</v>
      </c>
      <c r="W44" s="4"/>
      <c r="X44" s="4">
        <f>+P44-T44</f>
        <v>0</v>
      </c>
      <c r="Y44" s="4"/>
      <c r="Z44" s="13">
        <f>IF(T44=0,0,X44/T44)</f>
        <v>0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8" t="s">
        <v>276</v>
      </c>
      <c r="C46" s="28"/>
      <c r="D46" s="20">
        <f>+D16-D18+D44</f>
        <v>-18469.2</v>
      </c>
      <c r="E46" s="14"/>
      <c r="F46" s="21">
        <f>IF(D$12=0,0,D46/D$12)</f>
        <v>0</v>
      </c>
      <c r="G46" s="14"/>
      <c r="H46" s="20">
        <f>+H16-H18+H44</f>
        <v>-14475.840000000002</v>
      </c>
      <c r="I46" s="14"/>
      <c r="J46" s="21">
        <f>IF(H$12=0,0,H46/H$12)</f>
        <v>0</v>
      </c>
      <c r="K46" s="15"/>
      <c r="L46" s="20">
        <f>+D46-H46</f>
        <v>-3993.3599999999988</v>
      </c>
      <c r="M46" s="15"/>
      <c r="N46" s="21">
        <f>IF(H46=0,0,L46/H46)</f>
        <v>0.27586378407056161</v>
      </c>
      <c r="O46" s="29"/>
      <c r="P46" s="20">
        <f>+P16-P18+P44</f>
        <v>-190488.40000000002</v>
      </c>
      <c r="Q46" s="14"/>
      <c r="R46" s="21">
        <f>IF(P$12=0,0,P46/P$12)</f>
        <v>0</v>
      </c>
      <c r="S46" s="14"/>
      <c r="T46" s="20">
        <f>+T16-T18+T44</f>
        <v>-211339.99000000002</v>
      </c>
      <c r="U46" s="14"/>
      <c r="V46" s="21">
        <f>IF(T$12=0,0,T46/T$12)</f>
        <v>0</v>
      </c>
      <c r="W46" s="15"/>
      <c r="X46" s="20">
        <f>+P46-T46</f>
        <v>20851.589999999997</v>
      </c>
      <c r="Y46" s="15"/>
      <c r="Z46" s="21">
        <f>IF(T46=0,0,X46/T46)</f>
        <v>-9.866372190137794E-2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8" t="s">
        <v>125</v>
      </c>
      <c r="C50" s="28"/>
      <c r="D50" s="35">
        <f>+D46-D48</f>
        <v>-18469.2</v>
      </c>
      <c r="E50" s="14"/>
      <c r="F50" s="36">
        <f>IF(D$12=0,0,D50/D$12)</f>
        <v>0</v>
      </c>
      <c r="G50" s="14"/>
      <c r="H50" s="35">
        <f>+H46-H48</f>
        <v>-14475.840000000002</v>
      </c>
      <c r="I50" s="14"/>
      <c r="J50" s="36">
        <f>IF(H$12=0,0,H50/H$12)</f>
        <v>0</v>
      </c>
      <c r="K50" s="15"/>
      <c r="L50" s="35">
        <f>D50-H50</f>
        <v>-3993.3599999999988</v>
      </c>
      <c r="M50" s="15"/>
      <c r="N50" s="36">
        <f>IF(H50=0,0,L50/H50)</f>
        <v>0.27586378407056161</v>
      </c>
      <c r="O50" s="29"/>
      <c r="P50" s="35">
        <f>+P46-P48</f>
        <v>-190488.40000000002</v>
      </c>
      <c r="Q50" s="14"/>
      <c r="R50" s="36">
        <f>IF(P$12=0,0,P50/P$12)</f>
        <v>0</v>
      </c>
      <c r="S50" s="14"/>
      <c r="T50" s="35">
        <f>+T46-T48</f>
        <v>-211339.99000000002</v>
      </c>
      <c r="U50" s="14"/>
      <c r="V50" s="36">
        <f>IF(T$12=0,0,T50/T$12)</f>
        <v>0</v>
      </c>
      <c r="W50" s="15"/>
      <c r="X50" s="35">
        <f>P50-T50</f>
        <v>20851.589999999997</v>
      </c>
      <c r="Y50" s="15"/>
      <c r="Z50" s="36">
        <f>IF(T50=0,0,X50/T50)</f>
        <v>-9.866372190137794E-2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8" t="s">
        <v>293</v>
      </c>
      <c r="C53" s="28"/>
      <c r="D53" s="30">
        <f>SUM(D50:D52)</f>
        <v>-18469.2</v>
      </c>
      <c r="E53" s="14"/>
      <c r="F53" s="31">
        <f>IF(D$12=0,0,D53/D$12)</f>
        <v>0</v>
      </c>
      <c r="G53" s="14"/>
      <c r="H53" s="30">
        <f>SUM(H50:H52)</f>
        <v>-14475.840000000002</v>
      </c>
      <c r="I53" s="14"/>
      <c r="J53" s="31">
        <f>IF(H$12=0,0,H53/H$12)</f>
        <v>0</v>
      </c>
      <c r="K53" s="15"/>
      <c r="L53" s="30">
        <f>+D53-H53</f>
        <v>-3993.3599999999988</v>
      </c>
      <c r="M53" s="15"/>
      <c r="N53" s="31">
        <f>IF(H53=0,0,L53/H53)</f>
        <v>0.27586378407056161</v>
      </c>
      <c r="O53" s="29"/>
      <c r="P53" s="30">
        <f>SUM(P50:P52)</f>
        <v>-190488.40000000002</v>
      </c>
      <c r="Q53" s="14"/>
      <c r="R53" s="31">
        <f>IF(P$12=0,0,P53/P$12)</f>
        <v>0</v>
      </c>
      <c r="S53" s="14"/>
      <c r="T53" s="30">
        <f>SUM(T50:T52)</f>
        <v>-211339.99000000002</v>
      </c>
      <c r="U53" s="14"/>
      <c r="V53" s="31">
        <f>IF(T$12=0,0,T53/T$12)</f>
        <v>0</v>
      </c>
      <c r="W53" s="15"/>
      <c r="X53" s="30">
        <f>+P53-T53</f>
        <v>20851.589999999997</v>
      </c>
      <c r="Y53" s="15"/>
      <c r="Z53" s="31">
        <f>IF(T53=0,0,X53/T53)</f>
        <v>-9.866372190137794E-2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9">
        <v>44356.893348032405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2" t="s">
        <v>56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4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-83.2</v>
      </c>
      <c r="E12" s="4"/>
      <c r="F12" s="13"/>
      <c r="G12" s="4"/>
      <c r="H12" s="4">
        <f>SUM(OSRRefH13x_0)</f>
        <v>127434.58000000002</v>
      </c>
      <c r="I12" s="4"/>
      <c r="J12" s="13"/>
      <c r="K12" s="4"/>
      <c r="L12" s="4">
        <f t="shared" ref="L12:L16" si="0">+D12-H12</f>
        <v>-127517.78000000001</v>
      </c>
      <c r="M12" s="4"/>
      <c r="N12" s="13">
        <f t="shared" ref="N12:N16" si="1">IF(H12=0,0,L12/H12)</f>
        <v>-1.0006528840131148</v>
      </c>
      <c r="O12" s="11"/>
      <c r="P12" s="4">
        <f>SUM(OSRRefP13x_0)</f>
        <v>23558.720000000001</v>
      </c>
      <c r="Q12" s="4"/>
      <c r="R12" s="13"/>
      <c r="S12" s="4"/>
      <c r="T12" s="4">
        <f>SUM(OSRRefT13x_0)</f>
        <v>3791024.5700000003</v>
      </c>
      <c r="U12" s="4"/>
      <c r="V12" s="13"/>
      <c r="W12" s="4"/>
      <c r="X12" s="4">
        <f t="shared" ref="X12:X16" si="2">+P12-T12</f>
        <v>-3767465.85</v>
      </c>
      <c r="Y12" s="4"/>
      <c r="Z12" s="13">
        <f t="shared" ref="Z12:Z16" si="3">IF(T12=0,0,X12/T12)</f>
        <v>-0.9937856588463102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4" si="4">0</f>
        <v>0</v>
      </c>
      <c r="E13" s="2"/>
      <c r="F13" s="19"/>
      <c r="G13" s="2"/>
      <c r="H13" s="2">
        <f>--59.42</f>
        <v>59.42</v>
      </c>
      <c r="I13" s="2"/>
      <c r="J13" s="19"/>
      <c r="K13" s="2"/>
      <c r="L13" s="2">
        <f t="shared" si="0"/>
        <v>-59.42</v>
      </c>
      <c r="M13" s="2"/>
      <c r="N13" s="19">
        <f t="shared" si="1"/>
        <v>-1</v>
      </c>
      <c r="O13" s="10"/>
      <c r="P13" s="2">
        <f>--217.65</f>
        <v>217.65</v>
      </c>
      <c r="Q13" s="2"/>
      <c r="R13" s="19"/>
      <c r="S13" s="2"/>
      <c r="T13" s="2">
        <f>--21441.08</f>
        <v>21441.08</v>
      </c>
      <c r="U13" s="2"/>
      <c r="V13" s="19"/>
      <c r="W13" s="2"/>
      <c r="X13" s="2">
        <f t="shared" si="2"/>
        <v>-21223.43</v>
      </c>
      <c r="Y13" s="2"/>
      <c r="Z13" s="19">
        <f t="shared" si="3"/>
        <v>-0.98984892552054271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--131157.92</f>
        <v>131157.92000000001</v>
      </c>
      <c r="I14" s="2"/>
      <c r="J14" s="19"/>
      <c r="K14" s="2"/>
      <c r="L14" s="2">
        <f t="shared" si="0"/>
        <v>-131157.92000000001</v>
      </c>
      <c r="M14" s="2"/>
      <c r="N14" s="19">
        <f t="shared" si="1"/>
        <v>-1</v>
      </c>
      <c r="O14" s="10"/>
      <c r="P14" s="2">
        <f>--16096</f>
        <v>16096</v>
      </c>
      <c r="Q14" s="2"/>
      <c r="R14" s="19"/>
      <c r="S14" s="2"/>
      <c r="T14" s="2">
        <f>--3524998.13</f>
        <v>3524998.13</v>
      </c>
      <c r="U14" s="2"/>
      <c r="V14" s="19"/>
      <c r="W14" s="2"/>
      <c r="X14" s="2">
        <f t="shared" si="2"/>
        <v>-3508902.13</v>
      </c>
      <c r="Y14" s="2"/>
      <c r="Z14" s="19">
        <f t="shared" si="3"/>
        <v>-0.99543375644287224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>-83.2</f>
        <v>-83.2</v>
      </c>
      <c r="E15" s="2"/>
      <c r="F15" s="19"/>
      <c r="G15" s="2"/>
      <c r="H15" s="2">
        <f>-4166.46</f>
        <v>-4166.46</v>
      </c>
      <c r="I15" s="2"/>
      <c r="J15" s="19"/>
      <c r="K15" s="2"/>
      <c r="L15" s="2">
        <f t="shared" si="0"/>
        <v>4083.26</v>
      </c>
      <c r="M15" s="2"/>
      <c r="N15" s="19">
        <f t="shared" si="1"/>
        <v>-0.98003100953807309</v>
      </c>
      <c r="O15" s="10"/>
      <c r="P15" s="2">
        <f>--7245.07</f>
        <v>7245.07</v>
      </c>
      <c r="Q15" s="2"/>
      <c r="R15" s="19"/>
      <c r="S15" s="2"/>
      <c r="T15" s="2">
        <f>--244201.66</f>
        <v>244201.66</v>
      </c>
      <c r="U15" s="2"/>
      <c r="V15" s="19"/>
      <c r="W15" s="2"/>
      <c r="X15" s="2">
        <f t="shared" si="2"/>
        <v>-236956.59</v>
      </c>
      <c r="Y15" s="2"/>
      <c r="Z15" s="19">
        <f t="shared" si="3"/>
        <v>-0.97033161035842264</v>
      </c>
    </row>
    <row r="16" spans="1:26" s="23" customFormat="1" hidden="1" outlineLevel="1" x14ac:dyDescent="0.25">
      <c r="A16" s="44"/>
      <c r="B16" s="10" t="str">
        <f>CONCATENATE("          ", "4159", " - ", "NON-TAXABLE SALES-FOOD")</f>
        <v xml:space="preserve">          4159 - NON-TAXABLE SALES-FOOD</v>
      </c>
      <c r="C16" s="10"/>
      <c r="D16" s="2">
        <f>0</f>
        <v>0</v>
      </c>
      <c r="E16" s="2"/>
      <c r="F16" s="19"/>
      <c r="G16" s="2"/>
      <c r="H16" s="2">
        <f>--383.7</f>
        <v>383.7</v>
      </c>
      <c r="I16" s="2"/>
      <c r="J16" s="19"/>
      <c r="K16" s="2"/>
      <c r="L16" s="2">
        <f t="shared" si="0"/>
        <v>-383.7</v>
      </c>
      <c r="M16" s="2"/>
      <c r="N16" s="19">
        <f t="shared" si="1"/>
        <v>-1</v>
      </c>
      <c r="O16" s="10"/>
      <c r="P16" s="2">
        <f>0</f>
        <v>0</v>
      </c>
      <c r="Q16" s="2"/>
      <c r="R16" s="19"/>
      <c r="S16" s="2"/>
      <c r="T16" s="2">
        <f>--383.7</f>
        <v>383.7</v>
      </c>
      <c r="U16" s="2"/>
      <c r="V16" s="19"/>
      <c r="W16" s="2"/>
      <c r="X16" s="2">
        <f t="shared" si="2"/>
        <v>-383.7</v>
      </c>
      <c r="Y16" s="2"/>
      <c r="Z16" s="19">
        <f t="shared" si="3"/>
        <v>-1</v>
      </c>
    </row>
    <row r="17" spans="1:26" x14ac:dyDescent="0.25">
      <c r="A17" s="9"/>
      <c r="B17" s="11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collapsed="1" x14ac:dyDescent="0.25">
      <c r="A18" s="11"/>
      <c r="B18" s="29" t="s">
        <v>256</v>
      </c>
      <c r="C18" s="11"/>
      <c r="D18" s="4">
        <f>SUM(OSRRefD16x_0)</f>
        <v>0</v>
      </c>
      <c r="E18" s="4"/>
      <c r="F18" s="13">
        <f t="shared" ref="F18:F20" si="5">IF(D$12=0,0,D18/D$12)</f>
        <v>0</v>
      </c>
      <c r="G18" s="4"/>
      <c r="H18" s="4">
        <f>SUM(OSRRefH16x_0)</f>
        <v>19654.559999999998</v>
      </c>
      <c r="I18" s="4"/>
      <c r="J18" s="13">
        <f t="shared" ref="J18:J20" si="6">IF(H$12=0,0,H18/H$12)</f>
        <v>0.15423254818276166</v>
      </c>
      <c r="K18" s="4"/>
      <c r="L18" s="4">
        <f t="shared" ref="L18:L20" si="7">+D18-H18</f>
        <v>-19654.559999999998</v>
      </c>
      <c r="M18" s="4"/>
      <c r="N18" s="13">
        <f t="shared" ref="N18:N20" si="8">IF(H18=0,0,L18/H18)</f>
        <v>-1</v>
      </c>
      <c r="O18" s="11"/>
      <c r="P18" s="4">
        <f>SUM(OSRRefP16x_0)</f>
        <v>25322.92</v>
      </c>
      <c r="Q18" s="4"/>
      <c r="R18" s="13">
        <f t="shared" ref="R18:R20" si="9">IF(P$12=0,0,P18/P$12)</f>
        <v>1.0748852229662731</v>
      </c>
      <c r="S18" s="4"/>
      <c r="T18" s="4">
        <f>SUM(OSRRefT16x_0)</f>
        <v>894533.58</v>
      </c>
      <c r="U18" s="4"/>
      <c r="V18" s="13">
        <f t="shared" ref="V18:V20" si="10">IF(T$12=0,0,T18/T$12)</f>
        <v>0.23596090278043222</v>
      </c>
      <c r="W18" s="4"/>
      <c r="X18" s="4">
        <f t="shared" ref="X18:X20" si="11">+P18-T18</f>
        <v>-869210.65999999992</v>
      </c>
      <c r="Y18" s="4"/>
      <c r="Z18" s="13">
        <f t="shared" ref="Z18:Z20" si="12">IF(T18=0,0,X18/T18)</f>
        <v>-0.97169148194526134</v>
      </c>
    </row>
    <row r="19" spans="1:26" s="23" customFormat="1" hidden="1" outlineLevel="1" x14ac:dyDescent="0.25">
      <c r="A19" s="44"/>
      <c r="B19" s="10" t="str">
        <f>CONCATENATE("          ", "5053", " - ", "PURCHASES @ COST-FOOD")</f>
        <v xml:space="preserve">          5053 - PURCHASES @ COST-FOOD</v>
      </c>
      <c r="C19" s="10"/>
      <c r="D19" s="2"/>
      <c r="E19" s="2"/>
      <c r="F19" s="19">
        <f t="shared" si="5"/>
        <v>0</v>
      </c>
      <c r="G19" s="2"/>
      <c r="H19" s="2">
        <v>13513.56</v>
      </c>
      <c r="I19" s="2"/>
      <c r="J19" s="19">
        <f t="shared" si="6"/>
        <v>0.10604311639744878</v>
      </c>
      <c r="K19" s="2"/>
      <c r="L19" s="2">
        <f t="shared" si="7"/>
        <v>-13513.56</v>
      </c>
      <c r="M19" s="2"/>
      <c r="N19" s="19">
        <f t="shared" si="8"/>
        <v>-1</v>
      </c>
      <c r="O19" s="10"/>
      <c r="P19" s="2">
        <v>14410.92</v>
      </c>
      <c r="Q19" s="2"/>
      <c r="R19" s="19">
        <f t="shared" si="9"/>
        <v>0.61170216378478959</v>
      </c>
      <c r="S19" s="2"/>
      <c r="T19" s="2">
        <v>900169.58</v>
      </c>
      <c r="U19" s="2"/>
      <c r="V19" s="19">
        <f t="shared" si="10"/>
        <v>0.23744757212164411</v>
      </c>
      <c r="W19" s="2"/>
      <c r="X19" s="2">
        <f t="shared" si="11"/>
        <v>-885758.65999999992</v>
      </c>
      <c r="Y19" s="2"/>
      <c r="Z19" s="19">
        <f t="shared" si="12"/>
        <v>-0.98399088314004124</v>
      </c>
    </row>
    <row r="20" spans="1:26" s="23" customFormat="1" hidden="1" outlineLevel="1" x14ac:dyDescent="0.25">
      <c r="A20" s="44"/>
      <c r="B20" s="10" t="str">
        <f>CONCATENATE("          ", "5059", " - ", "PURCHASES @ COST-FOOD")</f>
        <v xml:space="preserve">          5059 - PURCHASES @ COST-FOOD</v>
      </c>
      <c r="C20" s="10"/>
      <c r="D20" s="2"/>
      <c r="E20" s="2"/>
      <c r="F20" s="19">
        <f t="shared" si="5"/>
        <v>0</v>
      </c>
      <c r="G20" s="2"/>
      <c r="H20" s="2">
        <v>6141</v>
      </c>
      <c r="I20" s="2"/>
      <c r="J20" s="19">
        <f t="shared" si="6"/>
        <v>4.8189431785312896E-2</v>
      </c>
      <c r="K20" s="2"/>
      <c r="L20" s="2">
        <f t="shared" si="7"/>
        <v>-6141</v>
      </c>
      <c r="M20" s="2"/>
      <c r="N20" s="19">
        <f t="shared" si="8"/>
        <v>-1</v>
      </c>
      <c r="O20" s="10"/>
      <c r="P20" s="2">
        <v>10912</v>
      </c>
      <c r="Q20" s="2"/>
      <c r="R20" s="19">
        <f t="shared" si="9"/>
        <v>0.4631830591814835</v>
      </c>
      <c r="S20" s="2"/>
      <c r="T20" s="2">
        <v>-5636</v>
      </c>
      <c r="U20" s="2"/>
      <c r="V20" s="19">
        <f t="shared" si="10"/>
        <v>-1.4866693412118929E-3</v>
      </c>
      <c r="W20" s="2"/>
      <c r="X20" s="2">
        <f t="shared" si="11"/>
        <v>16548</v>
      </c>
      <c r="Y20" s="2"/>
      <c r="Z20" s="19">
        <f t="shared" si="12"/>
        <v>-2.9361249112845988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107</v>
      </c>
      <c r="C22" s="28"/>
      <c r="D22" s="20">
        <f>D12-D18</f>
        <v>-83.2</v>
      </c>
      <c r="E22" s="14"/>
      <c r="F22" s="21">
        <f>IF(D$12=0,0,D22/D$12)</f>
        <v>1</v>
      </c>
      <c r="G22" s="14"/>
      <c r="H22" s="20">
        <f>H12-H18</f>
        <v>107780.02000000002</v>
      </c>
      <c r="I22" s="14"/>
      <c r="J22" s="21">
        <f>IF(H$12=0,0,H22/H$12)</f>
        <v>0.84576745181723834</v>
      </c>
      <c r="K22" s="15"/>
      <c r="L22" s="20">
        <f>+D22-H22</f>
        <v>-107863.22000000002</v>
      </c>
      <c r="M22" s="15"/>
      <c r="N22" s="21">
        <f>IF(H22=0,0,L22/H22)</f>
        <v>-1.0007719427032951</v>
      </c>
      <c r="O22" s="29"/>
      <c r="P22" s="20">
        <f>P12-P18</f>
        <v>-1764.1999999999971</v>
      </c>
      <c r="Q22" s="14"/>
      <c r="R22" s="21">
        <f>IF(P$12=0,0,P22/P$12)</f>
        <v>-7.4885222966273077E-2</v>
      </c>
      <c r="S22" s="14"/>
      <c r="T22" s="20">
        <f>T12-T18</f>
        <v>2896490.99</v>
      </c>
      <c r="U22" s="14"/>
      <c r="V22" s="21">
        <f>IF(T$12=0,0,T22/T$12)</f>
        <v>0.76403909721956775</v>
      </c>
      <c r="W22" s="15"/>
      <c r="X22" s="20">
        <f>+P22-T22</f>
        <v>-2898255.1900000004</v>
      </c>
      <c r="Y22" s="15"/>
      <c r="Z22" s="21">
        <f>IF(T22=0,0,X22/T22)</f>
        <v>-1.0006090818186872</v>
      </c>
    </row>
    <row r="23" spans="1:26" x14ac:dyDescent="0.25">
      <c r="A23" s="9"/>
      <c r="B23" s="11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x14ac:dyDescent="0.25">
      <c r="A24" s="11"/>
      <c r="B24" s="29" t="s">
        <v>294</v>
      </c>
      <c r="C24" s="11"/>
      <c r="D24" s="22">
        <f>SUM(OSRRefD22x_0)</f>
        <v>47602.65</v>
      </c>
      <c r="E24" s="22"/>
      <c r="F24" s="32">
        <f t="shared" ref="F24:F34" si="13">IF(D$12=0,0,D24/D$12)</f>
        <v>-572.14723557692309</v>
      </c>
      <c r="G24" s="22"/>
      <c r="H24" s="22">
        <f>SUM(OSRRefH22x_0)</f>
        <v>79068.72000000003</v>
      </c>
      <c r="I24" s="22"/>
      <c r="J24" s="32">
        <f t="shared" ref="J24:J34" si="14">IF(H$12=0,0,H24/H$12)</f>
        <v>0.62046518299820985</v>
      </c>
      <c r="K24" s="4"/>
      <c r="L24" s="22">
        <f t="shared" ref="L24:L34" si="15">+D24-H24</f>
        <v>-31466.070000000029</v>
      </c>
      <c r="M24" s="4"/>
      <c r="N24" s="32">
        <f t="shared" ref="N24:N34" si="16">IF(H24=0,0,L24/H24)</f>
        <v>-0.39795851001508581</v>
      </c>
      <c r="O24" s="11"/>
      <c r="P24" s="22">
        <f>SUM(OSRRefP22x_0)</f>
        <v>562783.65999999992</v>
      </c>
      <c r="Q24" s="22"/>
      <c r="R24" s="32">
        <f t="shared" ref="R24:R34" si="17">IF(P$12=0,0,P24/P$12)</f>
        <v>23.888549972154678</v>
      </c>
      <c r="S24" s="22"/>
      <c r="T24" s="22">
        <f>SUM(OSRRefT22x_0)</f>
        <v>1688866.8700000003</v>
      </c>
      <c r="U24" s="22"/>
      <c r="V24" s="32">
        <f t="shared" ref="V24:V34" si="18">IF(T$12=0,0,T24/T$12)</f>
        <v>0.44549087952758909</v>
      </c>
      <c r="W24" s="4"/>
      <c r="X24" s="22">
        <f t="shared" ref="X24:X34" si="19">+P24-T24</f>
        <v>-1126083.2100000004</v>
      </c>
      <c r="Y24" s="4"/>
      <c r="Z24" s="32">
        <f t="shared" ref="Z24:Z34" si="20">IF(T24=0,0,X24/T24)</f>
        <v>-0.66676848838890435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20216.71</v>
      </c>
      <c r="E25" s="1"/>
      <c r="F25" s="5">
        <f t="shared" si="13"/>
        <v>-242.98930288461537</v>
      </c>
      <c r="G25" s="1"/>
      <c r="H25" s="1">
        <f>SUM(OSRRefH22_0x_0)</f>
        <v>19917.289999999997</v>
      </c>
      <c r="I25" s="1"/>
      <c r="J25" s="5">
        <f t="shared" si="14"/>
        <v>0.15629423348042576</v>
      </c>
      <c r="K25" s="1"/>
      <c r="L25" s="1">
        <f t="shared" si="15"/>
        <v>299.42000000000189</v>
      </c>
      <c r="M25" s="1"/>
      <c r="N25" s="5">
        <f t="shared" si="16"/>
        <v>1.5033169673183548E-2</v>
      </c>
      <c r="O25" s="12"/>
      <c r="P25" s="1">
        <f>SUM(OSRRefP22_0x_0)</f>
        <v>229984.17</v>
      </c>
      <c r="Q25" s="1"/>
      <c r="R25" s="5">
        <f t="shared" si="17"/>
        <v>9.7621674692003637</v>
      </c>
      <c r="S25" s="1"/>
      <c r="T25" s="1">
        <f>SUM(OSRRefT22_0x_0)</f>
        <v>287358.15000000002</v>
      </c>
      <c r="U25" s="1"/>
      <c r="V25" s="5">
        <f t="shared" si="18"/>
        <v>7.5799601056133481E-2</v>
      </c>
      <c r="W25" s="1"/>
      <c r="X25" s="1">
        <f t="shared" si="19"/>
        <v>-57373.98000000001</v>
      </c>
      <c r="Y25" s="1"/>
      <c r="Z25" s="5">
        <f t="shared" si="20"/>
        <v>-0.19966018016193382</v>
      </c>
    </row>
    <row r="26" spans="1:26" s="23" customFormat="1" hidden="1" outlineLevel="2" x14ac:dyDescent="0.25">
      <c r="A26" s="27"/>
      <c r="B26" s="10" t="str">
        <f>CONCATENATE("          ", "6111", " - ", "F.I.C.A.")</f>
        <v xml:space="preserve">          6111 - F.I.C.A.</v>
      </c>
      <c r="C26" s="10"/>
      <c r="D26" s="6">
        <v>1817.28</v>
      </c>
      <c r="E26" s="2"/>
      <c r="F26" s="7">
        <f t="shared" si="13"/>
        <v>-21.842307692307692</v>
      </c>
      <c r="G26" s="2"/>
      <c r="H26" s="6">
        <v>2033.36</v>
      </c>
      <c r="I26" s="2"/>
      <c r="J26" s="7">
        <f t="shared" si="14"/>
        <v>1.5956108616672175E-2</v>
      </c>
      <c r="K26" s="2"/>
      <c r="L26" s="6">
        <f t="shared" si="15"/>
        <v>-216.07999999999993</v>
      </c>
      <c r="M26" s="2"/>
      <c r="N26" s="7">
        <f t="shared" si="16"/>
        <v>-0.1062674587874257</v>
      </c>
      <c r="O26" s="10"/>
      <c r="P26" s="6">
        <v>22521.15</v>
      </c>
      <c r="Q26" s="2"/>
      <c r="R26" s="7">
        <f t="shared" si="17"/>
        <v>0.95595813354885162</v>
      </c>
      <c r="S26" s="2"/>
      <c r="T26" s="6">
        <v>45670.54</v>
      </c>
      <c r="U26" s="2"/>
      <c r="V26" s="7">
        <f t="shared" si="18"/>
        <v>1.2047017674696842E-2</v>
      </c>
      <c r="W26" s="2"/>
      <c r="X26" s="6">
        <f t="shared" si="19"/>
        <v>-23149.39</v>
      </c>
      <c r="Y26" s="2"/>
      <c r="Z26" s="7">
        <f t="shared" si="20"/>
        <v>-0.50687795677476111</v>
      </c>
    </row>
    <row r="27" spans="1:26" s="23" customFormat="1" hidden="1" outlineLevel="2" x14ac:dyDescent="0.25">
      <c r="A27" s="27"/>
      <c r="B27" s="10" t="str">
        <f>CONCATENATE("          ", "6112", " - ", "COMPENSATION INSURANCE")</f>
        <v xml:space="preserve">          6112 - COMPENSATION INSURANCE</v>
      </c>
      <c r="C27" s="10"/>
      <c r="D27" s="6">
        <v>1511.29</v>
      </c>
      <c r="E27" s="2"/>
      <c r="F27" s="7">
        <f t="shared" si="13"/>
        <v>-18.164543269230769</v>
      </c>
      <c r="G27" s="2"/>
      <c r="H27" s="6">
        <v>2055.98</v>
      </c>
      <c r="I27" s="2"/>
      <c r="J27" s="7">
        <f t="shared" si="14"/>
        <v>1.6133611457737763E-2</v>
      </c>
      <c r="K27" s="2"/>
      <c r="L27" s="6">
        <f t="shared" si="15"/>
        <v>-544.69000000000005</v>
      </c>
      <c r="M27" s="2"/>
      <c r="N27" s="7">
        <f t="shared" si="16"/>
        <v>-0.26492961993793718</v>
      </c>
      <c r="O27" s="10"/>
      <c r="P27" s="6">
        <v>12742.68</v>
      </c>
      <c r="Q27" s="2"/>
      <c r="R27" s="7">
        <f t="shared" si="17"/>
        <v>0.54089016720772609</v>
      </c>
      <c r="S27" s="2"/>
      <c r="T27" s="6">
        <v>31113.119999999999</v>
      </c>
      <c r="U27" s="2"/>
      <c r="V27" s="7">
        <f t="shared" si="18"/>
        <v>8.2070478377300506E-3</v>
      </c>
      <c r="W27" s="2"/>
      <c r="X27" s="6">
        <f t="shared" si="19"/>
        <v>-18370.439999999999</v>
      </c>
      <c r="Y27" s="2"/>
      <c r="Z27" s="7">
        <f t="shared" si="20"/>
        <v>-0.59044030299757788</v>
      </c>
    </row>
    <row r="28" spans="1:26" s="23" customFormat="1" hidden="1" outlineLevel="2" x14ac:dyDescent="0.25">
      <c r="A28" s="27"/>
      <c r="B28" s="10" t="str">
        <f>CONCATENATE("          ", "6113", " - ", "GROUP INSURANCE")</f>
        <v xml:space="preserve">          6113 - GROUP INSURANCE</v>
      </c>
      <c r="C28" s="10"/>
      <c r="D28" s="6">
        <v>11992.75</v>
      </c>
      <c r="E28" s="2"/>
      <c r="F28" s="7">
        <f t="shared" si="13"/>
        <v>-144.14362980769229</v>
      </c>
      <c r="G28" s="2"/>
      <c r="H28" s="6">
        <v>9826.58</v>
      </c>
      <c r="I28" s="2"/>
      <c r="J28" s="7">
        <f t="shared" si="14"/>
        <v>7.7110781076847421E-2</v>
      </c>
      <c r="K28" s="2"/>
      <c r="L28" s="6">
        <f t="shared" si="15"/>
        <v>2166.17</v>
      </c>
      <c r="M28" s="2"/>
      <c r="N28" s="7">
        <f t="shared" si="16"/>
        <v>0.22043986819422426</v>
      </c>
      <c r="O28" s="10"/>
      <c r="P28" s="6">
        <v>134101.98000000001</v>
      </c>
      <c r="Q28" s="2"/>
      <c r="R28" s="7">
        <f t="shared" si="17"/>
        <v>5.6922438910093591</v>
      </c>
      <c r="S28" s="2"/>
      <c r="T28" s="6">
        <v>137501.45000000001</v>
      </c>
      <c r="U28" s="2"/>
      <c r="V28" s="7">
        <f t="shared" si="18"/>
        <v>3.6270260838747348E-2</v>
      </c>
      <c r="W28" s="2"/>
      <c r="X28" s="6">
        <f t="shared" si="19"/>
        <v>-3399.4700000000012</v>
      </c>
      <c r="Y28" s="2"/>
      <c r="Z28" s="7">
        <f t="shared" si="20"/>
        <v>-2.4723157464884921E-2</v>
      </c>
    </row>
    <row r="29" spans="1:26" s="23" customFormat="1" hidden="1" outlineLevel="2" x14ac:dyDescent="0.25">
      <c r="A29" s="27"/>
      <c r="B29" s="10" t="str">
        <f>CONCATENATE("          ", "6114", " - ", "STATE UNEMPLOYMENT INSURANCE")</f>
        <v xml:space="preserve">          6114 - STATE UNEMPLOYMENT INSURANCE</v>
      </c>
      <c r="C29" s="10"/>
      <c r="D29" s="6">
        <v>91.59</v>
      </c>
      <c r="E29" s="2"/>
      <c r="F29" s="7">
        <f t="shared" si="13"/>
        <v>-1.1008413461538462</v>
      </c>
      <c r="G29" s="2"/>
      <c r="H29" s="6">
        <v>137.77000000000001</v>
      </c>
      <c r="I29" s="2"/>
      <c r="J29" s="7">
        <f t="shared" si="14"/>
        <v>1.0811037318128251E-3</v>
      </c>
      <c r="K29" s="2"/>
      <c r="L29" s="6">
        <f t="shared" si="15"/>
        <v>-46.180000000000007</v>
      </c>
      <c r="M29" s="2"/>
      <c r="N29" s="7">
        <f t="shared" si="16"/>
        <v>-0.33519634172896862</v>
      </c>
      <c r="O29" s="10"/>
      <c r="P29" s="6">
        <v>772.27</v>
      </c>
      <c r="Q29" s="2"/>
      <c r="R29" s="7">
        <f t="shared" si="17"/>
        <v>3.2780643430542912E-2</v>
      </c>
      <c r="S29" s="2"/>
      <c r="T29" s="6">
        <v>2396.13</v>
      </c>
      <c r="U29" s="2"/>
      <c r="V29" s="7">
        <f t="shared" si="18"/>
        <v>6.3205340818986043E-4</v>
      </c>
      <c r="W29" s="2"/>
      <c r="X29" s="6">
        <f t="shared" si="19"/>
        <v>-1623.8600000000001</v>
      </c>
      <c r="Y29" s="2"/>
      <c r="Z29" s="7">
        <f t="shared" si="20"/>
        <v>-0.67770112639965274</v>
      </c>
    </row>
    <row r="30" spans="1:26" s="23" customFormat="1" hidden="1" outlineLevel="2" x14ac:dyDescent="0.25">
      <c r="A30" s="27"/>
      <c r="B30" s="10" t="str">
        <f>CONCATENATE("          ", "6115", " - ", "P.E.R.S.")</f>
        <v xml:space="preserve">          6115 - P.E.R.S.</v>
      </c>
      <c r="C30" s="10"/>
      <c r="D30" s="6">
        <v>950.04</v>
      </c>
      <c r="E30" s="2"/>
      <c r="F30" s="7">
        <f t="shared" si="13"/>
        <v>-11.418749999999999</v>
      </c>
      <c r="G30" s="2"/>
      <c r="H30" s="6">
        <v>872.8</v>
      </c>
      <c r="I30" s="2"/>
      <c r="J30" s="7">
        <f t="shared" si="14"/>
        <v>6.8490044068101443E-3</v>
      </c>
      <c r="K30" s="2"/>
      <c r="L30" s="6">
        <f t="shared" si="15"/>
        <v>77.240000000000009</v>
      </c>
      <c r="M30" s="2"/>
      <c r="N30" s="7">
        <f t="shared" si="16"/>
        <v>8.8496791934005517E-2</v>
      </c>
      <c r="O30" s="10"/>
      <c r="P30" s="6">
        <v>11480.91</v>
      </c>
      <c r="Q30" s="2"/>
      <c r="R30" s="7">
        <f t="shared" si="17"/>
        <v>0.48733165469091694</v>
      </c>
      <c r="S30" s="2"/>
      <c r="T30" s="6">
        <v>13858.67</v>
      </c>
      <c r="U30" s="2"/>
      <c r="V30" s="7">
        <f t="shared" si="18"/>
        <v>3.6556529096829354E-3</v>
      </c>
      <c r="W30" s="2"/>
      <c r="X30" s="6">
        <f t="shared" si="19"/>
        <v>-2377.7600000000002</v>
      </c>
      <c r="Y30" s="2"/>
      <c r="Z30" s="7">
        <f t="shared" si="20"/>
        <v>-0.17157201953722834</v>
      </c>
    </row>
    <row r="31" spans="1:26" s="23" customFormat="1" hidden="1" outlineLevel="2" x14ac:dyDescent="0.25">
      <c r="A31" s="27"/>
      <c r="B31" s="10" t="str">
        <f>CONCATENATE("          ", "6117", " - ", "RETIREMENT STAFF HOURLY")</f>
        <v xml:space="preserve">          6117 - RETIREMENT STAFF HOURLY</v>
      </c>
      <c r="C31" s="10"/>
      <c r="D31" s="6">
        <v>330.17</v>
      </c>
      <c r="E31" s="2"/>
      <c r="F31" s="7">
        <f t="shared" si="13"/>
        <v>-3.968389423076923</v>
      </c>
      <c r="G31" s="2"/>
      <c r="H31" s="6">
        <v>374.48</v>
      </c>
      <c r="I31" s="2"/>
      <c r="J31" s="7">
        <f t="shared" si="14"/>
        <v>2.9386058321061673E-3</v>
      </c>
      <c r="K31" s="2"/>
      <c r="L31" s="6">
        <f t="shared" si="15"/>
        <v>-44.31</v>
      </c>
      <c r="M31" s="2"/>
      <c r="N31" s="7">
        <f t="shared" si="16"/>
        <v>-0.11832407605212561</v>
      </c>
      <c r="O31" s="10"/>
      <c r="P31" s="6">
        <v>4380.1899999999996</v>
      </c>
      <c r="Q31" s="2"/>
      <c r="R31" s="7">
        <f t="shared" si="17"/>
        <v>0.18592648497032094</v>
      </c>
      <c r="S31" s="2"/>
      <c r="T31" s="6">
        <v>5652.33</v>
      </c>
      <c r="U31" s="2"/>
      <c r="V31" s="7">
        <f t="shared" si="18"/>
        <v>1.490976883855965E-3</v>
      </c>
      <c r="W31" s="2"/>
      <c r="X31" s="6">
        <f t="shared" si="19"/>
        <v>-1272.1400000000003</v>
      </c>
      <c r="Y31" s="2"/>
      <c r="Z31" s="7">
        <f t="shared" si="20"/>
        <v>-0.22506470782845311</v>
      </c>
    </row>
    <row r="32" spans="1:26" s="23" customFormat="1" hidden="1" outlineLevel="2" x14ac:dyDescent="0.25">
      <c r="A32" s="27"/>
      <c r="B32" s="10" t="str">
        <f>CONCATENATE("          ", "6118", " - ", "VACATION")</f>
        <v xml:space="preserve">          6118 - VACATION</v>
      </c>
      <c r="C32" s="10"/>
      <c r="D32" s="6">
        <v>1628.16</v>
      </c>
      <c r="E32" s="2"/>
      <c r="F32" s="7">
        <f t="shared" si="13"/>
        <v>-19.569230769230771</v>
      </c>
      <c r="G32" s="2"/>
      <c r="H32" s="6">
        <v>2342.59</v>
      </c>
      <c r="I32" s="2"/>
      <c r="J32" s="7">
        <f t="shared" si="14"/>
        <v>1.838268702262761E-2</v>
      </c>
      <c r="K32" s="2"/>
      <c r="L32" s="6">
        <f t="shared" si="15"/>
        <v>-714.43000000000006</v>
      </c>
      <c r="M32" s="2"/>
      <c r="N32" s="7">
        <f t="shared" si="16"/>
        <v>-0.30497440866732978</v>
      </c>
      <c r="O32" s="10"/>
      <c r="P32" s="6">
        <v>20990.04</v>
      </c>
      <c r="Q32" s="2"/>
      <c r="R32" s="7">
        <f t="shared" si="17"/>
        <v>0.8909669116148925</v>
      </c>
      <c r="S32" s="2"/>
      <c r="T32" s="6">
        <v>28022.22</v>
      </c>
      <c r="U32" s="2"/>
      <c r="V32" s="7">
        <f t="shared" si="18"/>
        <v>7.3917273503716699E-3</v>
      </c>
      <c r="W32" s="2"/>
      <c r="X32" s="6">
        <f t="shared" si="19"/>
        <v>-7032.18</v>
      </c>
      <c r="Y32" s="2"/>
      <c r="Z32" s="7">
        <f t="shared" si="20"/>
        <v>-0.25095013885409506</v>
      </c>
    </row>
    <row r="33" spans="1:26" s="23" customFormat="1" hidden="1" outlineLevel="2" x14ac:dyDescent="0.25">
      <c r="A33" s="27"/>
      <c r="B33" s="10" t="str">
        <f>CONCATENATE("          ", "6119", " - ", "SICK LEAVE")</f>
        <v xml:space="preserve">          6119 - SICK LEAVE</v>
      </c>
      <c r="C33" s="10"/>
      <c r="D33" s="6">
        <v>1078.6199999999999</v>
      </c>
      <c r="E33" s="2"/>
      <c r="F33" s="7">
        <f t="shared" si="13"/>
        <v>-12.964182692307691</v>
      </c>
      <c r="G33" s="2"/>
      <c r="H33" s="6">
        <v>1608.53</v>
      </c>
      <c r="I33" s="2"/>
      <c r="J33" s="7">
        <f t="shared" si="14"/>
        <v>1.2622398096340881E-2</v>
      </c>
      <c r="K33" s="2"/>
      <c r="L33" s="6">
        <f t="shared" si="15"/>
        <v>-529.91000000000008</v>
      </c>
      <c r="M33" s="2"/>
      <c r="N33" s="7">
        <f t="shared" si="16"/>
        <v>-0.32943743666577563</v>
      </c>
      <c r="O33" s="10"/>
      <c r="P33" s="6">
        <v>14038.07</v>
      </c>
      <c r="Q33" s="2"/>
      <c r="R33" s="7">
        <f t="shared" si="17"/>
        <v>0.59587575216310562</v>
      </c>
      <c r="S33" s="2"/>
      <c r="T33" s="6">
        <v>11631.64</v>
      </c>
      <c r="U33" s="2"/>
      <c r="V33" s="7">
        <f t="shared" si="18"/>
        <v>3.0682048573481015E-3</v>
      </c>
      <c r="W33" s="2"/>
      <c r="X33" s="6">
        <f t="shared" si="19"/>
        <v>2406.4300000000003</v>
      </c>
      <c r="Y33" s="2"/>
      <c r="Z33" s="7">
        <f t="shared" si="20"/>
        <v>0.20688656113841217</v>
      </c>
    </row>
    <row r="34" spans="1:26" s="23" customFormat="1" hidden="1" outlineLevel="2" x14ac:dyDescent="0.25">
      <c r="A34" s="27"/>
      <c r="B34" s="10" t="str">
        <f>CONCATENATE("          ", "6156", " - ", "EMPLOYEE MEALS")</f>
        <v xml:space="preserve">          6156 - EMPLOYEE MEALS</v>
      </c>
      <c r="C34" s="10"/>
      <c r="D34" s="6">
        <v>816.81</v>
      </c>
      <c r="E34" s="2"/>
      <c r="F34" s="7">
        <f t="shared" si="13"/>
        <v>-9.817427884615384</v>
      </c>
      <c r="G34" s="2"/>
      <c r="H34" s="6">
        <v>665.2</v>
      </c>
      <c r="I34" s="2"/>
      <c r="J34" s="7">
        <f t="shared" si="14"/>
        <v>5.2199332394707934E-3</v>
      </c>
      <c r="K34" s="2"/>
      <c r="L34" s="6">
        <f t="shared" si="15"/>
        <v>151.6099999999999</v>
      </c>
      <c r="M34" s="2"/>
      <c r="N34" s="7">
        <f t="shared" si="16"/>
        <v>0.22791641611545382</v>
      </c>
      <c r="O34" s="10"/>
      <c r="P34" s="6">
        <v>8956.8799999999992</v>
      </c>
      <c r="Q34" s="2"/>
      <c r="R34" s="7">
        <f t="shared" si="17"/>
        <v>0.38019383056464862</v>
      </c>
      <c r="S34" s="2"/>
      <c r="T34" s="6">
        <v>11512.05</v>
      </c>
      <c r="U34" s="2"/>
      <c r="V34" s="7">
        <f t="shared" si="18"/>
        <v>3.0366592955107115E-3</v>
      </c>
      <c r="W34" s="2"/>
      <c r="X34" s="6">
        <f t="shared" si="19"/>
        <v>-2555.17</v>
      </c>
      <c r="Y34" s="2"/>
      <c r="Z34" s="7">
        <f t="shared" si="20"/>
        <v>-0.22195612423504069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21554.28</v>
      </c>
      <c r="E35" s="1"/>
      <c r="F35" s="5">
        <f t="shared" ref="F35:F41" si="21">IF(D$12=0,0,D35/D$12)</f>
        <v>-259.06586538461534</v>
      </c>
      <c r="G35" s="1"/>
      <c r="H35" s="1">
        <f>SUM(OSRRefH22_1x_0)</f>
        <v>22571.38</v>
      </c>
      <c r="I35" s="1"/>
      <c r="J35" s="5">
        <f t="shared" ref="J35:J41" si="22">IF(H$12=0,0,H35/H$12)</f>
        <v>0.17712131197042433</v>
      </c>
      <c r="K35" s="1"/>
      <c r="L35" s="1">
        <f t="shared" ref="L35:L41" si="23">+D35-H35</f>
        <v>-1017.1000000000022</v>
      </c>
      <c r="M35" s="1"/>
      <c r="N35" s="5">
        <f t="shared" ref="N35:N41" si="24">IF(H35=0,0,L35/H35)</f>
        <v>-4.5061489372825329E-2</v>
      </c>
      <c r="O35" s="12"/>
      <c r="P35" s="1">
        <f>SUM(OSRRefP22_1x_0)</f>
        <v>246230.04</v>
      </c>
      <c r="Q35" s="1"/>
      <c r="R35" s="5">
        <f t="shared" ref="R35:R41" si="25">IF(P$12=0,0,P35/P$12)</f>
        <v>10.451757990247348</v>
      </c>
      <c r="S35" s="1"/>
      <c r="T35" s="1">
        <f>SUM(OSRRefT22_1x_0)</f>
        <v>858953.35</v>
      </c>
      <c r="U35" s="1"/>
      <c r="V35" s="5">
        <f t="shared" ref="V35:V41" si="26">IF(T$12=0,0,T35/T$12)</f>
        <v>0.22657551649685032</v>
      </c>
      <c r="W35" s="1"/>
      <c r="X35" s="1">
        <f t="shared" ref="X35:X41" si="27">+P35-T35</f>
        <v>-612723.30999999994</v>
      </c>
      <c r="Y35" s="1"/>
      <c r="Z35" s="5">
        <f t="shared" ref="Z35:Z41" si="28">IF(T35=0,0,X35/T35)</f>
        <v>-0.71333712127672588</v>
      </c>
    </row>
    <row r="36" spans="1:26" s="23" customFormat="1" hidden="1" outlineLevel="2" x14ac:dyDescent="0.25">
      <c r="A36" s="27"/>
      <c r="B36" s="10" t="str">
        <f>CONCATENATE("          ", "6002", " - ", "STAFF SALARIES")</f>
        <v xml:space="preserve">          6002 - STAFF SALARIES</v>
      </c>
      <c r="C36" s="10"/>
      <c r="D36" s="6">
        <v>8392.92</v>
      </c>
      <c r="E36" s="2"/>
      <c r="F36" s="7">
        <f t="shared" si="21"/>
        <v>-100.8764423076923</v>
      </c>
      <c r="G36" s="2"/>
      <c r="H36" s="6">
        <v>6911.81</v>
      </c>
      <c r="I36" s="2"/>
      <c r="J36" s="7">
        <f t="shared" si="22"/>
        <v>5.4238103974604067E-2</v>
      </c>
      <c r="K36" s="2"/>
      <c r="L36" s="6">
        <f t="shared" si="23"/>
        <v>1481.1099999999997</v>
      </c>
      <c r="M36" s="2"/>
      <c r="N36" s="7">
        <f t="shared" si="24"/>
        <v>0.21428685105638026</v>
      </c>
      <c r="O36" s="10"/>
      <c r="P36" s="6">
        <v>100961.31</v>
      </c>
      <c r="Q36" s="2"/>
      <c r="R36" s="7">
        <f t="shared" si="25"/>
        <v>4.2855176342347967</v>
      </c>
      <c r="S36" s="2"/>
      <c r="T36" s="6">
        <v>150099.07</v>
      </c>
      <c r="U36" s="2"/>
      <c r="V36" s="7">
        <f t="shared" si="26"/>
        <v>3.9593272802238788E-2</v>
      </c>
      <c r="W36" s="2"/>
      <c r="X36" s="6">
        <f t="shared" si="27"/>
        <v>-49137.760000000009</v>
      </c>
      <c r="Y36" s="2"/>
      <c r="Z36" s="7">
        <f t="shared" si="28"/>
        <v>-0.32736885045323738</v>
      </c>
    </row>
    <row r="37" spans="1:26" s="23" customFormat="1" hidden="1" outlineLevel="2" x14ac:dyDescent="0.25">
      <c r="A37" s="27"/>
      <c r="B37" s="10" t="str">
        <f>CONCATENATE("          ", "6004", " - ", "STAFF HOURLY")</f>
        <v xml:space="preserve">          6004 - STAFF HOURLY</v>
      </c>
      <c r="C37" s="10"/>
      <c r="D37" s="6">
        <v>13161.36</v>
      </c>
      <c r="E37" s="2"/>
      <c r="F37" s="7">
        <f t="shared" si="21"/>
        <v>-158.18942307692308</v>
      </c>
      <c r="G37" s="2"/>
      <c r="H37" s="6">
        <v>15659.57</v>
      </c>
      <c r="I37" s="2"/>
      <c r="J37" s="7">
        <f t="shared" si="22"/>
        <v>0.12288320799582027</v>
      </c>
      <c r="K37" s="2"/>
      <c r="L37" s="6">
        <f t="shared" si="23"/>
        <v>-2498.2099999999991</v>
      </c>
      <c r="M37" s="2"/>
      <c r="N37" s="7">
        <f t="shared" si="24"/>
        <v>-0.15953247758399491</v>
      </c>
      <c r="O37" s="10"/>
      <c r="P37" s="6">
        <v>145268.73000000001</v>
      </c>
      <c r="Q37" s="2"/>
      <c r="R37" s="7">
        <f t="shared" si="25"/>
        <v>6.1662403560125512</v>
      </c>
      <c r="S37" s="2"/>
      <c r="T37" s="6">
        <v>210565.79</v>
      </c>
      <c r="U37" s="2"/>
      <c r="V37" s="7">
        <f t="shared" si="26"/>
        <v>5.5543240649585129E-2</v>
      </c>
      <c r="W37" s="2"/>
      <c r="X37" s="6">
        <f t="shared" si="27"/>
        <v>-65297.06</v>
      </c>
      <c r="Y37" s="2"/>
      <c r="Z37" s="7">
        <f t="shared" si="28"/>
        <v>-0.31010288993288032</v>
      </c>
    </row>
    <row r="38" spans="1:26" s="23" customFormat="1" hidden="1" outlineLevel="2" x14ac:dyDescent="0.25">
      <c r="A38" s="27"/>
      <c r="B38" s="10" t="str">
        <f>CONCATENATE("          ", "6005", " - ", "TEMPORARY WAGES-HOURLY")</f>
        <v xml:space="preserve">          6005 - TEMPORARY WAGES-HOURLY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132250.51</v>
      </c>
      <c r="U38" s="2"/>
      <c r="V38" s="7">
        <f t="shared" si="26"/>
        <v>3.4885162983789367E-2</v>
      </c>
      <c r="W38" s="2"/>
      <c r="X38" s="6">
        <f t="shared" si="27"/>
        <v>-132250.51</v>
      </c>
      <c r="Y38" s="2"/>
      <c r="Z38" s="7">
        <f t="shared" si="28"/>
        <v>-1</v>
      </c>
    </row>
    <row r="39" spans="1:26" s="23" customFormat="1" hidden="1" outlineLevel="2" x14ac:dyDescent="0.25">
      <c r="A39" s="27"/>
      <c r="B39" s="10" t="str">
        <f>CONCATENATE("          ", "6006", " - ", "TEMPORARY PART TIME")</f>
        <v xml:space="preserve">          6006 - TEMPORARY PART TIME</v>
      </c>
      <c r="C39" s="10"/>
      <c r="D39" s="6"/>
      <c r="E39" s="2"/>
      <c r="F39" s="7">
        <f t="shared" si="21"/>
        <v>0</v>
      </c>
      <c r="G39" s="2"/>
      <c r="H39" s="6"/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0"/>
      <c r="P39" s="6"/>
      <c r="Q39" s="2"/>
      <c r="R39" s="7">
        <f t="shared" si="25"/>
        <v>0</v>
      </c>
      <c r="S39" s="2"/>
      <c r="T39" s="6">
        <v>10133.07</v>
      </c>
      <c r="U39" s="2"/>
      <c r="V39" s="7">
        <f t="shared" si="26"/>
        <v>2.67291066383144E-3</v>
      </c>
      <c r="W39" s="2"/>
      <c r="X39" s="6">
        <f t="shared" si="27"/>
        <v>-10133.07</v>
      </c>
      <c r="Y39" s="2"/>
      <c r="Z39" s="7">
        <f t="shared" si="28"/>
        <v>-1</v>
      </c>
    </row>
    <row r="40" spans="1:26" s="23" customFormat="1" hidden="1" outlineLevel="2" x14ac:dyDescent="0.25">
      <c r="A40" s="27"/>
      <c r="B40" s="10" t="str">
        <f>CONCATENATE("          ", "6007", " - ", "STUDENT HOURLY")</f>
        <v xml:space="preserve">          6007 - STUDENT HOURLY</v>
      </c>
      <c r="C40" s="10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0"/>
      <c r="P40" s="6">
        <v>0</v>
      </c>
      <c r="Q40" s="2"/>
      <c r="R40" s="7">
        <f t="shared" si="25"/>
        <v>0</v>
      </c>
      <c r="S40" s="2"/>
      <c r="T40" s="6">
        <v>326051.69</v>
      </c>
      <c r="U40" s="2"/>
      <c r="V40" s="7">
        <f t="shared" si="26"/>
        <v>8.6006219157793523E-2</v>
      </c>
      <c r="W40" s="2"/>
      <c r="X40" s="6">
        <f t="shared" si="27"/>
        <v>-326051.69</v>
      </c>
      <c r="Y40" s="2"/>
      <c r="Z40" s="7">
        <f t="shared" si="28"/>
        <v>-1</v>
      </c>
    </row>
    <row r="41" spans="1:26" s="23" customFormat="1" hidden="1" outlineLevel="2" x14ac:dyDescent="0.25">
      <c r="A41" s="27"/>
      <c r="B41" s="10" t="str">
        <f>CONCATENATE("          ", "6008", " - ", "STUDENT HOURLY-FICA EXEMPT")</f>
        <v xml:space="preserve">          6008 - STUDENT HOURLY-FICA EXEMPT</v>
      </c>
      <c r="C41" s="10"/>
      <c r="D41" s="6"/>
      <c r="E41" s="2"/>
      <c r="F41" s="7">
        <f t="shared" si="21"/>
        <v>0</v>
      </c>
      <c r="G41" s="2"/>
      <c r="H41" s="6"/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0"/>
      <c r="P41" s="6"/>
      <c r="Q41" s="2"/>
      <c r="R41" s="7">
        <f t="shared" si="25"/>
        <v>0</v>
      </c>
      <c r="S41" s="2"/>
      <c r="T41" s="6">
        <v>29853.22</v>
      </c>
      <c r="U41" s="2"/>
      <c r="V41" s="7">
        <f t="shared" si="26"/>
        <v>7.8747102396120837E-3</v>
      </c>
      <c r="W41" s="2"/>
      <c r="X41" s="6">
        <f t="shared" si="27"/>
        <v>-29853.22</v>
      </c>
      <c r="Y41" s="2"/>
      <c r="Z41" s="7">
        <f t="shared" si="28"/>
        <v>-1</v>
      </c>
    </row>
    <row r="42" spans="1:26" s="26" customFormat="1" outlineLevel="1" collapsed="1" x14ac:dyDescent="0.25">
      <c r="A42" s="25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63" si="29">IF(D$12=0,0,D42/D$12)</f>
        <v>0</v>
      </c>
      <c r="G42" s="1"/>
      <c r="H42" s="1">
        <f>SUM(OSRRefH22_2x_0)</f>
        <v>0</v>
      </c>
      <c r="I42" s="1"/>
      <c r="J42" s="5">
        <f t="shared" ref="J42:J63" si="30">IF(H$12=0,0,H42/H$12)</f>
        <v>0</v>
      </c>
      <c r="K42" s="1"/>
      <c r="L42" s="1">
        <f t="shared" ref="L42:L63" si="31">+D42-H42</f>
        <v>0</v>
      </c>
      <c r="M42" s="1"/>
      <c r="N42" s="5">
        <f t="shared" ref="N42:N63" si="32">IF(H42=0,0,L42/H42)</f>
        <v>0</v>
      </c>
      <c r="O42" s="12"/>
      <c r="P42" s="1">
        <f>SUM(OSRRefP22_2x_0)</f>
        <v>204.75</v>
      </c>
      <c r="Q42" s="1"/>
      <c r="R42" s="5">
        <f t="shared" ref="R42:R63" si="33">IF(P$12=0,0,P42/P$12)</f>
        <v>8.6910494288314471E-3</v>
      </c>
      <c r="S42" s="1"/>
      <c r="T42" s="1">
        <f>SUM(OSRRefT22_2x_0)</f>
        <v>2828.94</v>
      </c>
      <c r="U42" s="1"/>
      <c r="V42" s="5">
        <f t="shared" ref="V42:V63" si="34">IF(T$12=0,0,T42/T$12)</f>
        <v>7.4622043401844794E-4</v>
      </c>
      <c r="W42" s="1"/>
      <c r="X42" s="1">
        <f t="shared" ref="X42:X63" si="35">+P42-T42</f>
        <v>-2624.19</v>
      </c>
      <c r="Y42" s="1"/>
      <c r="Z42" s="5">
        <f t="shared" ref="Z42:Z63" si="36">IF(T42=0,0,X42/T42)</f>
        <v>-0.9276230672972916</v>
      </c>
    </row>
    <row r="43" spans="1:26" s="23" customFormat="1" hidden="1" outlineLevel="2" x14ac:dyDescent="0.25">
      <c r="A43" s="27"/>
      <c r="B43" s="10" t="str">
        <f>CONCATENATE("          ", "6362", " - ", "ADVERTISING EXPENSE")</f>
        <v xml:space="preserve">          6362 - ADVERTISING EXPENSE</v>
      </c>
      <c r="C43" s="10"/>
      <c r="D43" s="6"/>
      <c r="E43" s="2"/>
      <c r="F43" s="7">
        <f t="shared" si="29"/>
        <v>0</v>
      </c>
      <c r="G43" s="2"/>
      <c r="H43" s="6"/>
      <c r="I43" s="2"/>
      <c r="J43" s="7">
        <f t="shared" si="30"/>
        <v>0</v>
      </c>
      <c r="K43" s="2"/>
      <c r="L43" s="6">
        <f t="shared" si="31"/>
        <v>0</v>
      </c>
      <c r="M43" s="2"/>
      <c r="N43" s="7">
        <f t="shared" si="32"/>
        <v>0</v>
      </c>
      <c r="O43" s="10"/>
      <c r="P43" s="6">
        <v>204.75</v>
      </c>
      <c r="Q43" s="2"/>
      <c r="R43" s="7">
        <f t="shared" si="33"/>
        <v>8.6910494288314471E-3</v>
      </c>
      <c r="S43" s="2"/>
      <c r="T43" s="6">
        <v>2828.94</v>
      </c>
      <c r="U43" s="2"/>
      <c r="V43" s="7">
        <f t="shared" si="34"/>
        <v>7.4622043401844794E-4</v>
      </c>
      <c r="W43" s="2"/>
      <c r="X43" s="6">
        <f t="shared" si="35"/>
        <v>-2624.19</v>
      </c>
      <c r="Y43" s="2"/>
      <c r="Z43" s="7">
        <f t="shared" si="36"/>
        <v>-0.9276230672972916</v>
      </c>
    </row>
    <row r="44" spans="1:26" s="26" customFormat="1" outlineLevel="1" collapsed="1" x14ac:dyDescent="0.25">
      <c r="A44" s="25"/>
      <c r="B44" s="12" t="str">
        <f>CONCATENATE("     ","Bad Debts/Over/Short                              ")</f>
        <v xml:space="preserve">     Bad Debts/Over/Short                              </v>
      </c>
      <c r="C44" s="12"/>
      <c r="D44" s="1">
        <f>SUM(OSRRefD22_3x_0)</f>
        <v>0</v>
      </c>
      <c r="E44" s="1"/>
      <c r="F44" s="5">
        <f t="shared" si="29"/>
        <v>0</v>
      </c>
      <c r="G44" s="1"/>
      <c r="H44" s="1">
        <f>SUM(OSRRefH22_3x_0)</f>
        <v>0</v>
      </c>
      <c r="I44" s="1"/>
      <c r="J44" s="5">
        <f t="shared" si="30"/>
        <v>0</v>
      </c>
      <c r="K44" s="1"/>
      <c r="L44" s="1">
        <f t="shared" si="31"/>
        <v>0</v>
      </c>
      <c r="M44" s="1"/>
      <c r="N44" s="5">
        <f t="shared" si="32"/>
        <v>0</v>
      </c>
      <c r="O44" s="12"/>
      <c r="P44" s="1">
        <f>SUM(OSRRefP22_3x_0)</f>
        <v>0</v>
      </c>
      <c r="Q44" s="1"/>
      <c r="R44" s="5">
        <f t="shared" si="33"/>
        <v>0</v>
      </c>
      <c r="S44" s="1"/>
      <c r="T44" s="1">
        <f>SUM(OSRRefT22_3x_0)</f>
        <v>1.65</v>
      </c>
      <c r="U44" s="1"/>
      <c r="V44" s="5">
        <f t="shared" si="34"/>
        <v>4.3523854027672521E-7</v>
      </c>
      <c r="W44" s="1"/>
      <c r="X44" s="1">
        <f t="shared" si="35"/>
        <v>-1.65</v>
      </c>
      <c r="Y44" s="1"/>
      <c r="Z44" s="5">
        <f t="shared" si="36"/>
        <v>-1</v>
      </c>
    </row>
    <row r="45" spans="1:26" s="23" customFormat="1" hidden="1" outlineLevel="2" x14ac:dyDescent="0.25">
      <c r="A45" s="27"/>
      <c r="B45" s="10" t="str">
        <f>CONCATENATE("          ", "6272", " - ", "CASH (OVER/SHORT)")</f>
        <v xml:space="preserve">          6272 - CASH (OVER/SHORT)</v>
      </c>
      <c r="C45" s="10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0"/>
      <c r="P45" s="6">
        <v>0</v>
      </c>
      <c r="Q45" s="2"/>
      <c r="R45" s="7">
        <f t="shared" si="33"/>
        <v>0</v>
      </c>
      <c r="S45" s="2"/>
      <c r="T45" s="6">
        <v>1.65</v>
      </c>
      <c r="U45" s="2"/>
      <c r="V45" s="7">
        <f t="shared" si="34"/>
        <v>4.3523854027672521E-7</v>
      </c>
      <c r="W45" s="2"/>
      <c r="X45" s="6">
        <f t="shared" si="35"/>
        <v>-1.65</v>
      </c>
      <c r="Y45" s="2"/>
      <c r="Z45" s="7">
        <f t="shared" si="36"/>
        <v>-1</v>
      </c>
    </row>
    <row r="46" spans="1:26" s="26" customFormat="1" outlineLevel="1" collapsed="1" x14ac:dyDescent="0.25">
      <c r="A46" s="25"/>
      <c r="B46" s="12" t="str">
        <f>CONCATENATE("     ","Bank/card Fees                                    ")</f>
        <v xml:space="preserve">     Bank/card Fees                                    </v>
      </c>
      <c r="C46" s="12"/>
      <c r="D46" s="1">
        <f>SUM(OSRRefD22_4x_0)</f>
        <v>0</v>
      </c>
      <c r="E46" s="1"/>
      <c r="F46" s="5">
        <f t="shared" si="29"/>
        <v>0</v>
      </c>
      <c r="G46" s="1"/>
      <c r="H46" s="1">
        <f>SUM(OSRRefH22_4x_0)</f>
        <v>29.5</v>
      </c>
      <c r="I46" s="1"/>
      <c r="J46" s="5">
        <f t="shared" si="30"/>
        <v>2.3149132676546661E-4</v>
      </c>
      <c r="K46" s="1"/>
      <c r="L46" s="1">
        <f t="shared" si="31"/>
        <v>-29.5</v>
      </c>
      <c r="M46" s="1"/>
      <c r="N46" s="5">
        <f t="shared" si="32"/>
        <v>-1</v>
      </c>
      <c r="O46" s="12"/>
      <c r="P46" s="1">
        <f>SUM(OSRRefP22_4x_0)</f>
        <v>0</v>
      </c>
      <c r="Q46" s="1"/>
      <c r="R46" s="5">
        <f t="shared" si="33"/>
        <v>0</v>
      </c>
      <c r="S46" s="1"/>
      <c r="T46" s="1">
        <f>SUM(OSRRefT22_4x_0)</f>
        <v>1859.94</v>
      </c>
      <c r="U46" s="1"/>
      <c r="V46" s="5">
        <f t="shared" si="34"/>
        <v>4.9061670945593468E-4</v>
      </c>
      <c r="W46" s="1"/>
      <c r="X46" s="1">
        <f t="shared" si="35"/>
        <v>-1859.94</v>
      </c>
      <c r="Y46" s="1"/>
      <c r="Z46" s="5">
        <f t="shared" si="36"/>
        <v>-1</v>
      </c>
    </row>
    <row r="47" spans="1:26" s="23" customFormat="1" hidden="1" outlineLevel="2" x14ac:dyDescent="0.25">
      <c r="A47" s="27"/>
      <c r="B47" s="10" t="str">
        <f>CONCATENATE("          ", "6381", " - ", "BANK/CREDIT CARD FEES")</f>
        <v xml:space="preserve">          6381 - BANK/CREDIT CARD FEES</v>
      </c>
      <c r="C47" s="10"/>
      <c r="D47" s="6"/>
      <c r="E47" s="2"/>
      <c r="F47" s="7">
        <f t="shared" si="29"/>
        <v>0</v>
      </c>
      <c r="G47" s="2"/>
      <c r="H47" s="6">
        <v>29.5</v>
      </c>
      <c r="I47" s="2"/>
      <c r="J47" s="7">
        <f t="shared" si="30"/>
        <v>2.3149132676546661E-4</v>
      </c>
      <c r="K47" s="2"/>
      <c r="L47" s="6">
        <f t="shared" si="31"/>
        <v>-29.5</v>
      </c>
      <c r="M47" s="2"/>
      <c r="N47" s="7">
        <f t="shared" si="32"/>
        <v>-1</v>
      </c>
      <c r="O47" s="10"/>
      <c r="P47" s="6"/>
      <c r="Q47" s="2"/>
      <c r="R47" s="7">
        <f t="shared" si="33"/>
        <v>0</v>
      </c>
      <c r="S47" s="2"/>
      <c r="T47" s="6">
        <v>1859.94</v>
      </c>
      <c r="U47" s="2"/>
      <c r="V47" s="7">
        <f t="shared" si="34"/>
        <v>4.9061670945593468E-4</v>
      </c>
      <c r="W47" s="2"/>
      <c r="X47" s="6">
        <f t="shared" si="35"/>
        <v>-1859.94</v>
      </c>
      <c r="Y47" s="2"/>
      <c r="Z47" s="7">
        <f t="shared" si="36"/>
        <v>-1</v>
      </c>
    </row>
    <row r="48" spans="1:26" s="26" customFormat="1" outlineLevel="1" collapsed="1" x14ac:dyDescent="0.25">
      <c r="A48" s="25"/>
      <c r="B48" s="12" t="str">
        <f>CONCATENATE("     ","Depreciation                                      ")</f>
        <v xml:space="preserve">     Depreciation                                      </v>
      </c>
      <c r="C48" s="12"/>
      <c r="D48" s="1">
        <f>SUM(OSRRefD22_5x_0)</f>
        <v>272.74</v>
      </c>
      <c r="E48" s="1"/>
      <c r="F48" s="5">
        <f t="shared" si="29"/>
        <v>-3.2781250000000002</v>
      </c>
      <c r="G48" s="1"/>
      <c r="H48" s="1">
        <f>SUM(OSRRefH22_5x_0)</f>
        <v>0</v>
      </c>
      <c r="I48" s="1"/>
      <c r="J48" s="5">
        <f t="shared" si="30"/>
        <v>0</v>
      </c>
      <c r="K48" s="1"/>
      <c r="L48" s="1">
        <f t="shared" si="31"/>
        <v>272.74</v>
      </c>
      <c r="M48" s="1"/>
      <c r="N48" s="5">
        <f t="shared" si="32"/>
        <v>0</v>
      </c>
      <c r="O48" s="12"/>
      <c r="P48" s="1">
        <f>SUM(OSRRefP22_5x_0)</f>
        <v>2735.92</v>
      </c>
      <c r="Q48" s="1"/>
      <c r="R48" s="5">
        <f t="shared" si="33"/>
        <v>0.1161319460480026</v>
      </c>
      <c r="S48" s="1"/>
      <c r="T48" s="1">
        <f>SUM(OSRRefT22_5x_0)</f>
        <v>0</v>
      </c>
      <c r="U48" s="1"/>
      <c r="V48" s="5">
        <f t="shared" si="34"/>
        <v>0</v>
      </c>
      <c r="W48" s="1"/>
      <c r="X48" s="1">
        <f t="shared" si="35"/>
        <v>2735.92</v>
      </c>
      <c r="Y48" s="1"/>
      <c r="Z48" s="5">
        <f t="shared" si="36"/>
        <v>0</v>
      </c>
    </row>
    <row r="49" spans="1:26" s="23" customFormat="1" hidden="1" outlineLevel="2" x14ac:dyDescent="0.25">
      <c r="A49" s="27"/>
      <c r="B49" s="10" t="str">
        <f>CONCATENATE("          ", "6322", " - ", "EQUIPMENT DEPRECIATION EXPENSE")</f>
        <v xml:space="preserve">          6322 - EQUIPMENT DEPRECIATION EXPENSE</v>
      </c>
      <c r="C49" s="10"/>
      <c r="D49" s="6">
        <v>272.74</v>
      </c>
      <c r="E49" s="2"/>
      <c r="F49" s="7">
        <f t="shared" si="29"/>
        <v>-3.2781250000000002</v>
      </c>
      <c r="G49" s="2"/>
      <c r="H49" s="6"/>
      <c r="I49" s="2"/>
      <c r="J49" s="7">
        <f t="shared" si="30"/>
        <v>0</v>
      </c>
      <c r="K49" s="2"/>
      <c r="L49" s="6">
        <f t="shared" si="31"/>
        <v>272.74</v>
      </c>
      <c r="M49" s="2"/>
      <c r="N49" s="7">
        <f t="shared" si="32"/>
        <v>0</v>
      </c>
      <c r="O49" s="10"/>
      <c r="P49" s="6">
        <v>2735.92</v>
      </c>
      <c r="Q49" s="2"/>
      <c r="R49" s="7">
        <f t="shared" si="33"/>
        <v>0.1161319460480026</v>
      </c>
      <c r="S49" s="2"/>
      <c r="T49" s="6"/>
      <c r="U49" s="2"/>
      <c r="V49" s="7">
        <f t="shared" si="34"/>
        <v>0</v>
      </c>
      <c r="W49" s="2"/>
      <c r="X49" s="6">
        <f t="shared" si="35"/>
        <v>2735.92</v>
      </c>
      <c r="Y49" s="2"/>
      <c r="Z49" s="7">
        <f t="shared" si="36"/>
        <v>0</v>
      </c>
    </row>
    <row r="50" spans="1:26" s="26" customFormat="1" outlineLevel="1" collapsed="1" x14ac:dyDescent="0.25">
      <c r="A50" s="25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SUM(OSRRefD22_6x_0)</f>
        <v>0</v>
      </c>
      <c r="E50" s="1"/>
      <c r="F50" s="5">
        <f t="shared" si="29"/>
        <v>0</v>
      </c>
      <c r="G50" s="1"/>
      <c r="H50" s="1">
        <f>SUM(OSRRefH22_6x_0)</f>
        <v>18369.990000000002</v>
      </c>
      <c r="I50" s="1"/>
      <c r="J50" s="5">
        <f t="shared" si="30"/>
        <v>0.14415231721248659</v>
      </c>
      <c r="K50" s="1"/>
      <c r="L50" s="1">
        <f t="shared" si="31"/>
        <v>-18369.990000000002</v>
      </c>
      <c r="M50" s="1"/>
      <c r="N50" s="5">
        <f t="shared" si="32"/>
        <v>-1</v>
      </c>
      <c r="O50" s="12"/>
      <c r="P50" s="1">
        <f>SUM(OSRRefP22_6x_0)</f>
        <v>0</v>
      </c>
      <c r="Q50" s="1"/>
      <c r="R50" s="5">
        <f t="shared" si="33"/>
        <v>0</v>
      </c>
      <c r="S50" s="1"/>
      <c r="T50" s="1">
        <f>SUM(OSRRefT22_6x_0)</f>
        <v>90514.12</v>
      </c>
      <c r="U50" s="1"/>
      <c r="V50" s="5">
        <f t="shared" si="34"/>
        <v>2.387589906862566E-2</v>
      </c>
      <c r="W50" s="1"/>
      <c r="X50" s="1">
        <f t="shared" si="35"/>
        <v>-90514.12</v>
      </c>
      <c r="Y50" s="1"/>
      <c r="Z50" s="5">
        <f t="shared" si="36"/>
        <v>-1</v>
      </c>
    </row>
    <row r="51" spans="1:26" s="23" customFormat="1" hidden="1" outlineLevel="2" x14ac:dyDescent="0.25">
      <c r="A51" s="27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29"/>
        <v>0</v>
      </c>
      <c r="G51" s="2"/>
      <c r="H51" s="6">
        <v>18369.990000000002</v>
      </c>
      <c r="I51" s="2"/>
      <c r="J51" s="7">
        <f t="shared" si="30"/>
        <v>0.14415231721248659</v>
      </c>
      <c r="K51" s="2"/>
      <c r="L51" s="6">
        <f t="shared" si="31"/>
        <v>-18369.990000000002</v>
      </c>
      <c r="M51" s="2"/>
      <c r="N51" s="7">
        <f t="shared" si="32"/>
        <v>-1</v>
      </c>
      <c r="O51" s="10"/>
      <c r="P51" s="6"/>
      <c r="Q51" s="2"/>
      <c r="R51" s="7">
        <f t="shared" si="33"/>
        <v>0</v>
      </c>
      <c r="S51" s="2"/>
      <c r="T51" s="6">
        <v>90514.12</v>
      </c>
      <c r="U51" s="2"/>
      <c r="V51" s="7">
        <f t="shared" si="34"/>
        <v>2.387589906862566E-2</v>
      </c>
      <c r="W51" s="2"/>
      <c r="X51" s="6">
        <f t="shared" si="35"/>
        <v>-90514.12</v>
      </c>
      <c r="Y51" s="2"/>
      <c r="Z51" s="7">
        <f t="shared" si="36"/>
        <v>-1</v>
      </c>
    </row>
    <row r="52" spans="1:26" s="26" customFormat="1" outlineLevel="1" collapsed="1" x14ac:dyDescent="0.25">
      <c r="A52" s="25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SUM(OSRRefD22_7x_0)</f>
        <v>0</v>
      </c>
      <c r="E52" s="1"/>
      <c r="F52" s="5">
        <f t="shared" si="29"/>
        <v>0</v>
      </c>
      <c r="G52" s="1"/>
      <c r="H52" s="1">
        <f>SUM(OSRRefH22_7x_0)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2"/>
      <c r="P52" s="1">
        <f>SUM(OSRRefP22_7x_0)</f>
        <v>0</v>
      </c>
      <c r="Q52" s="1"/>
      <c r="R52" s="5">
        <f t="shared" si="33"/>
        <v>0</v>
      </c>
      <c r="S52" s="1"/>
      <c r="T52" s="1">
        <f>SUM(OSRRefT22_7x_0)</f>
        <v>172.29</v>
      </c>
      <c r="U52" s="1"/>
      <c r="V52" s="5">
        <f t="shared" si="34"/>
        <v>4.5446817032895141E-5</v>
      </c>
      <c r="W52" s="1"/>
      <c r="X52" s="1">
        <f t="shared" si="35"/>
        <v>-172.29</v>
      </c>
      <c r="Y52" s="1"/>
      <c r="Z52" s="5">
        <f t="shared" si="36"/>
        <v>-1</v>
      </c>
    </row>
    <row r="53" spans="1:26" s="23" customFormat="1" hidden="1" outlineLevel="2" x14ac:dyDescent="0.25">
      <c r="A53" s="27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0"/>
      <c r="P53" s="6"/>
      <c r="Q53" s="2"/>
      <c r="R53" s="7">
        <f t="shared" si="33"/>
        <v>0</v>
      </c>
      <c r="S53" s="2"/>
      <c r="T53" s="6">
        <v>172.29</v>
      </c>
      <c r="U53" s="2"/>
      <c r="V53" s="7">
        <f t="shared" si="34"/>
        <v>4.5446817032895141E-5</v>
      </c>
      <c r="W53" s="2"/>
      <c r="X53" s="6">
        <f t="shared" si="35"/>
        <v>-172.29</v>
      </c>
      <c r="Y53" s="2"/>
      <c r="Z53" s="7">
        <f t="shared" si="36"/>
        <v>-1</v>
      </c>
    </row>
    <row r="54" spans="1:26" s="26" customFormat="1" outlineLevel="1" collapsed="1" x14ac:dyDescent="0.25">
      <c r="A54" s="25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SUM(OSRRefD22_8x_0)</f>
        <v>404.3</v>
      </c>
      <c r="E54" s="1"/>
      <c r="F54" s="5">
        <f t="shared" si="29"/>
        <v>-4.859375</v>
      </c>
      <c r="G54" s="1"/>
      <c r="H54" s="1">
        <f>SUM(OSRRefH22_8x_0)</f>
        <v>0</v>
      </c>
      <c r="I54" s="1"/>
      <c r="J54" s="5">
        <f t="shared" si="30"/>
        <v>0</v>
      </c>
      <c r="K54" s="1"/>
      <c r="L54" s="1">
        <f t="shared" si="31"/>
        <v>404.3</v>
      </c>
      <c r="M54" s="1"/>
      <c r="N54" s="5">
        <f t="shared" si="32"/>
        <v>0</v>
      </c>
      <c r="O54" s="12"/>
      <c r="P54" s="1">
        <f>SUM(OSRRefP22_8x_0)</f>
        <v>2690.65</v>
      </c>
      <c r="Q54" s="1"/>
      <c r="R54" s="5">
        <f t="shared" si="33"/>
        <v>0.11421036456989174</v>
      </c>
      <c r="S54" s="1"/>
      <c r="T54" s="1">
        <f>SUM(OSRRefT22_8x_0)</f>
        <v>2193.62</v>
      </c>
      <c r="U54" s="1"/>
      <c r="V54" s="5">
        <f t="shared" si="34"/>
        <v>5.786351313465636E-4</v>
      </c>
      <c r="W54" s="1"/>
      <c r="X54" s="1">
        <f t="shared" si="35"/>
        <v>497.0300000000002</v>
      </c>
      <c r="Y54" s="1"/>
      <c r="Z54" s="5">
        <f t="shared" si="36"/>
        <v>0.22657980871800959</v>
      </c>
    </row>
    <row r="55" spans="1:26" s="23" customFormat="1" hidden="1" outlineLevel="2" x14ac:dyDescent="0.25">
      <c r="A55" s="27"/>
      <c r="B55" s="10" t="str">
        <f>CONCATENATE("          ", "6351", " - ", "EQUIPMENT RENTAL")</f>
        <v xml:space="preserve">          6351 - EQUIPMENT RENTAL</v>
      </c>
      <c r="C55" s="10"/>
      <c r="D55" s="6">
        <v>404.3</v>
      </c>
      <c r="E55" s="2"/>
      <c r="F55" s="7">
        <f t="shared" si="29"/>
        <v>-4.859375</v>
      </c>
      <c r="G55" s="2"/>
      <c r="H55" s="6"/>
      <c r="I55" s="2"/>
      <c r="J55" s="7">
        <f t="shared" si="30"/>
        <v>0</v>
      </c>
      <c r="K55" s="2"/>
      <c r="L55" s="6">
        <f t="shared" si="31"/>
        <v>404.3</v>
      </c>
      <c r="M55" s="2"/>
      <c r="N55" s="7">
        <f t="shared" si="32"/>
        <v>0</v>
      </c>
      <c r="O55" s="10"/>
      <c r="P55" s="6">
        <v>2690.65</v>
      </c>
      <c r="Q55" s="2"/>
      <c r="R55" s="7">
        <f t="shared" si="33"/>
        <v>0.11421036456989174</v>
      </c>
      <c r="S55" s="2"/>
      <c r="T55" s="6">
        <v>2193.62</v>
      </c>
      <c r="U55" s="2"/>
      <c r="V55" s="7">
        <f t="shared" si="34"/>
        <v>5.786351313465636E-4</v>
      </c>
      <c r="W55" s="2"/>
      <c r="X55" s="6">
        <f t="shared" si="35"/>
        <v>497.0300000000002</v>
      </c>
      <c r="Y55" s="2"/>
      <c r="Z55" s="7">
        <f t="shared" si="36"/>
        <v>0.22657980871800959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SUM(OSRRefD22_9x_0)</f>
        <v>0</v>
      </c>
      <c r="E56" s="1"/>
      <c r="F56" s="5">
        <f t="shared" si="29"/>
        <v>0</v>
      </c>
      <c r="G56" s="1"/>
      <c r="H56" s="1">
        <f>SUM(OSRRefH22_9x_0)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2"/>
      <c r="P56" s="1">
        <f>SUM(OSRRefP22_9x_0)</f>
        <v>3847.45</v>
      </c>
      <c r="Q56" s="1"/>
      <c r="R56" s="5">
        <f t="shared" si="33"/>
        <v>0.16331320207549474</v>
      </c>
      <c r="S56" s="1"/>
      <c r="T56" s="1">
        <f>SUM(OSRRefT22_9x_0)</f>
        <v>2391.19</v>
      </c>
      <c r="U56" s="1"/>
      <c r="V56" s="5">
        <f t="shared" si="34"/>
        <v>6.307503303783652E-4</v>
      </c>
      <c r="W56" s="1"/>
      <c r="X56" s="1">
        <f t="shared" si="35"/>
        <v>1456.2599999999998</v>
      </c>
      <c r="Y56" s="1"/>
      <c r="Z56" s="5">
        <f t="shared" si="36"/>
        <v>0.6090105763239223</v>
      </c>
    </row>
    <row r="57" spans="1:26" s="23" customFormat="1" hidden="1" outlineLevel="2" x14ac:dyDescent="0.25">
      <c r="A57" s="27"/>
      <c r="B57" s="10" t="str">
        <f>CONCATENATE("          ", "6279", " - ", "GENERAL EXPENSE")</f>
        <v xml:space="preserve">          6279 - GENERAL EXPENSE</v>
      </c>
      <c r="C57" s="10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0"/>
      <c r="P57" s="6">
        <v>3847.45</v>
      </c>
      <c r="Q57" s="2"/>
      <c r="R57" s="7">
        <f t="shared" si="33"/>
        <v>0.16331320207549474</v>
      </c>
      <c r="S57" s="2"/>
      <c r="T57" s="6">
        <v>2391.19</v>
      </c>
      <c r="U57" s="2"/>
      <c r="V57" s="7">
        <f t="shared" si="34"/>
        <v>6.307503303783652E-4</v>
      </c>
      <c r="W57" s="2"/>
      <c r="X57" s="6">
        <f t="shared" si="35"/>
        <v>1456.2599999999998</v>
      </c>
      <c r="Y57" s="2"/>
      <c r="Z57" s="7">
        <f t="shared" si="36"/>
        <v>0.6090105763239223</v>
      </c>
    </row>
    <row r="58" spans="1:26" s="26" customFormat="1" outlineLevel="1" collapsed="1" x14ac:dyDescent="0.25">
      <c r="A58" s="25"/>
      <c r="B58" s="12" t="str">
        <f>CONCATENATE("     ","R/H Commissions                                   ")</f>
        <v xml:space="preserve">     R/H Commissions                                   </v>
      </c>
      <c r="C58" s="12"/>
      <c r="D58" s="1">
        <f>SUM(OSRRefD22_10x_0)</f>
        <v>0</v>
      </c>
      <c r="E58" s="1"/>
      <c r="F58" s="5">
        <f t="shared" si="29"/>
        <v>0</v>
      </c>
      <c r="G58" s="1"/>
      <c r="H58" s="1">
        <f>SUM(OSRRefH22_10x_0)</f>
        <v>9023.0400000000009</v>
      </c>
      <c r="I58" s="1"/>
      <c r="J58" s="5">
        <f t="shared" si="30"/>
        <v>7.0805271222300889E-2</v>
      </c>
      <c r="K58" s="1"/>
      <c r="L58" s="1">
        <f t="shared" si="31"/>
        <v>-9023.0400000000009</v>
      </c>
      <c r="M58" s="1"/>
      <c r="N58" s="5">
        <f t="shared" si="32"/>
        <v>-1</v>
      </c>
      <c r="O58" s="12"/>
      <c r="P58" s="1">
        <f>SUM(OSRRefP22_10x_0)</f>
        <v>1899.35</v>
      </c>
      <c r="Q58" s="1"/>
      <c r="R58" s="5">
        <f t="shared" si="33"/>
        <v>8.0621952296219823E-2</v>
      </c>
      <c r="S58" s="1"/>
      <c r="T58" s="1">
        <f>SUM(OSRRefT22_10x_0)</f>
        <v>292723.71000000002</v>
      </c>
      <c r="U58" s="1"/>
      <c r="V58" s="5">
        <f t="shared" si="34"/>
        <v>7.7214933481689355E-2</v>
      </c>
      <c r="W58" s="1"/>
      <c r="X58" s="1">
        <f t="shared" si="35"/>
        <v>-290824.36000000004</v>
      </c>
      <c r="Y58" s="1"/>
      <c r="Z58" s="5">
        <f t="shared" si="36"/>
        <v>-0.99351145829628906</v>
      </c>
    </row>
    <row r="59" spans="1:26" s="23" customFormat="1" hidden="1" outlineLevel="2" x14ac:dyDescent="0.25">
      <c r="A59" s="27"/>
      <c r="B59" s="10" t="str">
        <f>CONCATENATE("          ", "6387", " - ", "COMMISSION DUE HOUSING")</f>
        <v xml:space="preserve">          6387 - COMMISSION DUE HOUSING</v>
      </c>
      <c r="C59" s="10"/>
      <c r="D59" s="6"/>
      <c r="E59" s="2"/>
      <c r="F59" s="7">
        <f t="shared" si="29"/>
        <v>0</v>
      </c>
      <c r="G59" s="2"/>
      <c r="H59" s="6">
        <v>9023.0400000000009</v>
      </c>
      <c r="I59" s="2"/>
      <c r="J59" s="7">
        <f t="shared" si="30"/>
        <v>7.0805271222300889E-2</v>
      </c>
      <c r="K59" s="2"/>
      <c r="L59" s="6">
        <f t="shared" si="31"/>
        <v>-9023.0400000000009</v>
      </c>
      <c r="M59" s="2"/>
      <c r="N59" s="7">
        <f t="shared" si="32"/>
        <v>-1</v>
      </c>
      <c r="O59" s="10"/>
      <c r="P59" s="6">
        <v>1899.35</v>
      </c>
      <c r="Q59" s="2"/>
      <c r="R59" s="7">
        <f t="shared" si="33"/>
        <v>8.0621952296219823E-2</v>
      </c>
      <c r="S59" s="2"/>
      <c r="T59" s="6">
        <v>292723.71000000002</v>
      </c>
      <c r="U59" s="2"/>
      <c r="V59" s="7">
        <f t="shared" si="34"/>
        <v>7.7214933481689355E-2</v>
      </c>
      <c r="W59" s="2"/>
      <c r="X59" s="6">
        <f t="shared" si="35"/>
        <v>-290824.36000000004</v>
      </c>
      <c r="Y59" s="2"/>
      <c r="Z59" s="7">
        <f t="shared" si="36"/>
        <v>-0.99351145829628906</v>
      </c>
    </row>
    <row r="60" spans="1:26" s="26" customFormat="1" outlineLevel="1" collapsed="1" x14ac:dyDescent="0.25">
      <c r="A60" s="25"/>
      <c r="B60" s="12" t="str">
        <f>CONCATENATE("     ","Repair and Maintenance                            ")</f>
        <v xml:space="preserve">     Repair and Maintenance                            </v>
      </c>
      <c r="C60" s="12"/>
      <c r="D60" s="1">
        <f>SUM(OSRRefD22_11x_0)</f>
        <v>0</v>
      </c>
      <c r="E60" s="1"/>
      <c r="F60" s="5">
        <f t="shared" si="29"/>
        <v>0</v>
      </c>
      <c r="G60" s="1"/>
      <c r="H60" s="1">
        <f>SUM(OSRRefH22_11x_0)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2"/>
      <c r="P60" s="1">
        <f>SUM(OSRRefP22_11x_0)</f>
        <v>1345.25</v>
      </c>
      <c r="Q60" s="1"/>
      <c r="R60" s="5">
        <f t="shared" si="33"/>
        <v>5.7101998750356556E-2</v>
      </c>
      <c r="S60" s="1"/>
      <c r="T60" s="1">
        <f>SUM(OSRRefT22_11x_0)</f>
        <v>8602.7200000000012</v>
      </c>
      <c r="U60" s="1"/>
      <c r="V60" s="5">
        <f t="shared" si="34"/>
        <v>2.2692335122481153E-3</v>
      </c>
      <c r="W60" s="1"/>
      <c r="X60" s="1">
        <f t="shared" si="35"/>
        <v>-7257.4700000000012</v>
      </c>
      <c r="Y60" s="1"/>
      <c r="Z60" s="5">
        <f t="shared" si="36"/>
        <v>-0.84362503952238366</v>
      </c>
    </row>
    <row r="61" spans="1:26" s="23" customFormat="1" hidden="1" outlineLevel="2" x14ac:dyDescent="0.25">
      <c r="A61" s="27"/>
      <c r="B61" s="10" t="str">
        <f>CONCATENATE("          ", "6371", " - ", "COMPUTER SOFTWARE MAINTENANCE")</f>
        <v xml:space="preserve">          6371 - COMPUTER SOFTWARE MAINTENANCE</v>
      </c>
      <c r="C61" s="10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0"/>
      <c r="P61" s="6"/>
      <c r="Q61" s="2"/>
      <c r="R61" s="7">
        <f t="shared" si="33"/>
        <v>0</v>
      </c>
      <c r="S61" s="2"/>
      <c r="T61" s="6">
        <v>8238.75</v>
      </c>
      <c r="U61" s="2"/>
      <c r="V61" s="7">
        <f t="shared" si="34"/>
        <v>2.1732251658817393E-3</v>
      </c>
      <c r="W61" s="2"/>
      <c r="X61" s="6">
        <f t="shared" si="35"/>
        <v>-8238.75</v>
      </c>
      <c r="Y61" s="2"/>
      <c r="Z61" s="7">
        <f t="shared" si="36"/>
        <v>-1</v>
      </c>
    </row>
    <row r="62" spans="1:26" s="23" customFormat="1" hidden="1" outlineLevel="2" x14ac:dyDescent="0.25">
      <c r="A62" s="27"/>
      <c r="B62" s="10" t="str">
        <f>CONCATENATE("          ", "6373", " - ", "MAINTENANCE CONTRACTS")</f>
        <v xml:space="preserve">          6373 - MAINTENANCE CONTRACTS</v>
      </c>
      <c r="C62" s="10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0"/>
      <c r="P62" s="6">
        <v>1326.25</v>
      </c>
      <c r="Q62" s="2"/>
      <c r="R62" s="7">
        <f t="shared" si="33"/>
        <v>5.6295503321063284E-2</v>
      </c>
      <c r="S62" s="2"/>
      <c r="T62" s="6">
        <v>212.19</v>
      </c>
      <c r="U62" s="2"/>
      <c r="V62" s="7">
        <f t="shared" si="34"/>
        <v>5.5971676279586859E-5</v>
      </c>
      <c r="W62" s="2"/>
      <c r="X62" s="6">
        <f t="shared" si="35"/>
        <v>1114.06</v>
      </c>
      <c r="Y62" s="2"/>
      <c r="Z62" s="7">
        <f t="shared" si="36"/>
        <v>5.2502945473396485</v>
      </c>
    </row>
    <row r="63" spans="1:26" s="23" customFormat="1" hidden="1" outlineLevel="2" x14ac:dyDescent="0.25">
      <c r="A63" s="27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29"/>
        <v>0</v>
      </c>
      <c r="G63" s="2"/>
      <c r="H63" s="6"/>
      <c r="I63" s="2"/>
      <c r="J63" s="7">
        <f t="shared" si="30"/>
        <v>0</v>
      </c>
      <c r="K63" s="2"/>
      <c r="L63" s="6">
        <f t="shared" si="31"/>
        <v>0</v>
      </c>
      <c r="M63" s="2"/>
      <c r="N63" s="7">
        <f t="shared" si="32"/>
        <v>0</v>
      </c>
      <c r="O63" s="10"/>
      <c r="P63" s="6">
        <v>19</v>
      </c>
      <c r="Q63" s="2"/>
      <c r="R63" s="7">
        <f t="shared" si="33"/>
        <v>8.0649542929327222E-4</v>
      </c>
      <c r="S63" s="2"/>
      <c r="T63" s="6">
        <v>151.78</v>
      </c>
      <c r="U63" s="2"/>
      <c r="V63" s="7">
        <f t="shared" si="34"/>
        <v>4.0036670086788697E-5</v>
      </c>
      <c r="W63" s="2"/>
      <c r="X63" s="6">
        <f t="shared" si="35"/>
        <v>-132.78</v>
      </c>
      <c r="Y63" s="2"/>
      <c r="Z63" s="7">
        <f t="shared" si="36"/>
        <v>-0.87481881670839368</v>
      </c>
    </row>
    <row r="64" spans="1:26" s="26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SUM(OSRRefD22_12x_0)</f>
        <v>4990.619999999999</v>
      </c>
      <c r="E64" s="1"/>
      <c r="F64" s="5">
        <f t="shared" ref="F64:F67" si="37">IF(D$12=0,0,D64/D$12)</f>
        <v>-59.983413461538447</v>
      </c>
      <c r="G64" s="1"/>
      <c r="H64" s="1">
        <f>SUM(OSRRefH22_12x_0)</f>
        <v>6149.37</v>
      </c>
      <c r="I64" s="1"/>
      <c r="J64" s="5">
        <f t="shared" ref="J64:J67" si="38">IF(H$12=0,0,H64/H$12)</f>
        <v>4.8255112544805336E-2</v>
      </c>
      <c r="K64" s="1"/>
      <c r="L64" s="1">
        <f t="shared" ref="L64:L67" si="39">+D64-H64</f>
        <v>-1158.7500000000009</v>
      </c>
      <c r="M64" s="1"/>
      <c r="N64" s="5">
        <f t="shared" ref="N64:N67" si="40">IF(H64=0,0,L64/H64)</f>
        <v>-0.18843393713502374</v>
      </c>
      <c r="O64" s="12"/>
      <c r="P64" s="1">
        <f>SUM(OSRRefP22_12x_0)</f>
        <v>62280.75</v>
      </c>
      <c r="Q64" s="1"/>
      <c r="R64" s="5">
        <f t="shared" ref="R64:R67" si="41">IF(P$12=0,0,P64/P$12)</f>
        <v>2.6436389583135247</v>
      </c>
      <c r="S64" s="1"/>
      <c r="T64" s="1">
        <f>SUM(OSRRefT22_12x_0)</f>
        <v>70846.14</v>
      </c>
      <c r="U64" s="1"/>
      <c r="V64" s="5">
        <f t="shared" ref="V64:V67" si="42">IF(T$12=0,0,T64/T$12)</f>
        <v>1.8687860944145766E-2</v>
      </c>
      <c r="W64" s="1"/>
      <c r="X64" s="1">
        <f t="shared" ref="X64:X67" si="43">+P64-T64</f>
        <v>-8565.39</v>
      </c>
      <c r="Y64" s="1"/>
      <c r="Z64" s="5">
        <f t="shared" ref="Z64:Z67" si="44">IF(T64=0,0,X64/T64)</f>
        <v>-0.12090129398722357</v>
      </c>
    </row>
    <row r="65" spans="1:26" s="23" customFormat="1" hidden="1" outlineLevel="2" x14ac:dyDescent="0.25">
      <c r="A65" s="27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417.32</v>
      </c>
      <c r="E65" s="2"/>
      <c r="F65" s="7">
        <f t="shared" si="37"/>
        <v>-5.0158653846153847</v>
      </c>
      <c r="G65" s="2"/>
      <c r="H65" s="6">
        <v>417.32</v>
      </c>
      <c r="I65" s="2"/>
      <c r="J65" s="7">
        <f t="shared" si="38"/>
        <v>3.2747783215513397E-3</v>
      </c>
      <c r="K65" s="2"/>
      <c r="L65" s="6">
        <f t="shared" si="39"/>
        <v>0</v>
      </c>
      <c r="M65" s="2"/>
      <c r="N65" s="7">
        <f t="shared" si="40"/>
        <v>0</v>
      </c>
      <c r="O65" s="10"/>
      <c r="P65" s="6">
        <v>4678.8999999999996</v>
      </c>
      <c r="Q65" s="2"/>
      <c r="R65" s="7">
        <f t="shared" si="41"/>
        <v>0.19860586653264692</v>
      </c>
      <c r="S65" s="2"/>
      <c r="T65" s="6">
        <v>5127.84</v>
      </c>
      <c r="U65" s="2"/>
      <c r="V65" s="7">
        <f t="shared" si="42"/>
        <v>1.3526264220440015E-3</v>
      </c>
      <c r="W65" s="2"/>
      <c r="X65" s="6">
        <f t="shared" si="43"/>
        <v>-448.94000000000051</v>
      </c>
      <c r="Y65" s="2"/>
      <c r="Z65" s="7">
        <f t="shared" si="44"/>
        <v>-8.754953352678721E-2</v>
      </c>
    </row>
    <row r="66" spans="1:26" s="23" customFormat="1" hidden="1" outlineLevel="2" x14ac:dyDescent="0.25">
      <c r="A66" s="27"/>
      <c r="B66" s="10" t="str">
        <f>CONCATENATE("          ", "6285", " - ", "JANITORIAL SERVICES")</f>
        <v xml:space="preserve">          6285 - JANITORIAL SERVICES</v>
      </c>
      <c r="C66" s="10"/>
      <c r="D66" s="6">
        <v>4428.8599999999997</v>
      </c>
      <c r="E66" s="2"/>
      <c r="F66" s="7">
        <f t="shared" si="37"/>
        <v>-53.231490384615377</v>
      </c>
      <c r="G66" s="2"/>
      <c r="H66" s="6">
        <v>5732.05</v>
      </c>
      <c r="I66" s="2"/>
      <c r="J66" s="7">
        <f t="shared" si="38"/>
        <v>4.4980334223253995E-2</v>
      </c>
      <c r="K66" s="2"/>
      <c r="L66" s="6">
        <f t="shared" si="39"/>
        <v>-1303.1900000000005</v>
      </c>
      <c r="M66" s="2"/>
      <c r="N66" s="7">
        <f t="shared" si="40"/>
        <v>-0.22735147111417389</v>
      </c>
      <c r="O66" s="10"/>
      <c r="P66" s="6">
        <v>51347.27</v>
      </c>
      <c r="Q66" s="2"/>
      <c r="R66" s="7">
        <f t="shared" si="41"/>
        <v>2.1795441348256608</v>
      </c>
      <c r="S66" s="2"/>
      <c r="T66" s="6">
        <v>48799.03</v>
      </c>
      <c r="U66" s="2"/>
      <c r="V66" s="7">
        <f t="shared" si="42"/>
        <v>1.2872253687345528E-2</v>
      </c>
      <c r="W66" s="2"/>
      <c r="X66" s="6">
        <f t="shared" si="43"/>
        <v>2548.239999999998</v>
      </c>
      <c r="Y66" s="2"/>
      <c r="Z66" s="7">
        <f t="shared" si="44"/>
        <v>5.2219070747922612E-2</v>
      </c>
    </row>
    <row r="67" spans="1:26" s="23" customFormat="1" hidden="1" outlineLevel="2" x14ac:dyDescent="0.25">
      <c r="A67" s="27"/>
      <c r="B67" s="10" t="str">
        <f>CONCATENATE("          ", "6286", " - ", "LAUNDRY EXPENSE")</f>
        <v xml:space="preserve">          6286 - LAUNDRY EXPENSE</v>
      </c>
      <c r="C67" s="10"/>
      <c r="D67" s="6">
        <v>144.44</v>
      </c>
      <c r="E67" s="2"/>
      <c r="F67" s="7">
        <f t="shared" si="37"/>
        <v>-1.7360576923076922</v>
      </c>
      <c r="G67" s="2"/>
      <c r="H67" s="6"/>
      <c r="I67" s="2"/>
      <c r="J67" s="7">
        <f t="shared" si="38"/>
        <v>0</v>
      </c>
      <c r="K67" s="2"/>
      <c r="L67" s="6">
        <f t="shared" si="39"/>
        <v>144.44</v>
      </c>
      <c r="M67" s="2"/>
      <c r="N67" s="7">
        <f t="shared" si="40"/>
        <v>0</v>
      </c>
      <c r="O67" s="10"/>
      <c r="P67" s="6">
        <v>6254.58</v>
      </c>
      <c r="Q67" s="2"/>
      <c r="R67" s="7">
        <f t="shared" si="41"/>
        <v>0.26548895695521657</v>
      </c>
      <c r="S67" s="2"/>
      <c r="T67" s="6">
        <v>16919.27</v>
      </c>
      <c r="U67" s="2"/>
      <c r="V67" s="7">
        <f t="shared" si="42"/>
        <v>4.4629808347562356E-3</v>
      </c>
      <c r="W67" s="2"/>
      <c r="X67" s="6">
        <f t="shared" si="43"/>
        <v>-10664.69</v>
      </c>
      <c r="Y67" s="2"/>
      <c r="Z67" s="7">
        <f t="shared" si="44"/>
        <v>-0.63032802242649955</v>
      </c>
    </row>
    <row r="68" spans="1:26" s="26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SUM(OSRRefD22_13x_0)</f>
        <v>0</v>
      </c>
      <c r="E68" s="1"/>
      <c r="F68" s="5">
        <f t="shared" ref="F68:F76" si="45">IF(D$12=0,0,D68/D$12)</f>
        <v>0</v>
      </c>
      <c r="G68" s="1"/>
      <c r="H68" s="1">
        <f>SUM(OSRRefH22_13x_0)</f>
        <v>2874.1499999999996</v>
      </c>
      <c r="I68" s="1"/>
      <c r="J68" s="5">
        <f t="shared" ref="J68:J76" si="46">IF(H$12=0,0,H68/H$12)</f>
        <v>2.2553925316032737E-2</v>
      </c>
      <c r="K68" s="1"/>
      <c r="L68" s="1">
        <f t="shared" ref="L68:L76" si="47">+D68-H68</f>
        <v>-2874.1499999999996</v>
      </c>
      <c r="M68" s="1"/>
      <c r="N68" s="5">
        <f t="shared" ref="N68:N76" si="48">IF(H68=0,0,L68/H68)</f>
        <v>-1</v>
      </c>
      <c r="O68" s="12"/>
      <c r="P68" s="1">
        <f>SUM(OSRRefP22_13x_0)</f>
        <v>10125.33</v>
      </c>
      <c r="Q68" s="1"/>
      <c r="R68" s="5">
        <f t="shared" ref="R68:R76" si="49">IF(P$12=0,0,P68/P$12)</f>
        <v>0.42979117710979203</v>
      </c>
      <c r="S68" s="1"/>
      <c r="T68" s="1">
        <f>SUM(OSRRefT22_13x_0)</f>
        <v>66339.860000000015</v>
      </c>
      <c r="U68" s="1"/>
      <c r="V68" s="5">
        <f t="shared" ref="V68:V76" si="50">IF(T$12=0,0,T68/T$12)</f>
        <v>1.7499190199128677E-2</v>
      </c>
      <c r="W68" s="1"/>
      <c r="X68" s="1">
        <f t="shared" ref="X68:X76" si="51">+P68-T68</f>
        <v>-56214.530000000013</v>
      </c>
      <c r="Y68" s="1"/>
      <c r="Z68" s="5">
        <f t="shared" ref="Z68:Z76" si="52">IF(T68=0,0,X68/T68)</f>
        <v>-0.84737185155350048</v>
      </c>
    </row>
    <row r="69" spans="1:26" s="23" customFormat="1" hidden="1" outlineLevel="2" x14ac:dyDescent="0.25">
      <c r="A69" s="27"/>
      <c r="B69" s="10" t="str">
        <f>CONCATENATE("          ", "6235", " - ", "COVID-19 EXPENSES")</f>
        <v xml:space="preserve">          6235 - COVID-19 EXPENSES</v>
      </c>
      <c r="C69" s="10"/>
      <c r="D69" s="6"/>
      <c r="E69" s="2"/>
      <c r="F69" s="7">
        <f t="shared" si="45"/>
        <v>0</v>
      </c>
      <c r="G69" s="2"/>
      <c r="H69" s="6">
        <v>326.83</v>
      </c>
      <c r="I69" s="2"/>
      <c r="J69" s="7">
        <f t="shared" si="46"/>
        <v>2.5646884856527948E-3</v>
      </c>
      <c r="K69" s="2"/>
      <c r="L69" s="6">
        <f t="shared" si="47"/>
        <v>-326.83</v>
      </c>
      <c r="M69" s="2"/>
      <c r="N69" s="7">
        <f t="shared" si="48"/>
        <v>-1</v>
      </c>
      <c r="O69" s="10"/>
      <c r="P69" s="6">
        <v>1375.08</v>
      </c>
      <c r="Q69" s="2"/>
      <c r="R69" s="7">
        <f t="shared" si="49"/>
        <v>5.8368196574346991E-2</v>
      </c>
      <c r="S69" s="2"/>
      <c r="T69" s="6">
        <v>326.83</v>
      </c>
      <c r="U69" s="2"/>
      <c r="V69" s="7">
        <f t="shared" si="50"/>
        <v>8.6211522496146723E-5</v>
      </c>
      <c r="W69" s="2"/>
      <c r="X69" s="6">
        <f t="shared" si="51"/>
        <v>1048.25</v>
      </c>
      <c r="Y69" s="2"/>
      <c r="Z69" s="7">
        <f t="shared" si="52"/>
        <v>3.2073249089740847</v>
      </c>
    </row>
    <row r="70" spans="1:26" s="23" customFormat="1" hidden="1" outlineLevel="2" x14ac:dyDescent="0.25">
      <c r="A70" s="27"/>
      <c r="B70" s="10" t="str">
        <f>CONCATENATE("          ", "6237", " - ", "JANITORIAL SUPPLIES")</f>
        <v xml:space="preserve">          6237 - JANITORIAL SUPPLIES</v>
      </c>
      <c r="C70" s="10"/>
      <c r="D70" s="6"/>
      <c r="E70" s="2"/>
      <c r="F70" s="7">
        <f t="shared" si="45"/>
        <v>0</v>
      </c>
      <c r="G70" s="2"/>
      <c r="H70" s="6">
        <v>1075.9100000000001</v>
      </c>
      <c r="I70" s="2"/>
      <c r="J70" s="7">
        <f t="shared" si="46"/>
        <v>8.4428418094994306E-3</v>
      </c>
      <c r="K70" s="2"/>
      <c r="L70" s="6">
        <f t="shared" si="47"/>
        <v>-1075.9100000000001</v>
      </c>
      <c r="M70" s="2"/>
      <c r="N70" s="7">
        <f t="shared" si="48"/>
        <v>-1</v>
      </c>
      <c r="O70" s="10"/>
      <c r="P70" s="6">
        <v>4689.93</v>
      </c>
      <c r="Q70" s="2"/>
      <c r="R70" s="7">
        <f t="shared" si="49"/>
        <v>0.19907405835291561</v>
      </c>
      <c r="S70" s="2"/>
      <c r="T70" s="6">
        <v>27485.5</v>
      </c>
      <c r="U70" s="2"/>
      <c r="V70" s="7">
        <f t="shared" si="50"/>
        <v>7.2501508477429881E-3</v>
      </c>
      <c r="W70" s="2"/>
      <c r="X70" s="6">
        <f t="shared" si="51"/>
        <v>-22795.57</v>
      </c>
      <c r="Y70" s="2"/>
      <c r="Z70" s="7">
        <f t="shared" si="52"/>
        <v>-0.82936712084553676</v>
      </c>
    </row>
    <row r="71" spans="1:26" s="23" customFormat="1" hidden="1" outlineLevel="2" x14ac:dyDescent="0.25">
      <c r="A71" s="27"/>
      <c r="B71" s="10" t="str">
        <f>CONCATENATE("          ", "6239", " - ", "KITCHEN SUPPLIES")</f>
        <v xml:space="preserve">          6239 - KITCHEN SUPPLIES</v>
      </c>
      <c r="C71" s="10"/>
      <c r="D71" s="6"/>
      <c r="E71" s="2"/>
      <c r="F71" s="7">
        <f t="shared" si="45"/>
        <v>0</v>
      </c>
      <c r="G71" s="2"/>
      <c r="H71" s="6">
        <v>50</v>
      </c>
      <c r="I71" s="2"/>
      <c r="J71" s="7">
        <f t="shared" si="46"/>
        <v>3.92358180958418E-4</v>
      </c>
      <c r="K71" s="2"/>
      <c r="L71" s="6">
        <f t="shared" si="47"/>
        <v>-50</v>
      </c>
      <c r="M71" s="2"/>
      <c r="N71" s="7">
        <f t="shared" si="48"/>
        <v>-1</v>
      </c>
      <c r="O71" s="10"/>
      <c r="P71" s="6">
        <v>1031.07</v>
      </c>
      <c r="Q71" s="2"/>
      <c r="R71" s="7">
        <f t="shared" si="49"/>
        <v>4.3765960120074429E-2</v>
      </c>
      <c r="S71" s="2"/>
      <c r="T71" s="6">
        <v>5725.04</v>
      </c>
      <c r="U71" s="2"/>
      <c r="V71" s="7">
        <f t="shared" si="50"/>
        <v>1.5101563955308259E-3</v>
      </c>
      <c r="W71" s="2"/>
      <c r="X71" s="6">
        <f t="shared" si="51"/>
        <v>-4693.97</v>
      </c>
      <c r="Y71" s="2"/>
      <c r="Z71" s="7">
        <f t="shared" si="52"/>
        <v>-0.81990169500999122</v>
      </c>
    </row>
    <row r="72" spans="1:26" s="23" customFormat="1" hidden="1" outlineLevel="2" x14ac:dyDescent="0.25">
      <c r="A72" s="27"/>
      <c r="B72" s="10" t="str">
        <f>CONCATENATE("          ", "6241", " - ", "OFFICE EXPENSE")</f>
        <v xml:space="preserve">          6241 - OFFICE EXPENSE</v>
      </c>
      <c r="C72" s="10"/>
      <c r="D72" s="6"/>
      <c r="E72" s="2"/>
      <c r="F72" s="7">
        <f t="shared" si="45"/>
        <v>0</v>
      </c>
      <c r="G72" s="2"/>
      <c r="H72" s="6">
        <v>159.30000000000001</v>
      </c>
      <c r="I72" s="2"/>
      <c r="J72" s="7">
        <f t="shared" si="46"/>
        <v>1.2500531645335197E-3</v>
      </c>
      <c r="K72" s="2"/>
      <c r="L72" s="6">
        <f t="shared" si="47"/>
        <v>-159.30000000000001</v>
      </c>
      <c r="M72" s="2"/>
      <c r="N72" s="7">
        <f t="shared" si="48"/>
        <v>-1</v>
      </c>
      <c r="O72" s="10"/>
      <c r="P72" s="6">
        <v>19.7</v>
      </c>
      <c r="Q72" s="2"/>
      <c r="R72" s="7">
        <f t="shared" si="49"/>
        <v>8.3620841879355069E-4</v>
      </c>
      <c r="S72" s="2"/>
      <c r="T72" s="6">
        <v>2608.59</v>
      </c>
      <c r="U72" s="2"/>
      <c r="V72" s="7">
        <f t="shared" si="50"/>
        <v>6.880963053214925E-4</v>
      </c>
      <c r="W72" s="2"/>
      <c r="X72" s="6">
        <f t="shared" si="51"/>
        <v>-2588.8900000000003</v>
      </c>
      <c r="Y72" s="2"/>
      <c r="Z72" s="7">
        <f t="shared" si="52"/>
        <v>-0.99244802747844629</v>
      </c>
    </row>
    <row r="73" spans="1:26" s="23" customFormat="1" hidden="1" outlineLevel="2" x14ac:dyDescent="0.25">
      <c r="A73" s="27"/>
      <c r="B73" s="10" t="str">
        <f>CONCATENATE("          ", "6243", " - ", "PAPER SUPPLIES")</f>
        <v xml:space="preserve">          6243 - PAPER SUPPLIES</v>
      </c>
      <c r="C73" s="10"/>
      <c r="D73" s="6"/>
      <c r="E73" s="2"/>
      <c r="F73" s="7">
        <f t="shared" si="45"/>
        <v>0</v>
      </c>
      <c r="G73" s="2"/>
      <c r="H73" s="6">
        <v>1262.1099999999999</v>
      </c>
      <c r="I73" s="2"/>
      <c r="J73" s="7">
        <f t="shared" si="46"/>
        <v>9.9039836753885783E-3</v>
      </c>
      <c r="K73" s="2"/>
      <c r="L73" s="6">
        <f t="shared" si="47"/>
        <v>-1262.1099999999999</v>
      </c>
      <c r="M73" s="2"/>
      <c r="N73" s="7">
        <f t="shared" si="48"/>
        <v>-1</v>
      </c>
      <c r="O73" s="10"/>
      <c r="P73" s="6">
        <v>3009.55</v>
      </c>
      <c r="Q73" s="2"/>
      <c r="R73" s="7">
        <f t="shared" si="49"/>
        <v>0.12774675364366145</v>
      </c>
      <c r="S73" s="2"/>
      <c r="T73" s="6">
        <v>26148.77</v>
      </c>
      <c r="U73" s="2"/>
      <c r="V73" s="7">
        <f t="shared" si="50"/>
        <v>6.8975469605041355E-3</v>
      </c>
      <c r="W73" s="2"/>
      <c r="X73" s="6">
        <f t="shared" si="51"/>
        <v>-23139.22</v>
      </c>
      <c r="Y73" s="2"/>
      <c r="Z73" s="7">
        <f t="shared" si="52"/>
        <v>-0.8849066323196082</v>
      </c>
    </row>
    <row r="74" spans="1:26" s="23" customFormat="1" hidden="1" outlineLevel="2" x14ac:dyDescent="0.25">
      <c r="A74" s="27"/>
      <c r="B74" s="10" t="str">
        <f>CONCATENATE("          ", "6245", " - ", "PRINTING")</f>
        <v xml:space="preserve">          6245 - PRINTING</v>
      </c>
      <c r="C74" s="10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0"/>
      <c r="P74" s="6"/>
      <c r="Q74" s="2"/>
      <c r="R74" s="7">
        <f t="shared" si="49"/>
        <v>0</v>
      </c>
      <c r="S74" s="2"/>
      <c r="T74" s="6">
        <v>441</v>
      </c>
      <c r="U74" s="2"/>
      <c r="V74" s="7">
        <f t="shared" si="50"/>
        <v>1.163273916739611E-4</v>
      </c>
      <c r="W74" s="2"/>
      <c r="X74" s="6">
        <f t="shared" si="51"/>
        <v>-441</v>
      </c>
      <c r="Y74" s="2"/>
      <c r="Z74" s="7">
        <f t="shared" si="52"/>
        <v>-1</v>
      </c>
    </row>
    <row r="75" spans="1:26" s="23" customFormat="1" hidden="1" outlineLevel="2" x14ac:dyDescent="0.25">
      <c r="A75" s="27"/>
      <c r="B75" s="10" t="str">
        <f>CONCATENATE("          ", "6247", " - ", "STORE SUPPLIES")</f>
        <v xml:space="preserve">          6247 - STORE SUPPLIES</v>
      </c>
      <c r="C75" s="10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0"/>
      <c r="P75" s="6"/>
      <c r="Q75" s="2"/>
      <c r="R75" s="7">
        <f t="shared" si="49"/>
        <v>0</v>
      </c>
      <c r="S75" s="2"/>
      <c r="T75" s="6">
        <v>82.5</v>
      </c>
      <c r="U75" s="2"/>
      <c r="V75" s="7">
        <f t="shared" si="50"/>
        <v>2.1761927013836259E-5</v>
      </c>
      <c r="W75" s="2"/>
      <c r="X75" s="6">
        <f t="shared" si="51"/>
        <v>-82.5</v>
      </c>
      <c r="Y75" s="2"/>
      <c r="Z75" s="7">
        <f t="shared" si="52"/>
        <v>-1</v>
      </c>
    </row>
    <row r="76" spans="1:26" s="23" customFormat="1" hidden="1" outlineLevel="2" x14ac:dyDescent="0.25">
      <c r="A76" s="27"/>
      <c r="B76" s="10" t="str">
        <f>CONCATENATE("          ", "6248", " - ", "UNIFORMS")</f>
        <v xml:space="preserve">          6248 - UNIFORMS</v>
      </c>
      <c r="C76" s="10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0"/>
      <c r="P76" s="6"/>
      <c r="Q76" s="2"/>
      <c r="R76" s="7">
        <f t="shared" si="49"/>
        <v>0</v>
      </c>
      <c r="S76" s="2"/>
      <c r="T76" s="6">
        <v>3521.63</v>
      </c>
      <c r="U76" s="2"/>
      <c r="V76" s="7">
        <f t="shared" si="50"/>
        <v>9.2893884884528717E-4</v>
      </c>
      <c r="W76" s="2"/>
      <c r="X76" s="6">
        <f t="shared" si="51"/>
        <v>-3521.63</v>
      </c>
      <c r="Y76" s="2"/>
      <c r="Z76" s="7">
        <f t="shared" si="52"/>
        <v>-1</v>
      </c>
    </row>
    <row r="77" spans="1:26" s="26" customFormat="1" outlineLevel="1" collapsed="1" x14ac:dyDescent="0.25">
      <c r="A77" s="25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SUM(OSRRefD22_14x_0)</f>
        <v>164</v>
      </c>
      <c r="E77" s="1"/>
      <c r="F77" s="5">
        <f t="shared" ref="F77:F82" si="53">IF(D$12=0,0,D77/D$12)</f>
        <v>-1.971153846153846</v>
      </c>
      <c r="G77" s="1"/>
      <c r="H77" s="1">
        <f>SUM(OSRRefH22_14x_0)</f>
        <v>134</v>
      </c>
      <c r="I77" s="1"/>
      <c r="J77" s="5">
        <f t="shared" ref="J77:J82" si="54">IF(H$12=0,0,H77/H$12)</f>
        <v>1.0515199249685602E-3</v>
      </c>
      <c r="K77" s="1"/>
      <c r="L77" s="1">
        <f t="shared" ref="L77:L82" si="55">+D77-H77</f>
        <v>30</v>
      </c>
      <c r="M77" s="1"/>
      <c r="N77" s="5">
        <f t="shared" ref="N77:N82" si="56">IF(H77=0,0,L77/H77)</f>
        <v>0.22388059701492538</v>
      </c>
      <c r="O77" s="12"/>
      <c r="P77" s="1">
        <f>SUM(OSRRefP22_14x_0)</f>
        <v>1440</v>
      </c>
      <c r="Q77" s="1"/>
      <c r="R77" s="5">
        <f t="shared" ref="R77:R82" si="57">IF(P$12=0,0,P77/P$12)</f>
        <v>6.1123864114858532E-2</v>
      </c>
      <c r="S77" s="1"/>
      <c r="T77" s="1">
        <f>SUM(OSRRefT22_14x_0)</f>
        <v>1972.85</v>
      </c>
      <c r="U77" s="1"/>
      <c r="V77" s="5">
        <f t="shared" ref="V77:V82" si="58">IF(T$12=0,0,T77/T$12)</f>
        <v>5.204002146575378E-4</v>
      </c>
      <c r="W77" s="1"/>
      <c r="X77" s="1">
        <f t="shared" ref="X77:X82" si="59">+P77-T77</f>
        <v>-532.84999999999991</v>
      </c>
      <c r="Y77" s="1"/>
      <c r="Z77" s="5">
        <f t="shared" ref="Z77:Z82" si="60">IF(T77=0,0,X77/T77)</f>
        <v>-0.27009149200395366</v>
      </c>
    </row>
    <row r="78" spans="1:26" s="23" customFormat="1" hidden="1" outlineLevel="2" x14ac:dyDescent="0.25">
      <c r="A78" s="27"/>
      <c r="B78" s="10" t="str">
        <f>CONCATENATE("          ", "6309", " - ", "TELEPHONE")</f>
        <v xml:space="preserve">          6309 - TELEPHONE</v>
      </c>
      <c r="C78" s="10"/>
      <c r="D78" s="6">
        <v>164</v>
      </c>
      <c r="E78" s="2"/>
      <c r="F78" s="7">
        <f t="shared" si="53"/>
        <v>-1.971153846153846</v>
      </c>
      <c r="G78" s="2"/>
      <c r="H78" s="6">
        <v>134</v>
      </c>
      <c r="I78" s="2"/>
      <c r="J78" s="7">
        <f t="shared" si="54"/>
        <v>1.0515199249685602E-3</v>
      </c>
      <c r="K78" s="2"/>
      <c r="L78" s="6">
        <f t="shared" si="55"/>
        <v>30</v>
      </c>
      <c r="M78" s="2"/>
      <c r="N78" s="7">
        <f t="shared" si="56"/>
        <v>0.22388059701492538</v>
      </c>
      <c r="O78" s="10"/>
      <c r="P78" s="6">
        <v>1440</v>
      </c>
      <c r="Q78" s="2"/>
      <c r="R78" s="7">
        <f t="shared" si="57"/>
        <v>6.1123864114858532E-2</v>
      </c>
      <c r="S78" s="2"/>
      <c r="T78" s="6">
        <v>1972.85</v>
      </c>
      <c r="U78" s="2"/>
      <c r="V78" s="7">
        <f t="shared" si="58"/>
        <v>5.204002146575378E-4</v>
      </c>
      <c r="W78" s="2"/>
      <c r="X78" s="6">
        <f t="shared" si="59"/>
        <v>-532.84999999999991</v>
      </c>
      <c r="Y78" s="2"/>
      <c r="Z78" s="7">
        <f t="shared" si="60"/>
        <v>-0.27009149200395366</v>
      </c>
    </row>
    <row r="79" spans="1:26" s="26" customFormat="1" outlineLevel="1" collapsed="1" x14ac:dyDescent="0.25">
      <c r="A79" s="25"/>
      <c r="B79" s="12" t="str">
        <f>CONCATENATE("     ","Training                                          ")</f>
        <v xml:space="preserve">     Training                                          </v>
      </c>
      <c r="C79" s="12"/>
      <c r="D79" s="1">
        <f>SUM(OSRRefD22_15x_0)</f>
        <v>0</v>
      </c>
      <c r="E79" s="1"/>
      <c r="F79" s="5">
        <f t="shared" si="53"/>
        <v>0</v>
      </c>
      <c r="G79" s="1"/>
      <c r="H79" s="1">
        <f>SUM(OSRRefH22_15x_0)</f>
        <v>0</v>
      </c>
      <c r="I79" s="1"/>
      <c r="J79" s="5">
        <f t="shared" si="54"/>
        <v>0</v>
      </c>
      <c r="K79" s="1"/>
      <c r="L79" s="1">
        <f t="shared" si="55"/>
        <v>0</v>
      </c>
      <c r="M79" s="1"/>
      <c r="N79" s="5">
        <f t="shared" si="56"/>
        <v>0</v>
      </c>
      <c r="O79" s="12"/>
      <c r="P79" s="1">
        <f>SUM(OSRRefP22_15x_0)</f>
        <v>0</v>
      </c>
      <c r="Q79" s="1"/>
      <c r="R79" s="5">
        <f t="shared" si="57"/>
        <v>0</v>
      </c>
      <c r="S79" s="1"/>
      <c r="T79" s="1">
        <f>SUM(OSRRefT22_15x_0)</f>
        <v>678.48</v>
      </c>
      <c r="U79" s="1"/>
      <c r="V79" s="5">
        <f t="shared" si="58"/>
        <v>1.789700877617894E-4</v>
      </c>
      <c r="W79" s="1"/>
      <c r="X79" s="1">
        <f t="shared" si="59"/>
        <v>-678.48</v>
      </c>
      <c r="Y79" s="1"/>
      <c r="Z79" s="5">
        <f t="shared" si="60"/>
        <v>-1</v>
      </c>
    </row>
    <row r="80" spans="1:26" s="23" customFormat="1" hidden="1" outlineLevel="2" x14ac:dyDescent="0.25">
      <c r="A80" s="27"/>
      <c r="B80" s="10" t="str">
        <f>CONCATENATE("          ", "6376", " - ", "TRAINING")</f>
        <v xml:space="preserve">          6376 - TRAINING</v>
      </c>
      <c r="C80" s="10"/>
      <c r="D80" s="6"/>
      <c r="E80" s="2"/>
      <c r="F80" s="7">
        <f t="shared" si="53"/>
        <v>0</v>
      </c>
      <c r="G80" s="2"/>
      <c r="H80" s="6"/>
      <c r="I80" s="2"/>
      <c r="J80" s="7">
        <f t="shared" si="54"/>
        <v>0</v>
      </c>
      <c r="K80" s="2"/>
      <c r="L80" s="6">
        <f t="shared" si="55"/>
        <v>0</v>
      </c>
      <c r="M80" s="2"/>
      <c r="N80" s="7">
        <f t="shared" si="56"/>
        <v>0</v>
      </c>
      <c r="O80" s="10"/>
      <c r="P80" s="6"/>
      <c r="Q80" s="2"/>
      <c r="R80" s="7">
        <f t="shared" si="57"/>
        <v>0</v>
      </c>
      <c r="S80" s="2"/>
      <c r="T80" s="6">
        <v>678.48</v>
      </c>
      <c r="U80" s="2"/>
      <c r="V80" s="7">
        <f t="shared" si="58"/>
        <v>1.789700877617894E-4</v>
      </c>
      <c r="W80" s="2"/>
      <c r="X80" s="6">
        <f t="shared" si="59"/>
        <v>-678.48</v>
      </c>
      <c r="Y80" s="2"/>
      <c r="Z80" s="7">
        <f t="shared" si="60"/>
        <v>-1</v>
      </c>
    </row>
    <row r="81" spans="1:26" s="26" customFormat="1" outlineLevel="1" collapsed="1" x14ac:dyDescent="0.25">
      <c r="A81" s="25"/>
      <c r="B81" s="12" t="str">
        <f>CONCATENATE("     ","Travel                                            ")</f>
        <v xml:space="preserve">     Travel                                            </v>
      </c>
      <c r="C81" s="12"/>
      <c r="D81" s="1">
        <f>SUM(OSRRefD22_16x_0)</f>
        <v>0</v>
      </c>
      <c r="E81" s="1"/>
      <c r="F81" s="5">
        <f t="shared" si="53"/>
        <v>0</v>
      </c>
      <c r="G81" s="1"/>
      <c r="H81" s="1">
        <f>SUM(OSRRefH22_16x_0)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2"/>
      <c r="P81" s="1">
        <f>SUM(OSRRefP22_16x_0)</f>
        <v>0</v>
      </c>
      <c r="Q81" s="1"/>
      <c r="R81" s="5">
        <f t="shared" si="57"/>
        <v>0</v>
      </c>
      <c r="S81" s="1"/>
      <c r="T81" s="1">
        <f>SUM(OSRRefT22_16x_0)</f>
        <v>1429.86</v>
      </c>
      <c r="U81" s="1"/>
      <c r="V81" s="5">
        <f t="shared" si="58"/>
        <v>3.7716980557580502E-4</v>
      </c>
      <c r="W81" s="1"/>
      <c r="X81" s="1">
        <f t="shared" si="59"/>
        <v>-1429.86</v>
      </c>
      <c r="Y81" s="1"/>
      <c r="Z81" s="5">
        <f t="shared" si="60"/>
        <v>-1</v>
      </c>
    </row>
    <row r="82" spans="1:26" s="23" customFormat="1" hidden="1" outlineLevel="2" x14ac:dyDescent="0.25">
      <c r="A82" s="27"/>
      <c r="B82" s="10" t="str">
        <f>CONCATENATE("          ", "6292", " - ", "TRAVEL/CONFERENCE")</f>
        <v xml:space="preserve">          6292 - TRAVEL/CONFERENCE</v>
      </c>
      <c r="C82" s="10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0"/>
      <c r="P82" s="6"/>
      <c r="Q82" s="2"/>
      <c r="R82" s="7">
        <f t="shared" si="57"/>
        <v>0</v>
      </c>
      <c r="S82" s="2"/>
      <c r="T82" s="6">
        <v>1429.86</v>
      </c>
      <c r="U82" s="2"/>
      <c r="V82" s="7">
        <f t="shared" si="58"/>
        <v>3.7716980557580502E-4</v>
      </c>
      <c r="W82" s="2"/>
      <c r="X82" s="6">
        <f t="shared" si="59"/>
        <v>-1429.86</v>
      </c>
      <c r="Y82" s="2"/>
      <c r="Z82" s="7">
        <f t="shared" si="60"/>
        <v>-1</v>
      </c>
    </row>
    <row r="83" spans="1:26" s="57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x14ac:dyDescent="0.25">
      <c r="A84" s="11"/>
      <c r="B84" s="29" t="s">
        <v>292</v>
      </c>
      <c r="C84" s="11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1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11"/>
      <c r="B86" s="28" t="s">
        <v>276</v>
      </c>
      <c r="C86" s="28"/>
      <c r="D86" s="20">
        <f>+D22-D24+D84</f>
        <v>-47685.85</v>
      </c>
      <c r="E86" s="14"/>
      <c r="F86" s="21">
        <f>IF(D$12=0,0,D86/D$12)</f>
        <v>573.14723557692309</v>
      </c>
      <c r="G86" s="14"/>
      <c r="H86" s="20">
        <f>+H22-H24+H84</f>
        <v>28711.299999999988</v>
      </c>
      <c r="I86" s="14"/>
      <c r="J86" s="21">
        <f>IF(H$12=0,0,H86/H$12)</f>
        <v>0.22530226881902843</v>
      </c>
      <c r="K86" s="15"/>
      <c r="L86" s="20">
        <f>+D86-H86</f>
        <v>-76397.149999999994</v>
      </c>
      <c r="M86" s="15"/>
      <c r="N86" s="21">
        <f>IF(H86=0,0,L86/H86)</f>
        <v>-2.6608739416188061</v>
      </c>
      <c r="O86" s="29"/>
      <c r="P86" s="20">
        <f>+P22-P24+P84</f>
        <v>-564547.85999999987</v>
      </c>
      <c r="Q86" s="14"/>
      <c r="R86" s="21">
        <f>IF(P$12=0,0,P86/P$12)</f>
        <v>-23.963435195120951</v>
      </c>
      <c r="S86" s="14"/>
      <c r="T86" s="20">
        <f>+T22-T24+T84</f>
        <v>1207624.1199999999</v>
      </c>
      <c r="U86" s="14"/>
      <c r="V86" s="21">
        <f>IF(T$12=0,0,T86/T$12)</f>
        <v>0.31854821769197866</v>
      </c>
      <c r="W86" s="15"/>
      <c r="X86" s="20">
        <f>+P86-T86</f>
        <v>-1772171.9799999997</v>
      </c>
      <c r="Y86" s="15"/>
      <c r="Z86" s="21">
        <f>IF(T86=0,0,X86/T86)</f>
        <v>-1.4674864062834385</v>
      </c>
    </row>
    <row r="87" spans="1:26" x14ac:dyDescent="0.25">
      <c r="A87" s="9"/>
      <c r="B87" s="11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51"/>
      <c r="B88" s="11" t="s">
        <v>127</v>
      </c>
      <c r="C88" s="11"/>
      <c r="D88" s="4">
        <v>88.29</v>
      </c>
      <c r="E88" s="4"/>
      <c r="F88" s="13">
        <f>IF(D$12=0,0,D88/D$12)</f>
        <v>-1.0611778846153848</v>
      </c>
      <c r="G88" s="4"/>
      <c r="H88" s="4">
        <v>32960.89</v>
      </c>
      <c r="I88" s="4"/>
      <c r="J88" s="13">
        <f>IF(H$12=0,0,H88/H$12)</f>
        <v>0.25864949686341021</v>
      </c>
      <c r="K88" s="4"/>
      <c r="L88" s="4">
        <f>+D88-H88</f>
        <v>-32872.6</v>
      </c>
      <c r="M88" s="4"/>
      <c r="N88" s="13">
        <f>IF(H88=0,0,L88/H88)</f>
        <v>-0.99732137087317729</v>
      </c>
      <c r="O88" s="11"/>
      <c r="P88" s="4">
        <v>5034.28</v>
      </c>
      <c r="Q88" s="4"/>
      <c r="R88" s="13">
        <f>IF(P$12=0,0,P88/P$12)</f>
        <v>0.21369072683065971</v>
      </c>
      <c r="S88" s="4"/>
      <c r="T88" s="4">
        <v>448935.31</v>
      </c>
      <c r="U88" s="4"/>
      <c r="V88" s="13">
        <f>IF(T$12=0,0,T88/T$12)</f>
        <v>0.11842057515338128</v>
      </c>
      <c r="W88" s="4"/>
      <c r="X88" s="4">
        <f>+P88-T88</f>
        <v>-443901.02999999997</v>
      </c>
      <c r="Y88" s="4"/>
      <c r="Z88" s="13">
        <f>IF(T88=0,0,X88/T88)</f>
        <v>-0.98878617946091163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125</v>
      </c>
      <c r="C90" s="28"/>
      <c r="D90" s="35">
        <f>+D86-D88</f>
        <v>-47774.14</v>
      </c>
      <c r="E90" s="14"/>
      <c r="F90" s="36">
        <f>IF(D$12=0,0,D90/D$12)</f>
        <v>574.20841346153838</v>
      </c>
      <c r="G90" s="14"/>
      <c r="H90" s="35">
        <f>+H86-H88</f>
        <v>-4249.5900000000111</v>
      </c>
      <c r="I90" s="14"/>
      <c r="J90" s="36">
        <f>IF(H$12=0,0,H90/H$12)</f>
        <v>-3.3347228044381755E-2</v>
      </c>
      <c r="K90" s="15"/>
      <c r="L90" s="35">
        <f>D90-H90</f>
        <v>-43524.549999999988</v>
      </c>
      <c r="M90" s="15"/>
      <c r="N90" s="36">
        <f>IF(H90=0,0,L90/H90)</f>
        <v>10.242058645657552</v>
      </c>
      <c r="O90" s="29"/>
      <c r="P90" s="35">
        <f>+P86-P88</f>
        <v>-569582.1399999999</v>
      </c>
      <c r="Q90" s="14"/>
      <c r="R90" s="36">
        <f>IF(P$12=0,0,P90/P$12)</f>
        <v>-24.17712592195161</v>
      </c>
      <c r="S90" s="14"/>
      <c r="T90" s="35">
        <f>+T86-T88</f>
        <v>758688.80999999982</v>
      </c>
      <c r="U90" s="14"/>
      <c r="V90" s="36">
        <f>IF(T$12=0,0,T90/T$12)</f>
        <v>0.20012764253859736</v>
      </c>
      <c r="W90" s="15"/>
      <c r="X90" s="35">
        <f>P90-T90</f>
        <v>-1328270.9499999997</v>
      </c>
      <c r="Y90" s="15"/>
      <c r="Z90" s="36">
        <f>IF(T90=0,0,X90/T90)</f>
        <v>-1.7507454077252043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ht="15.75" thickBot="1" x14ac:dyDescent="0.3">
      <c r="A93" s="11"/>
      <c r="B93" s="28" t="s">
        <v>293</v>
      </c>
      <c r="C93" s="28"/>
      <c r="D93" s="30">
        <f>SUM(D90:D92)</f>
        <v>-47774.14</v>
      </c>
      <c r="E93" s="14"/>
      <c r="F93" s="31">
        <f>IF(D$12=0,0,D93/D$12)</f>
        <v>574.20841346153838</v>
      </c>
      <c r="G93" s="14"/>
      <c r="H93" s="30">
        <f>SUM(H90:H92)</f>
        <v>-4249.5900000000111</v>
      </c>
      <c r="I93" s="14"/>
      <c r="J93" s="31">
        <f>IF(H$12=0,0,H93/H$12)</f>
        <v>-3.3347228044381755E-2</v>
      </c>
      <c r="K93" s="15"/>
      <c r="L93" s="30">
        <f>+D93-H93</f>
        <v>-43524.549999999988</v>
      </c>
      <c r="M93" s="15"/>
      <c r="N93" s="31">
        <f>IF(H93=0,0,L93/H93)</f>
        <v>10.242058645657552</v>
      </c>
      <c r="O93" s="29"/>
      <c r="P93" s="30">
        <f>SUM(P90:P92)</f>
        <v>-569582.1399999999</v>
      </c>
      <c r="Q93" s="14"/>
      <c r="R93" s="31">
        <f>IF(P$12=0,0,P93/P$12)</f>
        <v>-24.17712592195161</v>
      </c>
      <c r="S93" s="14"/>
      <c r="T93" s="30">
        <f>SUM(T90:T92)</f>
        <v>758688.80999999982</v>
      </c>
      <c r="U93" s="14"/>
      <c r="V93" s="31">
        <f>IF(T$12=0,0,T93/T$12)</f>
        <v>0.20012764253859736</v>
      </c>
      <c r="W93" s="15"/>
      <c r="X93" s="30">
        <f>+P93-T93</f>
        <v>-1328270.9499999997</v>
      </c>
      <c r="Y93" s="15"/>
      <c r="Z93" s="31">
        <f>IF(T93=0,0,X93/T93)</f>
        <v>-1.7507454077252043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9">
        <v>44356.893348032405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2" t="s">
        <v>56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5179.0200000000004</v>
      </c>
      <c r="U12" s="4"/>
      <c r="V12" s="13"/>
      <c r="W12" s="4"/>
      <c r="X12" s="4">
        <f t="shared" ref="X12:X15" si="2">+P12-T12</f>
        <v>-5179.0200000000004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"4155", " - ", "NON-TAXABLE SALES-FOOD")</f>
        <v xml:space="preserve">          4155 -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0</v>
      </c>
      <c r="E17" s="4"/>
      <c r="F17" s="13">
        <f t="shared" ref="F17:F19" si="7">IF(D$12=0,0,D17/D$12)</f>
        <v>0</v>
      </c>
      <c r="G17" s="4"/>
      <c r="H17" s="4">
        <f>SUM(OSRRefH16x_0)</f>
        <v>0</v>
      </c>
      <c r="I17" s="4"/>
      <c r="J17" s="13">
        <f t="shared" ref="J17:J19" si="8">IF(H$12=0,0,H17/H$12)</f>
        <v>0</v>
      </c>
      <c r="K17" s="4"/>
      <c r="L17" s="4">
        <f t="shared" ref="L17:L19" si="9">+D17-H17</f>
        <v>0</v>
      </c>
      <c r="M17" s="4"/>
      <c r="N17" s="13">
        <f t="shared" ref="N17:N19" si="10">IF(H17=0,0,L17/H17)</f>
        <v>0</v>
      </c>
      <c r="O17" s="11"/>
      <c r="P17" s="4">
        <f>SUM(OSRRefP16x_0)</f>
        <v>0</v>
      </c>
      <c r="Q17" s="4"/>
      <c r="R17" s="13">
        <f t="shared" ref="R17:R19" si="11">IF(P$12=0,0,P17/P$12)</f>
        <v>0</v>
      </c>
      <c r="S17" s="4"/>
      <c r="T17" s="4">
        <f>SUM(OSRRefT16x_0)</f>
        <v>6466.4699999999993</v>
      </c>
      <c r="U17" s="4"/>
      <c r="V17" s="13">
        <f t="shared" ref="V17:V19" si="12">IF(T$12=0,0,T17/T$12)</f>
        <v>1.2485895014886983</v>
      </c>
      <c r="W17" s="4"/>
      <c r="X17" s="4">
        <f t="shared" ref="X17:X19" si="13">+P17-T17</f>
        <v>-6466.4699999999993</v>
      </c>
      <c r="Y17" s="4"/>
      <c r="Z17" s="13">
        <f t="shared" ref="Z17:Z19" si="14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0"/>
      <c r="P19" s="2"/>
      <c r="Q19" s="2"/>
      <c r="R19" s="19">
        <f t="shared" si="11"/>
        <v>0</v>
      </c>
      <c r="S19" s="2"/>
      <c r="T19" s="2">
        <v>2517.9899999999998</v>
      </c>
      <c r="U19" s="2"/>
      <c r="V19" s="19">
        <f t="shared" si="12"/>
        <v>0.48619043757313152</v>
      </c>
      <c r="W19" s="2"/>
      <c r="X19" s="2">
        <f t="shared" si="13"/>
        <v>-2517.9899999999998</v>
      </c>
      <c r="Y19" s="2"/>
      <c r="Z19" s="19">
        <f t="shared" si="14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0</v>
      </c>
      <c r="I21" s="14"/>
      <c r="J21" s="21">
        <f>IF(H$12=0,0,H21/H$12)</f>
        <v>0</v>
      </c>
      <c r="K21" s="15"/>
      <c r="L21" s="20">
        <f>+D21-H21</f>
        <v>0</v>
      </c>
      <c r="M21" s="15"/>
      <c r="N21" s="21">
        <f>IF(H21=0,0,L21/H21)</f>
        <v>0</v>
      </c>
      <c r="O21" s="29"/>
      <c r="P21" s="20">
        <f>P12-P17</f>
        <v>0</v>
      </c>
      <c r="Q21" s="14"/>
      <c r="R21" s="21">
        <f>IF(P$12=0,0,P21/P$12)</f>
        <v>0</v>
      </c>
      <c r="S21" s="14"/>
      <c r="T21" s="20">
        <f>T12-T17</f>
        <v>-1287.4499999999989</v>
      </c>
      <c r="U21" s="14"/>
      <c r="V21" s="21">
        <f>IF(T$12=0,0,T21/T$12)</f>
        <v>-0.24858950148869841</v>
      </c>
      <c r="W21" s="15"/>
      <c r="X21" s="20">
        <f>+P21-T21</f>
        <v>1287.4499999999989</v>
      </c>
      <c r="Y21" s="15"/>
      <c r="Z21" s="21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2">
        <f>SUM(OSRRefD22x_0)</f>
        <v>0</v>
      </c>
      <c r="E23" s="22"/>
      <c r="F23" s="32">
        <f t="shared" ref="F23:F27" si="15">IF(D$12=0,0,D23/D$12)</f>
        <v>0</v>
      </c>
      <c r="G23" s="22"/>
      <c r="H23" s="22">
        <f>SUM(OSRRefH22x_0)</f>
        <v>75.5</v>
      </c>
      <c r="I23" s="22"/>
      <c r="J23" s="32">
        <f t="shared" ref="J23:J27" si="16">IF(H$12=0,0,H23/H$12)</f>
        <v>0</v>
      </c>
      <c r="K23" s="4"/>
      <c r="L23" s="22">
        <f t="shared" ref="L23:L27" si="17">+D23-H23</f>
        <v>-75.5</v>
      </c>
      <c r="M23" s="4"/>
      <c r="N23" s="32">
        <f t="shared" ref="N23:N27" si="18">IF(H23=0,0,L23/H23)</f>
        <v>-1</v>
      </c>
      <c r="O23" s="11"/>
      <c r="P23" s="22">
        <f>SUM(OSRRefP22x_0)</f>
        <v>178.69</v>
      </c>
      <c r="Q23" s="22"/>
      <c r="R23" s="32">
        <f t="shared" ref="R23:R27" si="19">IF(P$12=0,0,P23/P$12)</f>
        <v>0</v>
      </c>
      <c r="S23" s="22"/>
      <c r="T23" s="22">
        <f>SUM(OSRRefT22x_0)</f>
        <v>15889.219999999998</v>
      </c>
      <c r="U23" s="22"/>
      <c r="V23" s="32">
        <f t="shared" ref="V23:V27" si="20">IF(T$12=0,0,T23/T$12)</f>
        <v>3.0679974203613805</v>
      </c>
      <c r="W23" s="4"/>
      <c r="X23" s="22">
        <f t="shared" ref="X23:X27" si="21">+P23-T23</f>
        <v>-15710.529999999997</v>
      </c>
      <c r="Y23" s="4"/>
      <c r="Z23" s="32">
        <f t="shared" ref="Z23:Z27" si="22">IF(T23=0,0,X23/T23)</f>
        <v>-0.98875401058075851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0</v>
      </c>
      <c r="I24" s="1"/>
      <c r="J24" s="5">
        <f t="shared" si="16"/>
        <v>0</v>
      </c>
      <c r="K24" s="1"/>
      <c r="L24" s="1">
        <f t="shared" si="17"/>
        <v>0</v>
      </c>
      <c r="M24" s="1"/>
      <c r="N24" s="5">
        <f t="shared" si="18"/>
        <v>0</v>
      </c>
      <c r="O24" s="12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858.58</v>
      </c>
      <c r="U24" s="1"/>
      <c r="V24" s="5">
        <f t="shared" si="20"/>
        <v>0.16578039860823091</v>
      </c>
      <c r="W24" s="1"/>
      <c r="X24" s="1">
        <f t="shared" si="21"/>
        <v>-858.58</v>
      </c>
      <c r="Y24" s="1"/>
      <c r="Z24" s="5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34.9</v>
      </c>
      <c r="U27" s="2"/>
      <c r="V27" s="7">
        <f t="shared" si="20"/>
        <v>6.7387266316793516E-3</v>
      </c>
      <c r="W27" s="2"/>
      <c r="X27" s="6">
        <f t="shared" si="21"/>
        <v>-34.9</v>
      </c>
      <c r="Y27" s="2"/>
      <c r="Z27" s="7">
        <f t="shared" si="22"/>
        <v>-1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2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3" customFormat="1" hidden="1" outlineLevel="2" x14ac:dyDescent="0.25">
      <c r="A29" s="27"/>
      <c r="B29" s="10" t="str">
        <f>CONCATENATE("          ", "6005", " - ", "TEMPORARY WAGES-HOURLY")</f>
        <v xml:space="preserve">          6005 - TEMPORARY WAGES-HOURLY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3" customFormat="1" hidden="1" outlineLevel="2" x14ac:dyDescent="0.25">
      <c r="A30" s="27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6" customFormat="1" outlineLevel="1" collapsed="1" x14ac:dyDescent="0.25">
      <c r="A32" s="25"/>
      <c r="B32" s="12" t="str">
        <f>CONCATENATE("     ","Bad Debts/Over/Short                              ")</f>
        <v xml:space="preserve">     Bad Debts/Over/Short                              </v>
      </c>
      <c r="C32" s="12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2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3" customFormat="1" hidden="1" outlineLevel="2" x14ac:dyDescent="0.25">
      <c r="A33" s="27"/>
      <c r="B33" s="10" t="str">
        <f>CONCATENATE("          ", "6272", " - ", "CASH (OVER/SHORT)")</f>
        <v xml:space="preserve">          6272 - CASH (OVER/SHORT)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6" customFormat="1" outlineLevel="1" collapsed="1" x14ac:dyDescent="0.25">
      <c r="A34" s="25"/>
      <c r="B34" s="12" t="str">
        <f>CONCATENATE("     ","Bank/card Fees                                    ")</f>
        <v xml:space="preserve">     Bank/card Fees      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3" customFormat="1" hidden="1" outlineLevel="2" x14ac:dyDescent="0.25">
      <c r="A35" s="27"/>
      <c r="B35" s="10" t="str">
        <f>CONCATENATE("          ", "6381", " - ", "BANK/CREDIT CARD FEES")</f>
        <v xml:space="preserve">          6381 - BANK/CREDIT CARD FEES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6" customFormat="1" outlineLevel="1" collapsed="1" x14ac:dyDescent="0.25">
      <c r="A36" s="25"/>
      <c r="B36" s="12" t="str">
        <f>CONCATENATE("     ","Employees' Appreciation                           ")</f>
        <v xml:space="preserve">     Employees' Appreciation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3" customFormat="1" hidden="1" outlineLevel="2" x14ac:dyDescent="0.25">
      <c r="A37" s="27"/>
      <c r="B37" s="10" t="str">
        <f>CONCATENATE("          ", "6277", " - ", "EMPLOYEE APPRECIATION")</f>
        <v xml:space="preserve">          6277 - EMPLOYEE APPRECIATION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6" customFormat="1" outlineLevel="1" collapsed="1" x14ac:dyDescent="0.25">
      <c r="A38" s="25"/>
      <c r="B38" s="12" t="str">
        <f>CONCATENATE("     ","General                                           ")</f>
        <v xml:space="preserve">     General                                           </v>
      </c>
      <c r="C38" s="12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3" customFormat="1" hidden="1" outlineLevel="2" x14ac:dyDescent="0.25">
      <c r="A39" s="27"/>
      <c r="B39" s="10" t="str">
        <f>CONCATENATE("          ", "6279", " - ", "GENERAL EXPENSE")</f>
        <v xml:space="preserve">          6279 - GENERAL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","R/H Commissions                                   ")</f>
        <v xml:space="preserve">     R/H Commissions        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"6387", " - ", "COMMISSION DUE HOUSING")</f>
        <v xml:space="preserve">          6387 - COMMISSION DUE HOUSING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","Supplies                                          ")</f>
        <v xml:space="preserve">     Supplies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"6237", " - ", "JANITORIAL SUPPLIES")</f>
        <v xml:space="preserve">          6237 - JANITORIAL SUPPLIES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3" customFormat="1" hidden="1" outlineLevel="2" x14ac:dyDescent="0.25">
      <c r="A44" s="27"/>
      <c r="B44" s="10" t="str">
        <f>CONCATENATE("          ", "6247", " - ", "STORE SUPPLIES")</f>
        <v xml:space="preserve">          6247 - STORE SUPPLIES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3" customFormat="1" hidden="1" outlineLevel="2" x14ac:dyDescent="0.25">
      <c r="A45" s="27"/>
      <c r="B45" s="10" t="str">
        <f>CONCATENATE("          ", "6248", " - ", "UNIFORMS")</f>
        <v xml:space="preserve">          6248 - UNIFORMS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6" customFormat="1" outlineLevel="1" collapsed="1" x14ac:dyDescent="0.25">
      <c r="A46" s="25"/>
      <c r="B46" s="12" t="str">
        <f>CONCATENATE("     ","Telephone/Data Lines                              ")</f>
        <v xml:space="preserve">     Telephone/Data Lines                              </v>
      </c>
      <c r="C46" s="12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75.5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-75.5</v>
      </c>
      <c r="M46" s="1"/>
      <c r="N46" s="5">
        <f t="shared" ref="N46:N47" si="42">IF(H46=0,0,L46/H46)</f>
        <v>-1</v>
      </c>
      <c r="O46" s="12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790.5</v>
      </c>
      <c r="U46" s="1"/>
      <c r="V46" s="5">
        <f t="shared" ref="V46:V47" si="44">IF(T$12=0,0,T46/T$12)</f>
        <v>0.15263505450838188</v>
      </c>
      <c r="W46" s="1"/>
      <c r="X46" s="1">
        <f t="shared" ref="X46:X47" si="45">+P46-T46</f>
        <v>-611.80999999999995</v>
      </c>
      <c r="Y46" s="1"/>
      <c r="Z46" s="5">
        <f t="shared" ref="Z46:Z47" si="46">IF(T46=0,0,X46/T46)</f>
        <v>-0.77395319418089814</v>
      </c>
    </row>
    <row r="47" spans="1:26" s="23" customFormat="1" hidden="1" outlineLevel="2" x14ac:dyDescent="0.25">
      <c r="A47" s="27"/>
      <c r="B47" s="10" t="str">
        <f>CONCATENATE("          ", "6309", " - ", "TELEPHONE")</f>
        <v xml:space="preserve">          6309 - TELEPHONE</v>
      </c>
      <c r="C47" s="10"/>
      <c r="D47" s="6"/>
      <c r="E47" s="2"/>
      <c r="F47" s="7">
        <f t="shared" si="39"/>
        <v>0</v>
      </c>
      <c r="G47" s="2"/>
      <c r="H47" s="6">
        <v>75.5</v>
      </c>
      <c r="I47" s="2"/>
      <c r="J47" s="7">
        <f t="shared" si="40"/>
        <v>0</v>
      </c>
      <c r="K47" s="2"/>
      <c r="L47" s="6">
        <f t="shared" si="41"/>
        <v>-75.5</v>
      </c>
      <c r="M47" s="2"/>
      <c r="N47" s="7">
        <f t="shared" si="42"/>
        <v>-1</v>
      </c>
      <c r="O47" s="10"/>
      <c r="P47" s="6">
        <v>178.69</v>
      </c>
      <c r="Q47" s="2"/>
      <c r="R47" s="7">
        <f t="shared" si="43"/>
        <v>0</v>
      </c>
      <c r="S47" s="2"/>
      <c r="T47" s="6">
        <v>790.5</v>
      </c>
      <c r="U47" s="2"/>
      <c r="V47" s="7">
        <f t="shared" si="44"/>
        <v>0.15263505450838188</v>
      </c>
      <c r="W47" s="2"/>
      <c r="X47" s="6">
        <f t="shared" si="45"/>
        <v>-611.80999999999995</v>
      </c>
      <c r="Y47" s="2"/>
      <c r="Z47" s="7">
        <f t="shared" si="46"/>
        <v>-0.77395319418089814</v>
      </c>
    </row>
    <row r="48" spans="1:26" s="57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0">
        <f>+D21-D23+D49</f>
        <v>0</v>
      </c>
      <c r="E51" s="14"/>
      <c r="F51" s="21">
        <f>IF(D$12=0,0,D51/D$12)</f>
        <v>0</v>
      </c>
      <c r="G51" s="14"/>
      <c r="H51" s="20">
        <f>+H21-H23+H49</f>
        <v>-75.5</v>
      </c>
      <c r="I51" s="14"/>
      <c r="J51" s="21">
        <f>IF(H$12=0,0,H51/H$12)</f>
        <v>0</v>
      </c>
      <c r="K51" s="15"/>
      <c r="L51" s="20">
        <f>+D51-H51</f>
        <v>75.5</v>
      </c>
      <c r="M51" s="15"/>
      <c r="N51" s="21">
        <f>IF(H51=0,0,L51/H51)</f>
        <v>-1</v>
      </c>
      <c r="O51" s="29"/>
      <c r="P51" s="20">
        <f>+P21-P23+P49</f>
        <v>-178.69</v>
      </c>
      <c r="Q51" s="14"/>
      <c r="R51" s="21">
        <f>IF(P$12=0,0,P51/P$12)</f>
        <v>0</v>
      </c>
      <c r="S51" s="14"/>
      <c r="T51" s="20">
        <f>+T21-T23+T49</f>
        <v>-17176.669999999998</v>
      </c>
      <c r="U51" s="14"/>
      <c r="V51" s="21">
        <f>IF(T$12=0,0,T51/T$12)</f>
        <v>-3.316586921850079</v>
      </c>
      <c r="W51" s="15"/>
      <c r="X51" s="20">
        <f>+P51-T51</f>
        <v>16997.98</v>
      </c>
      <c r="Y51" s="15"/>
      <c r="Z51" s="21">
        <f>IF(T51=0,0,X51/T51)</f>
        <v>-0.98959693584379282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>
        <v>25.26</v>
      </c>
      <c r="I53" s="4"/>
      <c r="J53" s="13">
        <f>IF(H$12=0,0,H53/H$12)</f>
        <v>0</v>
      </c>
      <c r="K53" s="4"/>
      <c r="L53" s="4">
        <f>+D53-H53</f>
        <v>-25.26</v>
      </c>
      <c r="M53" s="4"/>
      <c r="N53" s="13">
        <f>IF(H53=0,0,L53/H53)</f>
        <v>-1</v>
      </c>
      <c r="O53" s="11"/>
      <c r="P53" s="4"/>
      <c r="Q53" s="4"/>
      <c r="R53" s="13">
        <f>IF(P$12=0,0,P53/P$12)</f>
        <v>0</v>
      </c>
      <c r="S53" s="4"/>
      <c r="T53" s="4">
        <v>613.29999999999995</v>
      </c>
      <c r="U53" s="4"/>
      <c r="V53" s="13">
        <f>IF(T$12=0,0,T53/T$12)</f>
        <v>0.11842008719796407</v>
      </c>
      <c r="W53" s="4"/>
      <c r="X53" s="4">
        <f>+P53-T53</f>
        <v>-613.29999999999995</v>
      </c>
      <c r="Y53" s="4"/>
      <c r="Z53" s="13">
        <f>IF(T53=0,0,X53/T53)</f>
        <v>-1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5">
        <f>+D51-D53</f>
        <v>0</v>
      </c>
      <c r="E55" s="14"/>
      <c r="F55" s="36">
        <f>IF(D$12=0,0,D55/D$12)</f>
        <v>0</v>
      </c>
      <c r="G55" s="14"/>
      <c r="H55" s="35">
        <f>+H51-H53</f>
        <v>-100.76</v>
      </c>
      <c r="I55" s="14"/>
      <c r="J55" s="36">
        <f>IF(H$12=0,0,H55/H$12)</f>
        <v>0</v>
      </c>
      <c r="K55" s="15"/>
      <c r="L55" s="35">
        <f>D55-H55</f>
        <v>100.76</v>
      </c>
      <c r="M55" s="15"/>
      <c r="N55" s="36">
        <f>IF(H55=0,0,L55/H55)</f>
        <v>-1</v>
      </c>
      <c r="O55" s="29"/>
      <c r="P55" s="35">
        <f>+P51-P53</f>
        <v>-178.69</v>
      </c>
      <c r="Q55" s="14"/>
      <c r="R55" s="36">
        <f>IF(P$12=0,0,P55/P$12)</f>
        <v>0</v>
      </c>
      <c r="S55" s="14"/>
      <c r="T55" s="35">
        <f>+T51-T53</f>
        <v>-17789.969999999998</v>
      </c>
      <c r="U55" s="14"/>
      <c r="V55" s="36">
        <f>IF(T$12=0,0,T55/T$12)</f>
        <v>-3.4350070090480429</v>
      </c>
      <c r="W55" s="15"/>
      <c r="X55" s="35">
        <f>P55-T55</f>
        <v>17611.28</v>
      </c>
      <c r="Y55" s="15"/>
      <c r="Z55" s="36">
        <f>IF(T55=0,0,X55/T55)</f>
        <v>-0.98995557609147189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0">
        <f>SUM(D55:D57)</f>
        <v>0</v>
      </c>
      <c r="E58" s="14"/>
      <c r="F58" s="31">
        <f>IF(D$12=0,0,D58/D$12)</f>
        <v>0</v>
      </c>
      <c r="G58" s="14"/>
      <c r="H58" s="30">
        <f>SUM(H55:H57)</f>
        <v>-100.76</v>
      </c>
      <c r="I58" s="14"/>
      <c r="J58" s="31">
        <f>IF(H$12=0,0,H58/H$12)</f>
        <v>0</v>
      </c>
      <c r="K58" s="15"/>
      <c r="L58" s="30">
        <f>+D58-H58</f>
        <v>100.76</v>
      </c>
      <c r="M58" s="15"/>
      <c r="N58" s="31">
        <f>IF(H58=0,0,L58/H58)</f>
        <v>-1</v>
      </c>
      <c r="O58" s="29"/>
      <c r="P58" s="30">
        <f>SUM(P55:P57)</f>
        <v>-178.69</v>
      </c>
      <c r="Q58" s="14"/>
      <c r="R58" s="31">
        <f>IF(P$12=0,0,P58/P$12)</f>
        <v>0</v>
      </c>
      <c r="S58" s="14"/>
      <c r="T58" s="30">
        <f>SUM(T55:T57)</f>
        <v>-17789.969999999998</v>
      </c>
      <c r="U58" s="14"/>
      <c r="V58" s="31">
        <f>IF(T$12=0,0,T58/T$12)</f>
        <v>-3.4350070090480429</v>
      </c>
      <c r="W58" s="15"/>
      <c r="X58" s="30">
        <f>+P58-T58</f>
        <v>17611.28</v>
      </c>
      <c r="Y58" s="15"/>
      <c r="Z58" s="31">
        <f>IF(T58=0,0,X58/T58)</f>
        <v>-0.98995557609147189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>
        <v>44356.893348032405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52" t="s">
        <v>56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4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50611.9</v>
      </c>
      <c r="E12" s="4"/>
      <c r="F12" s="13"/>
      <c r="G12" s="4"/>
      <c r="H12" s="4">
        <f>SUM(OSRRefH13x_0)</f>
        <v>-4002.66</v>
      </c>
      <c r="I12" s="4"/>
      <c r="J12" s="13"/>
      <c r="K12" s="4"/>
      <c r="L12" s="4">
        <f t="shared" ref="L12:L15" si="0">+D12-H12</f>
        <v>54614.559999999998</v>
      </c>
      <c r="M12" s="4"/>
      <c r="N12" s="13">
        <f t="shared" ref="N12:N15" si="1">IF(H12=0,0,L12/H12)</f>
        <v>-13.64456636336836</v>
      </c>
      <c r="O12" s="11"/>
      <c r="P12" s="4">
        <f>SUM(OSRRefP13x_0)</f>
        <v>968325.88</v>
      </c>
      <c r="Q12" s="4"/>
      <c r="R12" s="13"/>
      <c r="S12" s="4"/>
      <c r="T12" s="4">
        <f>SUM(OSRRefT13x_0)</f>
        <v>3380440.62</v>
      </c>
      <c r="U12" s="4"/>
      <c r="V12" s="13"/>
      <c r="W12" s="4"/>
      <c r="X12" s="4">
        <f t="shared" ref="X12:X15" si="2">+P12-T12</f>
        <v>-2412114.7400000002</v>
      </c>
      <c r="Y12" s="4"/>
      <c r="Z12" s="13">
        <f t="shared" ref="Z12:Z15" si="3">IF(T12=0,0,X12/T12)</f>
        <v>-0.71355039509612805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--21.66</f>
        <v>21.66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21.66</v>
      </c>
      <c r="M13" s="2"/>
      <c r="N13" s="19">
        <f t="shared" si="1"/>
        <v>0</v>
      </c>
      <c r="O13" s="10"/>
      <c r="P13" s="2">
        <f>--888.91</f>
        <v>888.91</v>
      </c>
      <c r="Q13" s="2"/>
      <c r="R13" s="19"/>
      <c r="S13" s="2"/>
      <c r="T13" s="2">
        <f>--4314.79</f>
        <v>4314.79</v>
      </c>
      <c r="U13" s="2"/>
      <c r="V13" s="19"/>
      <c r="W13" s="2"/>
      <c r="X13" s="2">
        <f t="shared" si="2"/>
        <v>-3425.88</v>
      </c>
      <c r="Y13" s="2"/>
      <c r="Z13" s="19">
        <f t="shared" si="3"/>
        <v>-0.7939853387998026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--47615</f>
        <v>47615</v>
      </c>
      <c r="E14" s="2"/>
      <c r="F14" s="19"/>
      <c r="G14" s="2"/>
      <c r="H14" s="2">
        <f>-4002.66</f>
        <v>-4002.66</v>
      </c>
      <c r="I14" s="2"/>
      <c r="J14" s="19"/>
      <c r="K14" s="2"/>
      <c r="L14" s="2">
        <f t="shared" si="0"/>
        <v>51617.66</v>
      </c>
      <c r="M14" s="2"/>
      <c r="N14" s="19">
        <f t="shared" si="1"/>
        <v>-12.895839266887521</v>
      </c>
      <c r="O14" s="10"/>
      <c r="P14" s="2">
        <f>--924347.72</f>
        <v>924347.72</v>
      </c>
      <c r="Q14" s="2"/>
      <c r="R14" s="19"/>
      <c r="S14" s="2"/>
      <c r="T14" s="2">
        <f>--3330013.39</f>
        <v>3330013.39</v>
      </c>
      <c r="U14" s="2"/>
      <c r="V14" s="19"/>
      <c r="W14" s="2"/>
      <c r="X14" s="2">
        <f t="shared" si="2"/>
        <v>-2405665.67</v>
      </c>
      <c r="Y14" s="2"/>
      <c r="Z14" s="19">
        <f t="shared" si="3"/>
        <v>-0.72241921826026045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>--2975.24</f>
        <v>2975.24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2975.24</v>
      </c>
      <c r="M15" s="2"/>
      <c r="N15" s="19">
        <f t="shared" si="1"/>
        <v>0</v>
      </c>
      <c r="O15" s="10"/>
      <c r="P15" s="2">
        <f>--43089.25</f>
        <v>43089.25</v>
      </c>
      <c r="Q15" s="2"/>
      <c r="R15" s="19"/>
      <c r="S15" s="2"/>
      <c r="T15" s="2">
        <f>--46112.44</f>
        <v>46112.44</v>
      </c>
      <c r="U15" s="2"/>
      <c r="V15" s="19"/>
      <c r="W15" s="2"/>
      <c r="X15" s="2">
        <f t="shared" si="2"/>
        <v>-3023.1900000000023</v>
      </c>
      <c r="Y15" s="2"/>
      <c r="Z15" s="19">
        <f t="shared" si="3"/>
        <v>-6.5561267198179105E-2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25181.79</v>
      </c>
      <c r="E17" s="4"/>
      <c r="F17" s="13">
        <f t="shared" ref="F17:F19" si="4">IF(D$12=0,0,D17/D$12)</f>
        <v>0.49754682199245631</v>
      </c>
      <c r="G17" s="4"/>
      <c r="H17" s="4">
        <f>SUM(OSRRefH16x_0)</f>
        <v>4911</v>
      </c>
      <c r="I17" s="4"/>
      <c r="J17" s="13">
        <f t="shared" ref="J17:J19" si="5">IF(H$12=0,0,H17/H$12)</f>
        <v>-1.2269340888309275</v>
      </c>
      <c r="K17" s="4"/>
      <c r="L17" s="4">
        <f t="shared" ref="L17:L19" si="6">+D17-H17</f>
        <v>20270.79</v>
      </c>
      <c r="M17" s="4"/>
      <c r="N17" s="13">
        <f t="shared" ref="N17:N19" si="7">IF(H17=0,0,L17/H17)</f>
        <v>4.1276298106292</v>
      </c>
      <c r="O17" s="11"/>
      <c r="P17" s="4">
        <f>SUM(OSRRefP16x_0)</f>
        <v>415749.05</v>
      </c>
      <c r="Q17" s="4"/>
      <c r="R17" s="13">
        <f t="shared" ref="R17:R19" si="8">IF(P$12=0,0,P17/P$12)</f>
        <v>0.42934827890792299</v>
      </c>
      <c r="S17" s="4"/>
      <c r="T17" s="4">
        <f>SUM(OSRRefT16x_0)</f>
        <v>846259.55</v>
      </c>
      <c r="U17" s="4"/>
      <c r="V17" s="13">
        <f t="shared" ref="V17:V19" si="9">IF(T$12=0,0,T17/T$12)</f>
        <v>0.25034001336784317</v>
      </c>
      <c r="W17" s="4"/>
      <c r="X17" s="4">
        <f t="shared" ref="X17:X19" si="10">+P17-T17</f>
        <v>-430510.50000000006</v>
      </c>
      <c r="Y17" s="4"/>
      <c r="Z17" s="13">
        <f t="shared" ref="Z17:Z19" si="11">IF(T17=0,0,X17/T17)</f>
        <v>-0.5087215854757563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>
        <v>24078.79</v>
      </c>
      <c r="E18" s="2"/>
      <c r="F18" s="19">
        <f t="shared" si="4"/>
        <v>0.47575352832041479</v>
      </c>
      <c r="G18" s="2"/>
      <c r="H18" s="2"/>
      <c r="I18" s="2"/>
      <c r="J18" s="19">
        <f t="shared" si="5"/>
        <v>0</v>
      </c>
      <c r="K18" s="2"/>
      <c r="L18" s="2">
        <f t="shared" si="6"/>
        <v>24078.79</v>
      </c>
      <c r="M18" s="2"/>
      <c r="N18" s="19">
        <f t="shared" si="7"/>
        <v>0</v>
      </c>
      <c r="O18" s="10"/>
      <c r="P18" s="2">
        <v>429337.75</v>
      </c>
      <c r="Q18" s="2"/>
      <c r="R18" s="19">
        <f t="shared" si="8"/>
        <v>0.44338146781742527</v>
      </c>
      <c r="S18" s="2"/>
      <c r="T18" s="2">
        <v>830847.8</v>
      </c>
      <c r="U18" s="2"/>
      <c r="V18" s="19">
        <f t="shared" si="9"/>
        <v>0.24578091834667401</v>
      </c>
      <c r="W18" s="2"/>
      <c r="X18" s="2">
        <f t="shared" si="10"/>
        <v>-401510.05000000005</v>
      </c>
      <c r="Y18" s="2"/>
      <c r="Z18" s="19">
        <f t="shared" si="11"/>
        <v>-0.48325343101347806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>
        <v>1103</v>
      </c>
      <c r="E19" s="2"/>
      <c r="F19" s="19">
        <f t="shared" si="4"/>
        <v>2.1793293672041556E-2</v>
      </c>
      <c r="G19" s="2"/>
      <c r="H19" s="2">
        <v>4911</v>
      </c>
      <c r="I19" s="2"/>
      <c r="J19" s="19">
        <f t="shared" si="5"/>
        <v>-1.2269340888309275</v>
      </c>
      <c r="K19" s="2"/>
      <c r="L19" s="2">
        <f t="shared" si="6"/>
        <v>-3808</v>
      </c>
      <c r="M19" s="2"/>
      <c r="N19" s="19">
        <f t="shared" si="7"/>
        <v>-0.7754021584198737</v>
      </c>
      <c r="O19" s="10"/>
      <c r="P19" s="2">
        <v>-13588.7</v>
      </c>
      <c r="Q19" s="2"/>
      <c r="R19" s="19">
        <f t="shared" si="8"/>
        <v>-1.4033188909502245E-2</v>
      </c>
      <c r="S19" s="2"/>
      <c r="T19" s="2">
        <v>15411.75</v>
      </c>
      <c r="U19" s="2"/>
      <c r="V19" s="19">
        <f t="shared" si="9"/>
        <v>4.5590950211691636E-3</v>
      </c>
      <c r="W19" s="2"/>
      <c r="X19" s="2">
        <f t="shared" si="10"/>
        <v>-29000.45</v>
      </c>
      <c r="Y19" s="2"/>
      <c r="Z19" s="19">
        <f t="shared" si="11"/>
        <v>-1.8817103833114346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0">
        <f>D12-D17</f>
        <v>25430.11</v>
      </c>
      <c r="E21" s="14"/>
      <c r="F21" s="21">
        <f>IF(D$12=0,0,D21/D$12)</f>
        <v>0.50245317800754363</v>
      </c>
      <c r="G21" s="14"/>
      <c r="H21" s="20">
        <f>H12-H17</f>
        <v>-8913.66</v>
      </c>
      <c r="I21" s="14"/>
      <c r="J21" s="21">
        <f>IF(H$12=0,0,H21/H$12)</f>
        <v>2.2269340888309275</v>
      </c>
      <c r="K21" s="15"/>
      <c r="L21" s="20">
        <f>+D21-H21</f>
        <v>34343.770000000004</v>
      </c>
      <c r="M21" s="15"/>
      <c r="N21" s="21">
        <f>IF(H21=0,0,L21/H21)</f>
        <v>-3.8529369529463771</v>
      </c>
      <c r="O21" s="29"/>
      <c r="P21" s="20">
        <f>P12-P17</f>
        <v>552576.83000000007</v>
      </c>
      <c r="Q21" s="14"/>
      <c r="R21" s="21">
        <f>IF(P$12=0,0,P21/P$12)</f>
        <v>0.57065172109207707</v>
      </c>
      <c r="S21" s="14"/>
      <c r="T21" s="20">
        <f>T12-T17</f>
        <v>2534181.0700000003</v>
      </c>
      <c r="U21" s="14"/>
      <c r="V21" s="21">
        <f>IF(T$12=0,0,T21/T$12)</f>
        <v>0.74965998663215694</v>
      </c>
      <c r="W21" s="15"/>
      <c r="X21" s="20">
        <f>+P21-T21</f>
        <v>-1981604.2400000002</v>
      </c>
      <c r="Y21" s="15"/>
      <c r="Z21" s="21">
        <f>IF(T21=0,0,X21/T21)</f>
        <v>-0.7819505336293906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2">
        <f>SUM(OSRRefD22x_0)</f>
        <v>96436.47</v>
      </c>
      <c r="E23" s="22"/>
      <c r="F23" s="32">
        <f t="shared" ref="F23:F33" si="12">IF(D$12=0,0,D23/D$12)</f>
        <v>1.9054109804216004</v>
      </c>
      <c r="G23" s="22"/>
      <c r="H23" s="22">
        <f>SUM(OSRRefH22x_0)</f>
        <v>50155.59</v>
      </c>
      <c r="I23" s="22"/>
      <c r="J23" s="32">
        <f t="shared" ref="J23:J33" si="13">IF(H$12=0,0,H23/H$12)</f>
        <v>-12.530564674491464</v>
      </c>
      <c r="K23" s="4"/>
      <c r="L23" s="22">
        <f t="shared" ref="L23:L33" si="14">+D23-H23</f>
        <v>46280.880000000005</v>
      </c>
      <c r="M23" s="4"/>
      <c r="N23" s="32">
        <f t="shared" ref="N23:N33" si="15">IF(H23=0,0,L23/H23)</f>
        <v>0.92274619837988159</v>
      </c>
      <c r="O23" s="11"/>
      <c r="P23" s="22">
        <f>SUM(OSRRefP22x_0)</f>
        <v>1265237.3300000003</v>
      </c>
      <c r="Q23" s="22"/>
      <c r="R23" s="32">
        <f t="shared" ref="R23:R33" si="16">IF(P$12=0,0,P23/P$12)</f>
        <v>1.3066234788643678</v>
      </c>
      <c r="S23" s="22"/>
      <c r="T23" s="22">
        <f>SUM(OSRRefT22x_0)</f>
        <v>1710912.9500000002</v>
      </c>
      <c r="U23" s="22"/>
      <c r="V23" s="32">
        <f t="shared" ref="V23:V33" si="17">IF(T$12=0,0,T23/T$12)</f>
        <v>0.50612128486374663</v>
      </c>
      <c r="W23" s="4"/>
      <c r="X23" s="22">
        <f t="shared" ref="X23:X33" si="18">+P23-T23</f>
        <v>-445675.61999999988</v>
      </c>
      <c r="Y23" s="4"/>
      <c r="Z23" s="32">
        <f t="shared" ref="Z23:Z33" si="19">IF(T23=0,0,X23/T23)</f>
        <v>-0.26048994485663329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30299.73</v>
      </c>
      <c r="E24" s="1"/>
      <c r="F24" s="5">
        <f t="shared" si="12"/>
        <v>0.59866809979471225</v>
      </c>
      <c r="G24" s="1"/>
      <c r="H24" s="1">
        <f>SUM(OSRRefH22_0x_0)</f>
        <v>27618.58</v>
      </c>
      <c r="I24" s="1"/>
      <c r="J24" s="5">
        <f t="shared" si="13"/>
        <v>-6.9000564624524694</v>
      </c>
      <c r="K24" s="1"/>
      <c r="L24" s="1">
        <f t="shared" si="14"/>
        <v>2681.1499999999978</v>
      </c>
      <c r="M24" s="1"/>
      <c r="N24" s="5">
        <f t="shared" si="15"/>
        <v>9.7077764316630247E-2</v>
      </c>
      <c r="O24" s="12"/>
      <c r="P24" s="1">
        <f>SUM(OSRRefP22_0x_0)</f>
        <v>340970.93</v>
      </c>
      <c r="Q24" s="1"/>
      <c r="R24" s="5">
        <f t="shared" si="16"/>
        <v>0.35212415266645564</v>
      </c>
      <c r="S24" s="1"/>
      <c r="T24" s="1">
        <f>SUM(OSRRefT22_0x_0)</f>
        <v>347717.6</v>
      </c>
      <c r="U24" s="1"/>
      <c r="V24" s="5">
        <f t="shared" si="17"/>
        <v>0.10286162044757348</v>
      </c>
      <c r="W24" s="1"/>
      <c r="X24" s="1">
        <f t="shared" si="18"/>
        <v>-6746.6699999999837</v>
      </c>
      <c r="Y24" s="1"/>
      <c r="Z24" s="5">
        <f t="shared" si="19"/>
        <v>-1.9402727960850946E-2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>
        <v>3110.81</v>
      </c>
      <c r="E25" s="2"/>
      <c r="F25" s="7">
        <f t="shared" si="12"/>
        <v>6.1464003524862726E-2</v>
      </c>
      <c r="G25" s="2"/>
      <c r="H25" s="6">
        <v>2485.88</v>
      </c>
      <c r="I25" s="2"/>
      <c r="J25" s="7">
        <f t="shared" si="13"/>
        <v>-0.62105699709693063</v>
      </c>
      <c r="K25" s="2"/>
      <c r="L25" s="6">
        <f t="shared" si="14"/>
        <v>624.92999999999984</v>
      </c>
      <c r="M25" s="2"/>
      <c r="N25" s="7">
        <f t="shared" si="15"/>
        <v>0.25139186123223961</v>
      </c>
      <c r="O25" s="10"/>
      <c r="P25" s="6">
        <v>39529.370000000003</v>
      </c>
      <c r="Q25" s="2"/>
      <c r="R25" s="7">
        <f t="shared" si="16"/>
        <v>4.0822383059719525E-2</v>
      </c>
      <c r="S25" s="2"/>
      <c r="T25" s="6">
        <v>48695.96</v>
      </c>
      <c r="U25" s="2"/>
      <c r="V25" s="7">
        <f t="shared" si="17"/>
        <v>1.4405210880468002E-2</v>
      </c>
      <c r="W25" s="2"/>
      <c r="X25" s="6">
        <f t="shared" si="18"/>
        <v>-9166.5899999999965</v>
      </c>
      <c r="Y25" s="2"/>
      <c r="Z25" s="7">
        <f t="shared" si="19"/>
        <v>-0.18824128326045933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>
        <v>3174.15</v>
      </c>
      <c r="E26" s="2"/>
      <c r="F26" s="7">
        <f t="shared" si="12"/>
        <v>6.2715487859574523E-2</v>
      </c>
      <c r="G26" s="2"/>
      <c r="H26" s="6">
        <v>1891.21</v>
      </c>
      <c r="I26" s="2"/>
      <c r="J26" s="7">
        <f t="shared" si="13"/>
        <v>-0.47248829528363639</v>
      </c>
      <c r="K26" s="2"/>
      <c r="L26" s="6">
        <f t="shared" si="14"/>
        <v>1282.94</v>
      </c>
      <c r="M26" s="2"/>
      <c r="N26" s="7">
        <f t="shared" si="15"/>
        <v>0.67836993247709143</v>
      </c>
      <c r="O26" s="10"/>
      <c r="P26" s="6">
        <v>27370.91</v>
      </c>
      <c r="Q26" s="2"/>
      <c r="R26" s="7">
        <f t="shared" si="16"/>
        <v>2.8266217567168607E-2</v>
      </c>
      <c r="S26" s="2"/>
      <c r="T26" s="6">
        <v>32193.43</v>
      </c>
      <c r="U26" s="2"/>
      <c r="V26" s="7">
        <f t="shared" si="17"/>
        <v>9.5234419470441693E-3</v>
      </c>
      <c r="W26" s="2"/>
      <c r="X26" s="6">
        <f t="shared" si="18"/>
        <v>-4822.5200000000004</v>
      </c>
      <c r="Y26" s="2"/>
      <c r="Z26" s="7">
        <f t="shared" si="19"/>
        <v>-0.14979826629222176</v>
      </c>
    </row>
    <row r="27" spans="1:26" s="23" customFormat="1" hidden="1" outlineLevel="2" x14ac:dyDescent="0.25">
      <c r="A27" s="27"/>
      <c r="B27" s="10" t="str">
        <f>CONCATENATE("          ", "6113", " - ", "GROUP INSURANCE")</f>
        <v xml:space="preserve">          6113 - GROUP INSURANCE</v>
      </c>
      <c r="C27" s="10"/>
      <c r="D27" s="6">
        <v>17668.509999999998</v>
      </c>
      <c r="E27" s="2"/>
      <c r="F27" s="7">
        <f t="shared" si="12"/>
        <v>0.34909793941740969</v>
      </c>
      <c r="G27" s="2"/>
      <c r="H27" s="6">
        <v>16509.650000000001</v>
      </c>
      <c r="I27" s="2"/>
      <c r="J27" s="7">
        <f t="shared" si="13"/>
        <v>-4.1246695947195118</v>
      </c>
      <c r="K27" s="2"/>
      <c r="L27" s="6">
        <f t="shared" si="14"/>
        <v>1158.8599999999969</v>
      </c>
      <c r="M27" s="2"/>
      <c r="N27" s="7">
        <f t="shared" si="15"/>
        <v>7.0192887190218864E-2</v>
      </c>
      <c r="O27" s="10"/>
      <c r="P27" s="6">
        <v>191438.63</v>
      </c>
      <c r="Q27" s="2"/>
      <c r="R27" s="7">
        <f t="shared" si="16"/>
        <v>0.19770062326538251</v>
      </c>
      <c r="S27" s="2"/>
      <c r="T27" s="6">
        <v>193625.05</v>
      </c>
      <c r="U27" s="2"/>
      <c r="V27" s="7">
        <f t="shared" si="17"/>
        <v>5.7278050930532239E-2</v>
      </c>
      <c r="W27" s="2"/>
      <c r="X27" s="6">
        <f t="shared" si="18"/>
        <v>-2186.4199999999837</v>
      </c>
      <c r="Y27" s="2"/>
      <c r="Z27" s="7">
        <f t="shared" si="19"/>
        <v>-1.129203065409142E-2</v>
      </c>
    </row>
    <row r="28" spans="1:26" s="23" customFormat="1" hidden="1" outlineLevel="2" x14ac:dyDescent="0.25">
      <c r="A28" s="27"/>
      <c r="B28" s="10" t="str">
        <f>CONCATENATE("          ", "6114", " - ", "STATE UNEMPLOYMENT INSURANCE")</f>
        <v xml:space="preserve">          6114 - STATE UNEMPLOYMENT INSURANCE</v>
      </c>
      <c r="C28" s="10"/>
      <c r="D28" s="6">
        <v>192.38</v>
      </c>
      <c r="E28" s="2"/>
      <c r="F28" s="7">
        <f t="shared" si="12"/>
        <v>3.8010823541499133E-3</v>
      </c>
      <c r="G28" s="2"/>
      <c r="H28" s="6">
        <v>126.77</v>
      </c>
      <c r="I28" s="2"/>
      <c r="J28" s="7">
        <f t="shared" si="13"/>
        <v>-3.1671438493401885E-2</v>
      </c>
      <c r="K28" s="2"/>
      <c r="L28" s="6">
        <f t="shared" si="14"/>
        <v>65.61</v>
      </c>
      <c r="M28" s="2"/>
      <c r="N28" s="7">
        <f t="shared" si="15"/>
        <v>0.5175514711682575</v>
      </c>
      <c r="O28" s="10"/>
      <c r="P28" s="6">
        <v>1738.62</v>
      </c>
      <c r="Q28" s="2"/>
      <c r="R28" s="7">
        <f t="shared" si="16"/>
        <v>1.7954905842235672E-3</v>
      </c>
      <c r="S28" s="2"/>
      <c r="T28" s="6">
        <v>2535.62</v>
      </c>
      <c r="U28" s="2"/>
      <c r="V28" s="7">
        <f t="shared" si="17"/>
        <v>7.5008565007717834E-4</v>
      </c>
      <c r="W28" s="2"/>
      <c r="X28" s="6">
        <f t="shared" si="18"/>
        <v>-797</v>
      </c>
      <c r="Y28" s="2"/>
      <c r="Z28" s="7">
        <f t="shared" si="19"/>
        <v>-0.31432154660398642</v>
      </c>
    </row>
    <row r="29" spans="1:26" s="23" customFormat="1" hidden="1" outlineLevel="2" x14ac:dyDescent="0.25">
      <c r="A29" s="27"/>
      <c r="B29" s="10" t="str">
        <f>CONCATENATE("          ", "6115", " - ", "P.E.R.S.")</f>
        <v xml:space="preserve">          6115 - P.E.R.S.</v>
      </c>
      <c r="C29" s="10"/>
      <c r="D29" s="6">
        <v>1457.53</v>
      </c>
      <c r="E29" s="2"/>
      <c r="F29" s="7">
        <f t="shared" si="12"/>
        <v>2.8798168019774004E-2</v>
      </c>
      <c r="G29" s="2"/>
      <c r="H29" s="6">
        <v>1334.66</v>
      </c>
      <c r="I29" s="2"/>
      <c r="J29" s="7">
        <f t="shared" si="13"/>
        <v>-0.33344326023194581</v>
      </c>
      <c r="K29" s="2"/>
      <c r="L29" s="6">
        <f t="shared" si="14"/>
        <v>122.86999999999989</v>
      </c>
      <c r="M29" s="2"/>
      <c r="N29" s="7">
        <f t="shared" si="15"/>
        <v>9.2060899405091851E-2</v>
      </c>
      <c r="O29" s="10"/>
      <c r="P29" s="6">
        <v>17556.59</v>
      </c>
      <c r="Q29" s="2"/>
      <c r="R29" s="7">
        <f t="shared" si="16"/>
        <v>1.8130869330890961E-2</v>
      </c>
      <c r="S29" s="2"/>
      <c r="T29" s="6">
        <v>15119.48</v>
      </c>
      <c r="U29" s="2"/>
      <c r="V29" s="7">
        <f t="shared" si="17"/>
        <v>4.4726358778637556E-3</v>
      </c>
      <c r="W29" s="2"/>
      <c r="X29" s="6">
        <f t="shared" si="18"/>
        <v>2437.1100000000006</v>
      </c>
      <c r="Y29" s="2"/>
      <c r="Z29" s="7">
        <f t="shared" si="19"/>
        <v>0.16119006738326982</v>
      </c>
    </row>
    <row r="30" spans="1:26" s="23" customFormat="1" hidden="1" outlineLevel="2" x14ac:dyDescent="0.25">
      <c r="A30" s="27"/>
      <c r="B30" s="10" t="str">
        <f>CONCATENATE("          ", "6117", " - ", "RETIREMENT STAFF HOURLY")</f>
        <v xml:space="preserve">          6117 - RETIREMENT STAFF HOURLY</v>
      </c>
      <c r="C30" s="10"/>
      <c r="D30" s="6">
        <v>559.57000000000005</v>
      </c>
      <c r="E30" s="2"/>
      <c r="F30" s="7">
        <f t="shared" si="12"/>
        <v>1.1056095503231455E-2</v>
      </c>
      <c r="G30" s="2"/>
      <c r="H30" s="6">
        <v>547.91999999999996</v>
      </c>
      <c r="I30" s="2"/>
      <c r="J30" s="7">
        <f t="shared" si="13"/>
        <v>-0.13688896883572424</v>
      </c>
      <c r="K30" s="2"/>
      <c r="L30" s="6">
        <f t="shared" si="14"/>
        <v>11.650000000000091</v>
      </c>
      <c r="M30" s="2"/>
      <c r="N30" s="7">
        <f t="shared" si="15"/>
        <v>2.1262228062491041E-2</v>
      </c>
      <c r="O30" s="10"/>
      <c r="P30" s="6">
        <v>6027.67</v>
      </c>
      <c r="Q30" s="2"/>
      <c r="R30" s="7">
        <f t="shared" si="16"/>
        <v>6.2248362090663112E-3</v>
      </c>
      <c r="S30" s="2"/>
      <c r="T30" s="6">
        <v>7870.23</v>
      </c>
      <c r="U30" s="2"/>
      <c r="V30" s="7">
        <f t="shared" si="17"/>
        <v>2.3281669121583324E-3</v>
      </c>
      <c r="W30" s="2"/>
      <c r="X30" s="6">
        <f t="shared" si="18"/>
        <v>-1842.5599999999995</v>
      </c>
      <c r="Y30" s="2"/>
      <c r="Z30" s="7">
        <f t="shared" si="19"/>
        <v>-0.23411768144005951</v>
      </c>
    </row>
    <row r="31" spans="1:26" s="23" customFormat="1" hidden="1" outlineLevel="2" x14ac:dyDescent="0.25">
      <c r="A31" s="27"/>
      <c r="B31" s="10" t="str">
        <f>CONCATENATE("          ", "6118", " - ", "VACATION")</f>
        <v xml:space="preserve">          6118 - VACATION</v>
      </c>
      <c r="C31" s="10"/>
      <c r="D31" s="6">
        <v>2340.3200000000002</v>
      </c>
      <c r="E31" s="2"/>
      <c r="F31" s="7">
        <f t="shared" si="12"/>
        <v>4.6240508655079143E-2</v>
      </c>
      <c r="G31" s="2"/>
      <c r="H31" s="6">
        <v>2366.1799999999998</v>
      </c>
      <c r="I31" s="2"/>
      <c r="J31" s="7">
        <f t="shared" si="13"/>
        <v>-0.59115188399714191</v>
      </c>
      <c r="K31" s="2"/>
      <c r="L31" s="6">
        <f t="shared" si="14"/>
        <v>-25.859999999999673</v>
      </c>
      <c r="M31" s="2"/>
      <c r="N31" s="7">
        <f t="shared" si="15"/>
        <v>-1.0929007936843213E-2</v>
      </c>
      <c r="O31" s="10"/>
      <c r="P31" s="6">
        <v>30104.58</v>
      </c>
      <c r="Q31" s="2"/>
      <c r="R31" s="7">
        <f t="shared" si="16"/>
        <v>3.1089306422337901E-2</v>
      </c>
      <c r="S31" s="2"/>
      <c r="T31" s="6">
        <v>32176.52</v>
      </c>
      <c r="U31" s="2"/>
      <c r="V31" s="7">
        <f t="shared" si="17"/>
        <v>9.5184396405696963E-3</v>
      </c>
      <c r="W31" s="2"/>
      <c r="X31" s="6">
        <f t="shared" si="18"/>
        <v>-2071.9399999999987</v>
      </c>
      <c r="Y31" s="2"/>
      <c r="Z31" s="7">
        <f t="shared" si="19"/>
        <v>-6.4392917568462923E-2</v>
      </c>
    </row>
    <row r="32" spans="1:26" s="23" customFormat="1" hidden="1" outlineLevel="2" x14ac:dyDescent="0.25">
      <c r="A32" s="27"/>
      <c r="B32" s="10" t="str">
        <f>CONCATENATE("          ", "6119", " - ", "SICK LEAVE")</f>
        <v xml:space="preserve">          6119 - SICK LEAVE</v>
      </c>
      <c r="C32" s="10"/>
      <c r="D32" s="6">
        <v>1500.08</v>
      </c>
      <c r="E32" s="2"/>
      <c r="F32" s="7">
        <f t="shared" si="12"/>
        <v>2.9638879393976515E-2</v>
      </c>
      <c r="G32" s="2"/>
      <c r="H32" s="6">
        <v>1504</v>
      </c>
      <c r="I32" s="2"/>
      <c r="J32" s="7">
        <f t="shared" si="13"/>
        <v>-0.37575012616609954</v>
      </c>
      <c r="K32" s="2"/>
      <c r="L32" s="6">
        <f t="shared" si="14"/>
        <v>-3.9200000000000728</v>
      </c>
      <c r="M32" s="2"/>
      <c r="N32" s="7">
        <f t="shared" si="15"/>
        <v>-2.6063829787234525E-3</v>
      </c>
      <c r="O32" s="10"/>
      <c r="P32" s="6">
        <v>18915.330000000002</v>
      </c>
      <c r="Q32" s="2"/>
      <c r="R32" s="7">
        <f t="shared" si="16"/>
        <v>1.9534053969516959E-2</v>
      </c>
      <c r="S32" s="2"/>
      <c r="T32" s="6">
        <v>1798.8</v>
      </c>
      <c r="U32" s="2"/>
      <c r="V32" s="7">
        <f t="shared" si="17"/>
        <v>5.3211998144786228E-4</v>
      </c>
      <c r="W32" s="2"/>
      <c r="X32" s="6">
        <f t="shared" si="18"/>
        <v>17116.530000000002</v>
      </c>
      <c r="Y32" s="2"/>
      <c r="Z32" s="7">
        <f t="shared" si="19"/>
        <v>9.5155270180120102</v>
      </c>
    </row>
    <row r="33" spans="1:26" s="23" customFormat="1" hidden="1" outlineLevel="2" x14ac:dyDescent="0.25">
      <c r="A33" s="27"/>
      <c r="B33" s="10" t="str">
        <f>CONCATENATE("          ", "6156", " - ", "EMPLOYEE MEALS")</f>
        <v xml:space="preserve">          6156 - EMPLOYEE MEALS</v>
      </c>
      <c r="C33" s="10"/>
      <c r="D33" s="6">
        <v>296.38</v>
      </c>
      <c r="E33" s="2"/>
      <c r="F33" s="7">
        <f t="shared" si="12"/>
        <v>5.855935066654285E-3</v>
      </c>
      <c r="G33" s="2"/>
      <c r="H33" s="6">
        <v>852.31</v>
      </c>
      <c r="I33" s="2"/>
      <c r="J33" s="7">
        <f t="shared" si="13"/>
        <v>-0.21293589762807733</v>
      </c>
      <c r="K33" s="2"/>
      <c r="L33" s="6">
        <f t="shared" si="14"/>
        <v>-555.92999999999995</v>
      </c>
      <c r="M33" s="2"/>
      <c r="N33" s="7">
        <f t="shared" si="15"/>
        <v>-0.65226267437904051</v>
      </c>
      <c r="O33" s="10"/>
      <c r="P33" s="6">
        <v>8289.23</v>
      </c>
      <c r="Q33" s="2"/>
      <c r="R33" s="7">
        <f t="shared" si="16"/>
        <v>8.560372258149292E-3</v>
      </c>
      <c r="S33" s="2"/>
      <c r="T33" s="6">
        <v>13702.51</v>
      </c>
      <c r="U33" s="2"/>
      <c r="V33" s="7">
        <f t="shared" si="17"/>
        <v>4.0534686274122456E-3</v>
      </c>
      <c r="W33" s="2"/>
      <c r="X33" s="6">
        <f t="shared" si="18"/>
        <v>-5413.2800000000007</v>
      </c>
      <c r="Y33" s="2"/>
      <c r="Z33" s="7">
        <f t="shared" si="19"/>
        <v>-0.39505754785072228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41921.839999999997</v>
      </c>
      <c r="E34" s="1"/>
      <c r="F34" s="5">
        <f t="shared" ref="F34:F40" si="20">IF(D$12=0,0,D34/D$12)</f>
        <v>0.82830006381898313</v>
      </c>
      <c r="G34" s="1"/>
      <c r="H34" s="1">
        <f>SUM(OSRRefH22_1x_0)</f>
        <v>21255.15</v>
      </c>
      <c r="I34" s="1"/>
      <c r="J34" s="5">
        <f t="shared" ref="J34:J40" si="21">IF(H$12=0,0,H34/H$12)</f>
        <v>-5.3102561796405396</v>
      </c>
      <c r="K34" s="1"/>
      <c r="L34" s="1">
        <f t="shared" ref="L34:L40" si="22">+D34-H34</f>
        <v>20666.689999999995</v>
      </c>
      <c r="M34" s="1"/>
      <c r="N34" s="5">
        <f t="shared" ref="N34:N40" si="23">IF(H34=0,0,L34/H34)</f>
        <v>0.9723144743744454</v>
      </c>
      <c r="O34" s="12"/>
      <c r="P34" s="1">
        <f>SUM(OSRRefP22_1x_0)</f>
        <v>589643.54999999993</v>
      </c>
      <c r="Q34" s="1"/>
      <c r="R34" s="5">
        <f t="shared" ref="R34:R40" si="24">IF(P$12=0,0,P34/P$12)</f>
        <v>0.60893090041133668</v>
      </c>
      <c r="S34" s="1"/>
      <c r="T34" s="1">
        <f>SUM(OSRRefT22_1x_0)</f>
        <v>913205.75</v>
      </c>
      <c r="U34" s="1"/>
      <c r="V34" s="5">
        <f t="shared" ref="V34:V40" si="25">IF(T$12=0,0,T34/T$12)</f>
        <v>0.27014399974876646</v>
      </c>
      <c r="W34" s="1"/>
      <c r="X34" s="1">
        <f t="shared" ref="X34:X40" si="26">+P34-T34</f>
        <v>-323562.20000000007</v>
      </c>
      <c r="Y34" s="1"/>
      <c r="Z34" s="5">
        <f t="shared" ref="Z34:Z40" si="27">IF(T34=0,0,X34/T34)</f>
        <v>-0.35431467662134197</v>
      </c>
    </row>
    <row r="35" spans="1:26" s="23" customFormat="1" hidden="1" outlineLevel="2" x14ac:dyDescent="0.25">
      <c r="A35" s="27"/>
      <c r="B35" s="10" t="str">
        <f>CONCATENATE("          ", "6002", " - ", "STAFF SALARIES")</f>
        <v xml:space="preserve">          6002 - STAFF SALARIES</v>
      </c>
      <c r="C35" s="10"/>
      <c r="D35" s="6">
        <v>14341.53</v>
      </c>
      <c r="E35" s="2"/>
      <c r="F35" s="7">
        <f t="shared" si="20"/>
        <v>0.28336280598041175</v>
      </c>
      <c r="G35" s="2"/>
      <c r="H35" s="6">
        <v>4528.75</v>
      </c>
      <c r="I35" s="2"/>
      <c r="J35" s="7">
        <f t="shared" si="21"/>
        <v>-1.1314350956613852</v>
      </c>
      <c r="K35" s="2"/>
      <c r="L35" s="6">
        <f t="shared" si="22"/>
        <v>9812.7800000000007</v>
      </c>
      <c r="M35" s="2"/>
      <c r="N35" s="7">
        <f t="shared" si="23"/>
        <v>2.1667744962738062</v>
      </c>
      <c r="O35" s="10"/>
      <c r="P35" s="6">
        <v>168846.79</v>
      </c>
      <c r="Q35" s="2"/>
      <c r="R35" s="7">
        <f t="shared" si="24"/>
        <v>0.17436979996858085</v>
      </c>
      <c r="S35" s="2"/>
      <c r="T35" s="6">
        <v>160238.99</v>
      </c>
      <c r="U35" s="2"/>
      <c r="V35" s="7">
        <f t="shared" si="25"/>
        <v>4.7401805862810863E-2</v>
      </c>
      <c r="W35" s="2"/>
      <c r="X35" s="6">
        <f t="shared" si="26"/>
        <v>8607.8000000000175</v>
      </c>
      <c r="Y35" s="2"/>
      <c r="Z35" s="7">
        <f t="shared" si="27"/>
        <v>5.3718511331106229E-2</v>
      </c>
    </row>
    <row r="36" spans="1:26" s="23" customFormat="1" hidden="1" outlineLevel="2" x14ac:dyDescent="0.25">
      <c r="A36" s="27"/>
      <c r="B36" s="10" t="str">
        <f>CONCATENATE("          ", "6004", " - ", "STAFF HOURLY")</f>
        <v xml:space="preserve">          6004 - STAFF HOURLY</v>
      </c>
      <c r="C36" s="10"/>
      <c r="D36" s="6">
        <v>15665.42</v>
      </c>
      <c r="E36" s="2"/>
      <c r="F36" s="7">
        <f t="shared" si="20"/>
        <v>0.30952048826461759</v>
      </c>
      <c r="G36" s="2"/>
      <c r="H36" s="6">
        <v>16726.400000000001</v>
      </c>
      <c r="I36" s="2"/>
      <c r="J36" s="7">
        <f t="shared" si="21"/>
        <v>-4.1788210839791544</v>
      </c>
      <c r="K36" s="2"/>
      <c r="L36" s="6">
        <f t="shared" si="22"/>
        <v>-1060.9800000000014</v>
      </c>
      <c r="M36" s="2"/>
      <c r="N36" s="7">
        <f t="shared" si="23"/>
        <v>-6.3431461641477019E-2</v>
      </c>
      <c r="O36" s="10"/>
      <c r="P36" s="6">
        <v>184635.81</v>
      </c>
      <c r="Q36" s="2"/>
      <c r="R36" s="7">
        <f t="shared" si="24"/>
        <v>0.19067528175535287</v>
      </c>
      <c r="S36" s="2"/>
      <c r="T36" s="6">
        <v>221506.8</v>
      </c>
      <c r="U36" s="2"/>
      <c r="V36" s="7">
        <f t="shared" si="25"/>
        <v>6.5526014179772801E-2</v>
      </c>
      <c r="W36" s="2"/>
      <c r="X36" s="6">
        <f t="shared" si="26"/>
        <v>-36870.989999999991</v>
      </c>
      <c r="Y36" s="2"/>
      <c r="Z36" s="7">
        <f t="shared" si="27"/>
        <v>-0.16645534132586445</v>
      </c>
    </row>
    <row r="37" spans="1:26" s="23" customFormat="1" hidden="1" outlineLevel="2" x14ac:dyDescent="0.25">
      <c r="A37" s="27"/>
      <c r="B37" s="10" t="str">
        <f>CONCATENATE("          ", "6005", " - ", "TEMPORARY WAGES-HOURLY")</f>
        <v xml:space="preserve">          6005 - TEMPORARY WAGES-HOURLY</v>
      </c>
      <c r="C37" s="10"/>
      <c r="D37" s="6">
        <v>6092.92</v>
      </c>
      <c r="E37" s="2"/>
      <c r="F37" s="7">
        <f t="shared" si="20"/>
        <v>0.1203851268180013</v>
      </c>
      <c r="G37" s="2"/>
      <c r="H37" s="6"/>
      <c r="I37" s="2"/>
      <c r="J37" s="7">
        <f t="shared" si="21"/>
        <v>0</v>
      </c>
      <c r="K37" s="2"/>
      <c r="L37" s="6">
        <f t="shared" si="22"/>
        <v>6092.92</v>
      </c>
      <c r="M37" s="2"/>
      <c r="N37" s="7">
        <f t="shared" si="23"/>
        <v>0</v>
      </c>
      <c r="O37" s="10"/>
      <c r="P37" s="6">
        <v>106066.99</v>
      </c>
      <c r="Q37" s="2"/>
      <c r="R37" s="7">
        <f t="shared" si="24"/>
        <v>0.10953646101041935</v>
      </c>
      <c r="S37" s="2"/>
      <c r="T37" s="6">
        <v>146126.23000000001</v>
      </c>
      <c r="U37" s="2"/>
      <c r="V37" s="7">
        <f t="shared" si="25"/>
        <v>4.3226977316347594E-2</v>
      </c>
      <c r="W37" s="2"/>
      <c r="X37" s="6">
        <f t="shared" si="26"/>
        <v>-40059.240000000005</v>
      </c>
      <c r="Y37" s="2"/>
      <c r="Z37" s="7">
        <f t="shared" si="27"/>
        <v>-0.27414133656907458</v>
      </c>
    </row>
    <row r="38" spans="1:26" s="23" customFormat="1" hidden="1" outlineLevel="2" x14ac:dyDescent="0.25">
      <c r="A38" s="27"/>
      <c r="B38" s="10" t="str">
        <f>CONCATENATE("          ", "6006", " - ", "TEMPORARY PART TIME")</f>
        <v xml:space="preserve">          6006 - TEMPORARY PART TIME</v>
      </c>
      <c r="C38" s="10"/>
      <c r="D38" s="6">
        <v>252.7</v>
      </c>
      <c r="E38" s="2"/>
      <c r="F38" s="7">
        <f t="shared" si="20"/>
        <v>4.9928969274024484E-3</v>
      </c>
      <c r="G38" s="2"/>
      <c r="H38" s="6"/>
      <c r="I38" s="2"/>
      <c r="J38" s="7">
        <f t="shared" si="21"/>
        <v>0</v>
      </c>
      <c r="K38" s="2"/>
      <c r="L38" s="6">
        <f t="shared" si="22"/>
        <v>252.7</v>
      </c>
      <c r="M38" s="2"/>
      <c r="N38" s="7">
        <f t="shared" si="23"/>
        <v>0</v>
      </c>
      <c r="O38" s="10"/>
      <c r="P38" s="6">
        <v>2427.2199999999998</v>
      </c>
      <c r="Q38" s="2"/>
      <c r="R38" s="7">
        <f t="shared" si="24"/>
        <v>2.5066148185567444E-3</v>
      </c>
      <c r="S38" s="2"/>
      <c r="T38" s="6">
        <v>13546.1</v>
      </c>
      <c r="U38" s="2"/>
      <c r="V38" s="7">
        <f t="shared" si="25"/>
        <v>4.0071995111690501E-3</v>
      </c>
      <c r="W38" s="2"/>
      <c r="X38" s="6">
        <f t="shared" si="26"/>
        <v>-11118.880000000001</v>
      </c>
      <c r="Y38" s="2"/>
      <c r="Z38" s="7">
        <f t="shared" si="27"/>
        <v>-0.82081779995718329</v>
      </c>
    </row>
    <row r="39" spans="1:26" s="23" customFormat="1" hidden="1" outlineLevel="2" x14ac:dyDescent="0.25">
      <c r="A39" s="27"/>
      <c r="B39" s="10" t="str">
        <f>CONCATENATE("          ", "6007", " - ", "STUDENT HOURLY")</f>
        <v xml:space="preserve">          6007 - STUDENT HOURLY</v>
      </c>
      <c r="C39" s="10"/>
      <c r="D39" s="6">
        <v>5569.27</v>
      </c>
      <c r="E39" s="2"/>
      <c r="F39" s="7">
        <f t="shared" si="20"/>
        <v>0.11003874582855021</v>
      </c>
      <c r="G39" s="2"/>
      <c r="H39" s="6"/>
      <c r="I39" s="2"/>
      <c r="J39" s="7">
        <f t="shared" si="21"/>
        <v>0</v>
      </c>
      <c r="K39" s="2"/>
      <c r="L39" s="6">
        <f t="shared" si="22"/>
        <v>5569.27</v>
      </c>
      <c r="M39" s="2"/>
      <c r="N39" s="7">
        <f t="shared" si="23"/>
        <v>0</v>
      </c>
      <c r="O39" s="10"/>
      <c r="P39" s="6">
        <v>117035.86</v>
      </c>
      <c r="Q39" s="2"/>
      <c r="R39" s="7">
        <f t="shared" si="24"/>
        <v>0.12086412479236845</v>
      </c>
      <c r="S39" s="2"/>
      <c r="T39" s="6">
        <v>291246.51</v>
      </c>
      <c r="U39" s="2"/>
      <c r="V39" s="7">
        <f t="shared" si="25"/>
        <v>8.6156375082251851E-2</v>
      </c>
      <c r="W39" s="2"/>
      <c r="X39" s="6">
        <f t="shared" si="26"/>
        <v>-174210.65000000002</v>
      </c>
      <c r="Y39" s="2"/>
      <c r="Z39" s="7">
        <f t="shared" si="27"/>
        <v>-0.59815532210154221</v>
      </c>
    </row>
    <row r="40" spans="1:26" s="23" customFormat="1" hidden="1" outlineLevel="2" x14ac:dyDescent="0.25">
      <c r="A40" s="27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0"/>
        <v>0</v>
      </c>
      <c r="G40" s="2"/>
      <c r="H40" s="6"/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0"/>
      <c r="P40" s="6">
        <v>10630.88</v>
      </c>
      <c r="Q40" s="2"/>
      <c r="R40" s="7">
        <f t="shared" si="24"/>
        <v>1.0978618066058505E-2</v>
      </c>
      <c r="S40" s="2"/>
      <c r="T40" s="6">
        <v>80541.119999999995</v>
      </c>
      <c r="U40" s="2"/>
      <c r="V40" s="7">
        <f t="shared" si="25"/>
        <v>2.3825627796414301E-2</v>
      </c>
      <c r="W40" s="2"/>
      <c r="X40" s="6">
        <f t="shared" si="26"/>
        <v>-69910.239999999991</v>
      </c>
      <c r="Y40" s="2"/>
      <c r="Z40" s="7">
        <f t="shared" si="27"/>
        <v>-0.86800680199133062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0</v>
      </c>
      <c r="I41" s="1"/>
      <c r="J41" s="5">
        <f t="shared" ref="J41:J62" si="29">IF(H$12=0,0,H41/H$12)</f>
        <v>0</v>
      </c>
      <c r="K41" s="1"/>
      <c r="L41" s="1">
        <f t="shared" ref="L41:L62" si="30">+D41-H41</f>
        <v>0</v>
      </c>
      <c r="M41" s="1"/>
      <c r="N41" s="5">
        <f t="shared" ref="N41:N62" si="31">IF(H41=0,0,L41/H41)</f>
        <v>0</v>
      </c>
      <c r="O41" s="12"/>
      <c r="P41" s="1">
        <f>SUM(OSRRefP22_2x_0)</f>
        <v>1363.18</v>
      </c>
      <c r="Q41" s="1"/>
      <c r="R41" s="5">
        <f t="shared" ref="R41:R62" si="32">IF(P$12=0,0,P41/P$12)</f>
        <v>1.4077698718534715E-3</v>
      </c>
      <c r="S41" s="1"/>
      <c r="T41" s="1">
        <f>SUM(OSRRefT22_2x_0)</f>
        <v>2628.74</v>
      </c>
      <c r="U41" s="1"/>
      <c r="V41" s="5">
        <f t="shared" ref="V41:V62" si="33">IF(T$12=0,0,T41/T$12)</f>
        <v>7.7763235492064333E-4</v>
      </c>
      <c r="W41" s="1"/>
      <c r="X41" s="1">
        <f t="shared" ref="X41:X62" si="34">+P41-T41</f>
        <v>-1265.5599999999997</v>
      </c>
      <c r="Y41" s="1"/>
      <c r="Z41" s="5">
        <f t="shared" ref="Z41:Z62" si="35">IF(T41=0,0,X41/T41)</f>
        <v>-0.48143216902394298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28"/>
        <v>0</v>
      </c>
      <c r="G42" s="2"/>
      <c r="H42" s="6"/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0"/>
      <c r="P42" s="6">
        <v>1363.18</v>
      </c>
      <c r="Q42" s="2"/>
      <c r="R42" s="7">
        <f t="shared" si="32"/>
        <v>1.4077698718534715E-3</v>
      </c>
      <c r="S42" s="2"/>
      <c r="T42" s="6">
        <v>2628.74</v>
      </c>
      <c r="U42" s="2"/>
      <c r="V42" s="7">
        <f t="shared" si="33"/>
        <v>7.7763235492064333E-4</v>
      </c>
      <c r="W42" s="2"/>
      <c r="X42" s="6">
        <f t="shared" si="34"/>
        <v>-1265.5599999999997</v>
      </c>
      <c r="Y42" s="2"/>
      <c r="Z42" s="7">
        <f t="shared" si="35"/>
        <v>-0.48143216902394298</v>
      </c>
    </row>
    <row r="43" spans="1:26" s="26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2"/>
      <c r="P43" s="1">
        <f>SUM(OSRRefP22_3x_0)</f>
        <v>23.8</v>
      </c>
      <c r="Q43" s="1"/>
      <c r="R43" s="5">
        <f t="shared" si="32"/>
        <v>2.4578502435564359E-5</v>
      </c>
      <c r="S43" s="1"/>
      <c r="T43" s="1">
        <f>SUM(OSRRefT22_3x_0)</f>
        <v>16.690000000000001</v>
      </c>
      <c r="U43" s="1"/>
      <c r="V43" s="5">
        <f t="shared" si="33"/>
        <v>4.9372262010033479E-6</v>
      </c>
      <c r="W43" s="1"/>
      <c r="X43" s="1">
        <f t="shared" si="34"/>
        <v>7.1099999999999994</v>
      </c>
      <c r="Y43" s="1"/>
      <c r="Z43" s="5">
        <f t="shared" si="35"/>
        <v>0.4260035949670461</v>
      </c>
    </row>
    <row r="44" spans="1:26" s="23" customFormat="1" hidden="1" outlineLevel="2" x14ac:dyDescent="0.25">
      <c r="A44" s="27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0"/>
      <c r="P44" s="6">
        <v>23.8</v>
      </c>
      <c r="Q44" s="2"/>
      <c r="R44" s="7">
        <f t="shared" si="32"/>
        <v>2.4578502435564359E-5</v>
      </c>
      <c r="S44" s="2"/>
      <c r="T44" s="6">
        <v>16.690000000000001</v>
      </c>
      <c r="U44" s="2"/>
      <c r="V44" s="7">
        <f t="shared" si="33"/>
        <v>4.9372262010033479E-6</v>
      </c>
      <c r="W44" s="2"/>
      <c r="X44" s="6">
        <f t="shared" si="34"/>
        <v>7.1099999999999994</v>
      </c>
      <c r="Y44" s="2"/>
      <c r="Z44" s="7">
        <f t="shared" si="35"/>
        <v>0.4260035949670461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77.19</v>
      </c>
      <c r="E45" s="1"/>
      <c r="F45" s="5">
        <f t="shared" si="28"/>
        <v>1.5251353930597349E-3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77.19</v>
      </c>
      <c r="M45" s="1"/>
      <c r="N45" s="5">
        <f t="shared" si="31"/>
        <v>0</v>
      </c>
      <c r="O45" s="12"/>
      <c r="P45" s="1">
        <f>SUM(OSRRefP22_4x_0)</f>
        <v>423.53</v>
      </c>
      <c r="Q45" s="1"/>
      <c r="R45" s="5">
        <f t="shared" si="32"/>
        <v>4.3738374523254501E-4</v>
      </c>
      <c r="S45" s="1"/>
      <c r="T45" s="1">
        <f>SUM(OSRRefT22_4x_0)</f>
        <v>1125.75</v>
      </c>
      <c r="U45" s="1"/>
      <c r="V45" s="5">
        <f t="shared" si="33"/>
        <v>3.3301871754221198E-4</v>
      </c>
      <c r="W45" s="1"/>
      <c r="X45" s="1">
        <f t="shared" si="34"/>
        <v>-702.22</v>
      </c>
      <c r="Y45" s="1"/>
      <c r="Z45" s="5">
        <f t="shared" si="35"/>
        <v>-0.62377970242060854</v>
      </c>
    </row>
    <row r="46" spans="1:26" s="23" customFormat="1" hidden="1" outlineLevel="2" x14ac:dyDescent="0.25">
      <c r="A46" s="27"/>
      <c r="B46" s="10" t="str">
        <f>CONCATENATE("          ", "6381", " - ", "BANK/CREDIT CARD FEES")</f>
        <v xml:space="preserve">          6381 - BANK/CREDIT CARD FEES</v>
      </c>
      <c r="C46" s="10"/>
      <c r="D46" s="6">
        <v>77.19</v>
      </c>
      <c r="E46" s="2"/>
      <c r="F46" s="7">
        <f t="shared" si="28"/>
        <v>1.5251353930597349E-3</v>
      </c>
      <c r="G46" s="2"/>
      <c r="H46" s="6"/>
      <c r="I46" s="2"/>
      <c r="J46" s="7">
        <f t="shared" si="29"/>
        <v>0</v>
      </c>
      <c r="K46" s="2"/>
      <c r="L46" s="6">
        <f t="shared" si="30"/>
        <v>77.19</v>
      </c>
      <c r="M46" s="2"/>
      <c r="N46" s="7">
        <f t="shared" si="31"/>
        <v>0</v>
      </c>
      <c r="O46" s="10"/>
      <c r="P46" s="6">
        <v>423.53</v>
      </c>
      <c r="Q46" s="2"/>
      <c r="R46" s="7">
        <f t="shared" si="32"/>
        <v>4.3738374523254501E-4</v>
      </c>
      <c r="S46" s="2"/>
      <c r="T46" s="6">
        <v>1125.75</v>
      </c>
      <c r="U46" s="2"/>
      <c r="V46" s="7">
        <f t="shared" si="33"/>
        <v>3.3301871754221198E-4</v>
      </c>
      <c r="W46" s="2"/>
      <c r="X46" s="6">
        <f t="shared" si="34"/>
        <v>-702.22</v>
      </c>
      <c r="Y46" s="2"/>
      <c r="Z46" s="7">
        <f t="shared" si="35"/>
        <v>-0.62377970242060854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272.74</v>
      </c>
      <c r="E47" s="1"/>
      <c r="F47" s="5">
        <f t="shared" si="28"/>
        <v>5.3888512385427143E-3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2"/>
      <c r="P47" s="1">
        <f>SUM(OSRRefP22_5x_0)</f>
        <v>2735.92</v>
      </c>
      <c r="Q47" s="1"/>
      <c r="R47" s="5">
        <f t="shared" si="32"/>
        <v>2.8254124530886233E-3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2735.92</v>
      </c>
      <c r="Y47" s="1"/>
      <c r="Z47" s="5">
        <f t="shared" si="35"/>
        <v>0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272.74</v>
      </c>
      <c r="E48" s="2"/>
      <c r="F48" s="7">
        <f t="shared" si="28"/>
        <v>5.3888512385427143E-3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0"/>
      <c r="P48" s="6">
        <v>2735.92</v>
      </c>
      <c r="Q48" s="2"/>
      <c r="R48" s="7">
        <f t="shared" si="32"/>
        <v>2.8254124530886233E-3</v>
      </c>
      <c r="S48" s="2"/>
      <c r="T48" s="6"/>
      <c r="U48" s="2"/>
      <c r="V48" s="7">
        <f t="shared" si="33"/>
        <v>0</v>
      </c>
      <c r="W48" s="2"/>
      <c r="X48" s="6">
        <f t="shared" si="34"/>
        <v>2735.92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3603.41</v>
      </c>
      <c r="E49" s="1"/>
      <c r="F49" s="5">
        <f t="shared" si="28"/>
        <v>7.1196892430436309E-2</v>
      </c>
      <c r="G49" s="1"/>
      <c r="H49" s="1">
        <f>SUM(OSRRefH22_6x_0)</f>
        <v>892.56</v>
      </c>
      <c r="I49" s="1"/>
      <c r="J49" s="5">
        <f t="shared" si="29"/>
        <v>-0.22299171051250918</v>
      </c>
      <c r="K49" s="1"/>
      <c r="L49" s="1">
        <f t="shared" si="30"/>
        <v>2710.85</v>
      </c>
      <c r="M49" s="1"/>
      <c r="N49" s="5">
        <f t="shared" si="31"/>
        <v>3.0371627677691135</v>
      </c>
      <c r="O49" s="12"/>
      <c r="P49" s="1">
        <f>SUM(OSRRefP22_6x_0)</f>
        <v>61909.05</v>
      </c>
      <c r="Q49" s="1"/>
      <c r="R49" s="5">
        <f t="shared" si="32"/>
        <v>6.3934106563381332E-2</v>
      </c>
      <c r="S49" s="1"/>
      <c r="T49" s="1">
        <f>SUM(OSRRefT22_6x_0)</f>
        <v>27751.46</v>
      </c>
      <c r="U49" s="1"/>
      <c r="V49" s="5">
        <f t="shared" si="33"/>
        <v>8.2094209363748564E-3</v>
      </c>
      <c r="W49" s="1"/>
      <c r="X49" s="1">
        <f t="shared" si="34"/>
        <v>34157.590000000004</v>
      </c>
      <c r="Y49" s="1"/>
      <c r="Z49" s="5">
        <f t="shared" si="35"/>
        <v>1.2308393864683158</v>
      </c>
    </row>
    <row r="50" spans="1:26" s="23" customFormat="1" hidden="1" outlineLevel="2" x14ac:dyDescent="0.25">
      <c r="A50" s="27"/>
      <c r="B50" s="10" t="str">
        <f>CONCATENATE("          ", "6399", " - ", "DONATION-ON CAMPUS")</f>
        <v xml:space="preserve">          6399 - DONATION-ON CAMPUS</v>
      </c>
      <c r="C50" s="10"/>
      <c r="D50" s="6">
        <v>3603.41</v>
      </c>
      <c r="E50" s="2"/>
      <c r="F50" s="7">
        <f t="shared" si="28"/>
        <v>7.1196892430436309E-2</v>
      </c>
      <c r="G50" s="2"/>
      <c r="H50" s="6">
        <v>892.56</v>
      </c>
      <c r="I50" s="2"/>
      <c r="J50" s="7">
        <f t="shared" si="29"/>
        <v>-0.22299171051250918</v>
      </c>
      <c r="K50" s="2"/>
      <c r="L50" s="6">
        <f t="shared" si="30"/>
        <v>2710.85</v>
      </c>
      <c r="M50" s="2"/>
      <c r="N50" s="7">
        <f t="shared" si="31"/>
        <v>3.0371627677691135</v>
      </c>
      <c r="O50" s="10"/>
      <c r="P50" s="6">
        <v>61909.05</v>
      </c>
      <c r="Q50" s="2"/>
      <c r="R50" s="7">
        <f t="shared" si="32"/>
        <v>6.3934106563381332E-2</v>
      </c>
      <c r="S50" s="2"/>
      <c r="T50" s="6">
        <v>27751.46</v>
      </c>
      <c r="U50" s="2"/>
      <c r="V50" s="7">
        <f t="shared" si="33"/>
        <v>8.2094209363748564E-3</v>
      </c>
      <c r="W50" s="2"/>
      <c r="X50" s="6">
        <f t="shared" si="34"/>
        <v>34157.590000000004</v>
      </c>
      <c r="Y50" s="2"/>
      <c r="Z50" s="7">
        <f t="shared" si="35"/>
        <v>1.2308393864683158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1564</v>
      </c>
      <c r="U51" s="1"/>
      <c r="V51" s="5">
        <f t="shared" si="33"/>
        <v>4.6266158048946884E-4</v>
      </c>
      <c r="W51" s="1"/>
      <c r="X51" s="1">
        <f t="shared" si="34"/>
        <v>-1564</v>
      </c>
      <c r="Y51" s="1"/>
      <c r="Z51" s="5">
        <f t="shared" si="35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1564</v>
      </c>
      <c r="U52" s="2"/>
      <c r="V52" s="7">
        <f t="shared" si="33"/>
        <v>4.6266158048946884E-4</v>
      </c>
      <c r="W52" s="2"/>
      <c r="X52" s="6">
        <f t="shared" si="34"/>
        <v>-1564</v>
      </c>
      <c r="Y52" s="2"/>
      <c r="Z52" s="7">
        <f t="shared" si="35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404.02</v>
      </c>
      <c r="E53" s="1"/>
      <c r="F53" s="5">
        <f t="shared" si="28"/>
        <v>7.982707624096308E-3</v>
      </c>
      <c r="G53" s="1"/>
      <c r="H53" s="1">
        <f>SUM(OSRRefH22_8x_0)</f>
        <v>91.26</v>
      </c>
      <c r="I53" s="1"/>
      <c r="J53" s="5">
        <f t="shared" si="29"/>
        <v>-2.2799838107658409E-2</v>
      </c>
      <c r="K53" s="1"/>
      <c r="L53" s="1">
        <f t="shared" si="30"/>
        <v>312.76</v>
      </c>
      <c r="M53" s="1"/>
      <c r="N53" s="5">
        <f t="shared" si="31"/>
        <v>3.4271312732851191</v>
      </c>
      <c r="O53" s="12"/>
      <c r="P53" s="1">
        <f>SUM(OSRRefP22_8x_0)</f>
        <v>3574.85</v>
      </c>
      <c r="Q53" s="1"/>
      <c r="R53" s="5">
        <f t="shared" si="32"/>
        <v>3.6917840097385394E-3</v>
      </c>
      <c r="S53" s="1"/>
      <c r="T53" s="1">
        <f>SUM(OSRRefT22_8x_0)</f>
        <v>2757.23</v>
      </c>
      <c r="U53" s="1"/>
      <c r="V53" s="5">
        <f t="shared" si="33"/>
        <v>8.1564219282159733E-4</v>
      </c>
      <c r="W53" s="1"/>
      <c r="X53" s="1">
        <f t="shared" si="34"/>
        <v>817.61999999999989</v>
      </c>
      <c r="Y53" s="1"/>
      <c r="Z53" s="5">
        <f t="shared" si="35"/>
        <v>0.29653674158485144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>
        <v>404.02</v>
      </c>
      <c r="E54" s="2"/>
      <c r="F54" s="7">
        <f t="shared" si="28"/>
        <v>7.982707624096308E-3</v>
      </c>
      <c r="G54" s="2"/>
      <c r="H54" s="6">
        <v>91.26</v>
      </c>
      <c r="I54" s="2"/>
      <c r="J54" s="7">
        <f t="shared" si="29"/>
        <v>-2.2799838107658409E-2</v>
      </c>
      <c r="K54" s="2"/>
      <c r="L54" s="6">
        <f t="shared" si="30"/>
        <v>312.76</v>
      </c>
      <c r="M54" s="2"/>
      <c r="N54" s="7">
        <f t="shared" si="31"/>
        <v>3.4271312732851191</v>
      </c>
      <c r="O54" s="10"/>
      <c r="P54" s="6">
        <v>3574.85</v>
      </c>
      <c r="Q54" s="2"/>
      <c r="R54" s="7">
        <f t="shared" si="32"/>
        <v>3.6917840097385394E-3</v>
      </c>
      <c r="S54" s="2"/>
      <c r="T54" s="6">
        <v>2757.23</v>
      </c>
      <c r="U54" s="2"/>
      <c r="V54" s="7">
        <f t="shared" si="33"/>
        <v>8.1564219282159733E-4</v>
      </c>
      <c r="W54" s="2"/>
      <c r="X54" s="6">
        <f t="shared" si="34"/>
        <v>817.61999999999989</v>
      </c>
      <c r="Y54" s="2"/>
      <c r="Z54" s="7">
        <f t="shared" si="35"/>
        <v>0.29653674158485144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2"/>
      <c r="P55" s="1">
        <f>SUM(OSRRefP22_9x_0)</f>
        <v>1888.78</v>
      </c>
      <c r="Q55" s="1"/>
      <c r="R55" s="5">
        <f t="shared" si="32"/>
        <v>1.9505623458086238E-3</v>
      </c>
      <c r="S55" s="1"/>
      <c r="T55" s="1">
        <f>SUM(OSRRefT22_9x_0)</f>
        <v>3224.62</v>
      </c>
      <c r="U55" s="1"/>
      <c r="V55" s="5">
        <f t="shared" si="33"/>
        <v>9.5390523380943157E-4</v>
      </c>
      <c r="W55" s="1"/>
      <c r="X55" s="1">
        <f t="shared" si="34"/>
        <v>-1335.84</v>
      </c>
      <c r="Y55" s="1"/>
      <c r="Z55" s="5">
        <f t="shared" si="35"/>
        <v>-0.41426276584527788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0"/>
      <c r="P56" s="6">
        <v>1888.78</v>
      </c>
      <c r="Q56" s="2"/>
      <c r="R56" s="7">
        <f t="shared" si="32"/>
        <v>1.9505623458086238E-3</v>
      </c>
      <c r="S56" s="2"/>
      <c r="T56" s="6">
        <v>3224.62</v>
      </c>
      <c r="U56" s="2"/>
      <c r="V56" s="7">
        <f t="shared" si="33"/>
        <v>9.5390523380943157E-4</v>
      </c>
      <c r="W56" s="2"/>
      <c r="X56" s="6">
        <f t="shared" si="34"/>
        <v>-1335.84</v>
      </c>
      <c r="Y56" s="2"/>
      <c r="Z56" s="7">
        <f t="shared" si="35"/>
        <v>-0.41426276584527788</v>
      </c>
    </row>
    <row r="57" spans="1:26" s="26" customFormat="1" outlineLevel="1" collapsed="1" x14ac:dyDescent="0.25">
      <c r="A57" s="25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3760.68</v>
      </c>
      <c r="E57" s="1"/>
      <c r="F57" s="5">
        <f t="shared" si="28"/>
        <v>7.4304264412124413E-2</v>
      </c>
      <c r="G57" s="1"/>
      <c r="H57" s="1">
        <f>SUM(OSRRefH22_10x_0)</f>
        <v>-391.62</v>
      </c>
      <c r="I57" s="1"/>
      <c r="J57" s="5">
        <f t="shared" si="29"/>
        <v>9.7839936442265893E-2</v>
      </c>
      <c r="K57" s="1"/>
      <c r="L57" s="1">
        <f t="shared" si="30"/>
        <v>4152.3</v>
      </c>
      <c r="M57" s="1"/>
      <c r="N57" s="5">
        <f t="shared" si="31"/>
        <v>-10.602880343189828</v>
      </c>
      <c r="O57" s="12"/>
      <c r="P57" s="1">
        <f>SUM(OSRRefP22_10x_0)</f>
        <v>67501.119999999995</v>
      </c>
      <c r="Q57" s="1"/>
      <c r="R57" s="5">
        <f t="shared" si="32"/>
        <v>6.9709094215265624E-2</v>
      </c>
      <c r="S57" s="1"/>
      <c r="T57" s="1">
        <f>SUM(OSRRefT22_10x_0)</f>
        <v>264929.55</v>
      </c>
      <c r="U57" s="1"/>
      <c r="V57" s="5">
        <f t="shared" si="33"/>
        <v>7.8371307110846389E-2</v>
      </c>
      <c r="W57" s="1"/>
      <c r="X57" s="1">
        <f t="shared" si="34"/>
        <v>-197428.43</v>
      </c>
      <c r="Y57" s="1"/>
      <c r="Z57" s="5">
        <f t="shared" si="35"/>
        <v>-0.74521105705271462</v>
      </c>
    </row>
    <row r="58" spans="1:26" s="23" customFormat="1" hidden="1" outlineLevel="2" x14ac:dyDescent="0.25">
      <c r="A58" s="27"/>
      <c r="B58" s="10" t="str">
        <f>CONCATENATE("          ", "6387", " - ", "COMMISSION DUE HOUSING")</f>
        <v xml:space="preserve">          6387 - COMMISSION DUE HOUSING</v>
      </c>
      <c r="C58" s="10"/>
      <c r="D58" s="6">
        <v>3760.68</v>
      </c>
      <c r="E58" s="2"/>
      <c r="F58" s="7">
        <f t="shared" si="28"/>
        <v>7.4304264412124413E-2</v>
      </c>
      <c r="G58" s="2"/>
      <c r="H58" s="6">
        <v>-391.62</v>
      </c>
      <c r="I58" s="2"/>
      <c r="J58" s="7">
        <f t="shared" si="29"/>
        <v>9.7839936442265893E-2</v>
      </c>
      <c r="K58" s="2"/>
      <c r="L58" s="6">
        <f t="shared" si="30"/>
        <v>4152.3</v>
      </c>
      <c r="M58" s="2"/>
      <c r="N58" s="7">
        <f t="shared" si="31"/>
        <v>-10.602880343189828</v>
      </c>
      <c r="O58" s="10"/>
      <c r="P58" s="6">
        <v>67501.119999999995</v>
      </c>
      <c r="Q58" s="2"/>
      <c r="R58" s="7">
        <f t="shared" si="32"/>
        <v>6.9709094215265624E-2</v>
      </c>
      <c r="S58" s="2"/>
      <c r="T58" s="6">
        <v>264929.55</v>
      </c>
      <c r="U58" s="2"/>
      <c r="V58" s="7">
        <f t="shared" si="33"/>
        <v>7.8371307110846389E-2</v>
      </c>
      <c r="W58" s="2"/>
      <c r="X58" s="6">
        <f t="shared" si="34"/>
        <v>-197428.43</v>
      </c>
      <c r="Y58" s="2"/>
      <c r="Z58" s="7">
        <f t="shared" si="35"/>
        <v>-0.74521105705271462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15.290000000000001</v>
      </c>
      <c r="E59" s="1"/>
      <c r="F59" s="5">
        <f t="shared" si="28"/>
        <v>3.0210286513646003E-4</v>
      </c>
      <c r="G59" s="1"/>
      <c r="H59" s="1">
        <f>SUM(OSRRefH22_11x_0)</f>
        <v>0.52</v>
      </c>
      <c r="I59" s="1"/>
      <c r="J59" s="5">
        <f t="shared" si="29"/>
        <v>-1.2991360745104506E-4</v>
      </c>
      <c r="K59" s="1"/>
      <c r="L59" s="1">
        <f t="shared" si="30"/>
        <v>14.770000000000001</v>
      </c>
      <c r="M59" s="1"/>
      <c r="N59" s="5">
        <f t="shared" si="31"/>
        <v>28.403846153846157</v>
      </c>
      <c r="O59" s="12"/>
      <c r="P59" s="1">
        <f>SUM(OSRRefP22_11x_0)</f>
        <v>3515.0299999999997</v>
      </c>
      <c r="Q59" s="1"/>
      <c r="R59" s="5">
        <f t="shared" si="32"/>
        <v>3.6300072863899905E-3</v>
      </c>
      <c r="S59" s="1"/>
      <c r="T59" s="1">
        <f>SUM(OSRRefT22_11x_0)</f>
        <v>9445.23</v>
      </c>
      <c r="U59" s="1"/>
      <c r="V59" s="5">
        <f t="shared" si="33"/>
        <v>2.7940825063213206E-3</v>
      </c>
      <c r="W59" s="1"/>
      <c r="X59" s="1">
        <f t="shared" si="34"/>
        <v>-5930.2</v>
      </c>
      <c r="Y59" s="1"/>
      <c r="Z59" s="5">
        <f t="shared" si="35"/>
        <v>-0.62785130695599789</v>
      </c>
    </row>
    <row r="60" spans="1:26" s="23" customFormat="1" hidden="1" outlineLevel="2" x14ac:dyDescent="0.25">
      <c r="A60" s="27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0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2.4371822866097259E-3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>
        <v>10.89</v>
      </c>
      <c r="E61" s="2"/>
      <c r="F61" s="7">
        <f t="shared" si="28"/>
        <v>2.1516678883819814E-4</v>
      </c>
      <c r="G61" s="2"/>
      <c r="H61" s="6">
        <v>0.52</v>
      </c>
      <c r="I61" s="2"/>
      <c r="J61" s="7">
        <f t="shared" si="29"/>
        <v>-1.2991360745104506E-4</v>
      </c>
      <c r="K61" s="2"/>
      <c r="L61" s="6">
        <f t="shared" si="30"/>
        <v>10.370000000000001</v>
      </c>
      <c r="M61" s="2"/>
      <c r="N61" s="7">
        <f t="shared" si="31"/>
        <v>19.942307692307693</v>
      </c>
      <c r="O61" s="10"/>
      <c r="P61" s="6">
        <v>1707.06</v>
      </c>
      <c r="Q61" s="2"/>
      <c r="R61" s="7">
        <f t="shared" si="32"/>
        <v>1.7628982507417853E-3</v>
      </c>
      <c r="S61" s="2"/>
      <c r="T61" s="6">
        <v>299.07</v>
      </c>
      <c r="U61" s="2"/>
      <c r="V61" s="7">
        <f t="shared" si="33"/>
        <v>8.8470715394491976E-5</v>
      </c>
      <c r="W61" s="2"/>
      <c r="X61" s="6">
        <f t="shared" si="34"/>
        <v>1407.99</v>
      </c>
      <c r="Y61" s="2"/>
      <c r="Z61" s="7">
        <f t="shared" si="35"/>
        <v>4.7078944728658847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4.4000000000000004</v>
      </c>
      <c r="E62" s="2"/>
      <c r="F62" s="7">
        <f t="shared" si="28"/>
        <v>8.693607629826188E-5</v>
      </c>
      <c r="G62" s="2"/>
      <c r="H62" s="6"/>
      <c r="I62" s="2"/>
      <c r="J62" s="7">
        <f t="shared" si="29"/>
        <v>0</v>
      </c>
      <c r="K62" s="2"/>
      <c r="L62" s="6">
        <f t="shared" si="30"/>
        <v>4.4000000000000004</v>
      </c>
      <c r="M62" s="2"/>
      <c r="N62" s="7">
        <f t="shared" si="31"/>
        <v>0</v>
      </c>
      <c r="O62" s="10"/>
      <c r="P62" s="6">
        <v>1807.97</v>
      </c>
      <c r="Q62" s="2"/>
      <c r="R62" s="7">
        <f t="shared" si="32"/>
        <v>1.8671090356482056E-3</v>
      </c>
      <c r="S62" s="2"/>
      <c r="T62" s="6">
        <v>907.41</v>
      </c>
      <c r="U62" s="2"/>
      <c r="V62" s="7">
        <f t="shared" si="33"/>
        <v>2.6842950431710288E-4</v>
      </c>
      <c r="W62" s="2"/>
      <c r="X62" s="6">
        <f t="shared" si="34"/>
        <v>900.56000000000006</v>
      </c>
      <c r="Y62" s="2"/>
      <c r="Z62" s="7">
        <f t="shared" si="35"/>
        <v>0.99245104197661482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5960.22</v>
      </c>
      <c r="E63" s="1"/>
      <c r="F63" s="5">
        <f t="shared" ref="F63:F67" si="36">IF(D$12=0,0,D63/D$12)</f>
        <v>0.11776321378964236</v>
      </c>
      <c r="G63" s="1"/>
      <c r="H63" s="1">
        <f>SUM(OSRRefH22_12x_0)</f>
        <v>421.34</v>
      </c>
      <c r="I63" s="1"/>
      <c r="J63" s="5">
        <f t="shared" ref="J63:J67" si="37">IF(H$12=0,0,H63/H$12)</f>
        <v>-0.10526499877581408</v>
      </c>
      <c r="K63" s="1"/>
      <c r="L63" s="1">
        <f t="shared" ref="L63:L67" si="38">+D63-H63</f>
        <v>5538.88</v>
      </c>
      <c r="M63" s="1"/>
      <c r="N63" s="5">
        <f t="shared" ref="N63:N67" si="39">IF(H63=0,0,L63/H63)</f>
        <v>13.145867945127451</v>
      </c>
      <c r="O63" s="12"/>
      <c r="P63" s="1">
        <f>SUM(OSRRefP22_12x_0)</f>
        <v>59359.009999999995</v>
      </c>
      <c r="Q63" s="1"/>
      <c r="R63" s="5">
        <f t="shared" ref="R63:R67" si="40">IF(P$12=0,0,P63/P$12)</f>
        <v>6.1300654279734829E-2</v>
      </c>
      <c r="S63" s="1"/>
      <c r="T63" s="1">
        <f>SUM(OSRRefT22_12x_0)</f>
        <v>55140.770000000004</v>
      </c>
      <c r="U63" s="1"/>
      <c r="V63" s="5">
        <f t="shared" ref="V63:V67" si="41">IF(T$12=0,0,T63/T$12)</f>
        <v>1.6311710868034714E-2</v>
      </c>
      <c r="W63" s="1"/>
      <c r="X63" s="1">
        <f t="shared" ref="X63:X67" si="42">+P63-T63</f>
        <v>4218.2399999999907</v>
      </c>
      <c r="Y63" s="1"/>
      <c r="Z63" s="5">
        <f t="shared" ref="Z63:Z67" si="43">IF(T63=0,0,X63/T63)</f>
        <v>7.6499475796221031E-2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421.34</v>
      </c>
      <c r="E64" s="2"/>
      <c r="F64" s="7">
        <f t="shared" si="36"/>
        <v>8.3249196335249218E-3</v>
      </c>
      <c r="G64" s="2"/>
      <c r="H64" s="6">
        <v>421.34</v>
      </c>
      <c r="I64" s="2"/>
      <c r="J64" s="7">
        <f t="shared" si="37"/>
        <v>-0.10526499877581408</v>
      </c>
      <c r="K64" s="2"/>
      <c r="L64" s="6">
        <f t="shared" si="38"/>
        <v>0</v>
      </c>
      <c r="M64" s="2"/>
      <c r="N64" s="7">
        <f t="shared" si="39"/>
        <v>0</v>
      </c>
      <c r="O64" s="10"/>
      <c r="P64" s="6">
        <v>4502.78</v>
      </c>
      <c r="Q64" s="2"/>
      <c r="R64" s="7">
        <f t="shared" si="40"/>
        <v>4.6500667729752303E-3</v>
      </c>
      <c r="S64" s="2"/>
      <c r="T64" s="6">
        <v>5056.08</v>
      </c>
      <c r="U64" s="2"/>
      <c r="V64" s="7">
        <f t="shared" si="41"/>
        <v>1.4956866776733974E-3</v>
      </c>
      <c r="W64" s="2"/>
      <c r="X64" s="6">
        <f t="shared" si="42"/>
        <v>-553.30000000000018</v>
      </c>
      <c r="Y64" s="2"/>
      <c r="Z64" s="7">
        <f t="shared" si="43"/>
        <v>-0.10943260391449507</v>
      </c>
    </row>
    <row r="65" spans="1:26" s="23" customFormat="1" hidden="1" outlineLevel="2" x14ac:dyDescent="0.25">
      <c r="A65" s="27"/>
      <c r="B65" s="10" t="str">
        <f>CONCATENATE("          ", "6284", " - ", "TRASH REMOVAL EXPENSE")</f>
        <v xml:space="preserve">          6284 - TRASH REMOVAL EXPENSE</v>
      </c>
      <c r="C65" s="10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0"/>
      <c r="P65" s="6">
        <v>282.75</v>
      </c>
      <c r="Q65" s="2"/>
      <c r="R65" s="7">
        <f t="shared" si="40"/>
        <v>2.9199880519562276E-4</v>
      </c>
      <c r="S65" s="2"/>
      <c r="T65" s="6"/>
      <c r="U65" s="2"/>
      <c r="V65" s="7">
        <f t="shared" si="41"/>
        <v>0</v>
      </c>
      <c r="W65" s="2"/>
      <c r="X65" s="6">
        <f t="shared" si="42"/>
        <v>282.75</v>
      </c>
      <c r="Y65" s="2"/>
      <c r="Z65" s="7">
        <f t="shared" si="43"/>
        <v>0</v>
      </c>
    </row>
    <row r="66" spans="1:26" s="23" customFormat="1" hidden="1" outlineLevel="2" x14ac:dyDescent="0.25">
      <c r="A66" s="27"/>
      <c r="B66" s="10" t="str">
        <f>CONCATENATE("          ", "6285", " - ", "JANITORIAL SERVICES")</f>
        <v xml:space="preserve">          6285 - JANITORIAL SERVICES</v>
      </c>
      <c r="C66" s="10"/>
      <c r="D66" s="6">
        <v>4468.33</v>
      </c>
      <c r="E66" s="2"/>
      <c r="F66" s="7">
        <f t="shared" si="36"/>
        <v>8.8286154046775561E-2</v>
      </c>
      <c r="G66" s="2"/>
      <c r="H66" s="6"/>
      <c r="I66" s="2"/>
      <c r="J66" s="7">
        <f t="shared" si="37"/>
        <v>0</v>
      </c>
      <c r="K66" s="2"/>
      <c r="L66" s="6">
        <f t="shared" si="38"/>
        <v>4468.33</v>
      </c>
      <c r="M66" s="2"/>
      <c r="N66" s="7">
        <f t="shared" si="39"/>
        <v>0</v>
      </c>
      <c r="O66" s="10"/>
      <c r="P66" s="6">
        <v>45623.27</v>
      </c>
      <c r="Q66" s="2"/>
      <c r="R66" s="7">
        <f t="shared" si="40"/>
        <v>4.7115615664428998E-2</v>
      </c>
      <c r="S66" s="2"/>
      <c r="T66" s="6">
        <v>38570.82</v>
      </c>
      <c r="U66" s="2"/>
      <c r="V66" s="7">
        <f t="shared" si="41"/>
        <v>1.1409997788986454E-2</v>
      </c>
      <c r="W66" s="2"/>
      <c r="X66" s="6">
        <f t="shared" si="42"/>
        <v>7052.4499999999971</v>
      </c>
      <c r="Y66" s="2"/>
      <c r="Z66" s="7">
        <f t="shared" si="43"/>
        <v>0.1828441811711547</v>
      </c>
    </row>
    <row r="67" spans="1:26" s="23" customFormat="1" hidden="1" outlineLevel="2" x14ac:dyDescent="0.25">
      <c r="A67" s="27"/>
      <c r="B67" s="10" t="str">
        <f>CONCATENATE("          ", "6286", " - ", "LAUNDRY EXPENSE")</f>
        <v xml:space="preserve">          6286 - LAUNDRY EXPENSE</v>
      </c>
      <c r="C67" s="10"/>
      <c r="D67" s="6">
        <v>1070.55</v>
      </c>
      <c r="E67" s="2"/>
      <c r="F67" s="7">
        <f t="shared" si="36"/>
        <v>2.1152140109341872E-2</v>
      </c>
      <c r="G67" s="2"/>
      <c r="H67" s="6"/>
      <c r="I67" s="2"/>
      <c r="J67" s="7">
        <f t="shared" si="37"/>
        <v>0</v>
      </c>
      <c r="K67" s="2"/>
      <c r="L67" s="6">
        <f t="shared" si="38"/>
        <v>1070.55</v>
      </c>
      <c r="M67" s="2"/>
      <c r="N67" s="7">
        <f t="shared" si="39"/>
        <v>0</v>
      </c>
      <c r="O67" s="10"/>
      <c r="P67" s="6">
        <v>8950.2099999999991</v>
      </c>
      <c r="Q67" s="2"/>
      <c r="R67" s="7">
        <f t="shared" si="40"/>
        <v>9.2429730371349772E-3</v>
      </c>
      <c r="S67" s="2"/>
      <c r="T67" s="6">
        <v>11513.87</v>
      </c>
      <c r="U67" s="2"/>
      <c r="V67" s="7">
        <f t="shared" si="41"/>
        <v>3.4060264013748599E-3</v>
      </c>
      <c r="W67" s="2"/>
      <c r="X67" s="6">
        <f t="shared" si="42"/>
        <v>-2563.6600000000017</v>
      </c>
      <c r="Y67" s="2"/>
      <c r="Z67" s="7">
        <f t="shared" si="43"/>
        <v>-0.222658411116332</v>
      </c>
    </row>
    <row r="68" spans="1:26" s="26" customFormat="1" outlineLevel="1" collapsed="1" x14ac:dyDescent="0.25">
      <c r="A68" s="25"/>
      <c r="B68" s="12" t="str">
        <f>CONCATENATE("     ","Subscriptions &amp; Dues                              ")</f>
        <v xml:space="preserve">     Subscriptions &amp; Dues                              </v>
      </c>
      <c r="C68" s="12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2"/>
      <c r="P68" s="1">
        <f>SUM(OSRRefP22_13x_0)</f>
        <v>795</v>
      </c>
      <c r="Q68" s="1"/>
      <c r="R68" s="5">
        <f t="shared" ref="R68:R79" si="48">IF(P$12=0,0,P68/P$12)</f>
        <v>8.2100459816275898E-4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3" customFormat="1" hidden="1" outlineLevel="2" x14ac:dyDescent="0.25">
      <c r="A69" s="27"/>
      <c r="B69" s="10" t="str">
        <f>CONCATENATE("          ", "6258", " - ", "MEMBERSHIP DUES")</f>
        <v xml:space="preserve">          6258 - MEMBERSHIP DUES</v>
      </c>
      <c r="C69" s="10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0"/>
      <c r="P69" s="6">
        <v>795</v>
      </c>
      <c r="Q69" s="2"/>
      <c r="R69" s="7">
        <f t="shared" si="48"/>
        <v>8.2100459816275898E-4</v>
      </c>
      <c r="S69" s="2"/>
      <c r="T69" s="6"/>
      <c r="U69" s="2"/>
      <c r="V69" s="7">
        <f t="shared" si="49"/>
        <v>0</v>
      </c>
      <c r="W69" s="2"/>
      <c r="X69" s="6">
        <f t="shared" si="50"/>
        <v>795</v>
      </c>
      <c r="Y69" s="2"/>
      <c r="Z69" s="7">
        <f t="shared" si="51"/>
        <v>0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9812.35</v>
      </c>
      <c r="E70" s="1"/>
      <c r="F70" s="5">
        <f t="shared" si="44"/>
        <v>0.19387436551482951</v>
      </c>
      <c r="G70" s="1"/>
      <c r="H70" s="1">
        <f>SUM(OSRRefH22_14x_0)</f>
        <v>0</v>
      </c>
      <c r="I70" s="1"/>
      <c r="J70" s="5">
        <f t="shared" si="45"/>
        <v>0</v>
      </c>
      <c r="K70" s="1"/>
      <c r="L70" s="1">
        <f t="shared" si="46"/>
        <v>9812.35</v>
      </c>
      <c r="M70" s="1"/>
      <c r="N70" s="5">
        <f t="shared" si="47"/>
        <v>0</v>
      </c>
      <c r="O70" s="12"/>
      <c r="P70" s="1">
        <f>SUM(OSRRefP22_14x_0)</f>
        <v>127988.28</v>
      </c>
      <c r="Q70" s="1"/>
      <c r="R70" s="5">
        <f t="shared" si="48"/>
        <v>0.13217480049175181</v>
      </c>
      <c r="S70" s="1"/>
      <c r="T70" s="1">
        <f>SUM(OSRRefT22_14x_0)</f>
        <v>76941.84</v>
      </c>
      <c r="U70" s="1"/>
      <c r="V70" s="5">
        <f t="shared" si="49"/>
        <v>2.2760890856884802E-2</v>
      </c>
      <c r="W70" s="1"/>
      <c r="X70" s="1">
        <f t="shared" si="50"/>
        <v>51046.44</v>
      </c>
      <c r="Y70" s="1"/>
      <c r="Z70" s="5">
        <f t="shared" si="51"/>
        <v>0.66344189325339764</v>
      </c>
    </row>
    <row r="71" spans="1:26" s="23" customFormat="1" hidden="1" outlineLevel="2" x14ac:dyDescent="0.25">
      <c r="A71" s="27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0"/>
      <c r="P71" s="6"/>
      <c r="Q71" s="2"/>
      <c r="R71" s="7">
        <f t="shared" si="48"/>
        <v>0</v>
      </c>
      <c r="S71" s="2"/>
      <c r="T71" s="6">
        <v>118.34</v>
      </c>
      <c r="U71" s="2"/>
      <c r="V71" s="7">
        <f t="shared" si="49"/>
        <v>3.5007270738570166E-5</v>
      </c>
      <c r="W71" s="2"/>
      <c r="X71" s="6">
        <f t="shared" si="50"/>
        <v>-118.34</v>
      </c>
      <c r="Y71" s="2"/>
      <c r="Z71" s="7">
        <f t="shared" si="51"/>
        <v>-1</v>
      </c>
    </row>
    <row r="72" spans="1:26" s="23" customFormat="1" hidden="1" outlineLevel="2" x14ac:dyDescent="0.25">
      <c r="A72" s="27"/>
      <c r="B72" s="10" t="str">
        <f>CONCATENATE("          ", "6235", " - ", "COVID-19 EXPENSES")</f>
        <v xml:space="preserve">          6235 - COVID-19 EXPENSES</v>
      </c>
      <c r="C72" s="10"/>
      <c r="D72" s="6">
        <v>2921.2</v>
      </c>
      <c r="E72" s="2"/>
      <c r="F72" s="7">
        <f t="shared" si="44"/>
        <v>5.7717651382382398E-2</v>
      </c>
      <c r="G72" s="2"/>
      <c r="H72" s="6"/>
      <c r="I72" s="2"/>
      <c r="J72" s="7">
        <f t="shared" si="45"/>
        <v>0</v>
      </c>
      <c r="K72" s="2"/>
      <c r="L72" s="6">
        <f t="shared" si="46"/>
        <v>2921.2</v>
      </c>
      <c r="M72" s="2"/>
      <c r="N72" s="7">
        <f t="shared" si="47"/>
        <v>0</v>
      </c>
      <c r="O72" s="10"/>
      <c r="P72" s="6">
        <v>53097.67</v>
      </c>
      <c r="Q72" s="2"/>
      <c r="R72" s="7">
        <f t="shared" si="48"/>
        <v>5.483450468141985E-2</v>
      </c>
      <c r="S72" s="2"/>
      <c r="T72" s="6"/>
      <c r="U72" s="2"/>
      <c r="V72" s="7">
        <f t="shared" si="49"/>
        <v>0</v>
      </c>
      <c r="W72" s="2"/>
      <c r="X72" s="6">
        <f t="shared" si="50"/>
        <v>53097.67</v>
      </c>
      <c r="Y72" s="2"/>
      <c r="Z72" s="7">
        <f t="shared" si="51"/>
        <v>0</v>
      </c>
    </row>
    <row r="73" spans="1:26" s="23" customFormat="1" hidden="1" outlineLevel="2" x14ac:dyDescent="0.25">
      <c r="A73" s="27"/>
      <c r="B73" s="10" t="str">
        <f>CONCATENATE("          ", "6237", " - ", "JANITORIAL SUPPLIES")</f>
        <v xml:space="preserve">          6237 - JANITORIAL SUPPLIES</v>
      </c>
      <c r="C73" s="10"/>
      <c r="D73" s="6">
        <v>1425.01</v>
      </c>
      <c r="E73" s="2"/>
      <c r="F73" s="7">
        <f t="shared" si="44"/>
        <v>2.8155631383133213E-2</v>
      </c>
      <c r="G73" s="2"/>
      <c r="H73" s="6"/>
      <c r="I73" s="2"/>
      <c r="J73" s="7">
        <f t="shared" si="45"/>
        <v>0</v>
      </c>
      <c r="K73" s="2"/>
      <c r="L73" s="6">
        <f t="shared" si="46"/>
        <v>1425.01</v>
      </c>
      <c r="M73" s="2"/>
      <c r="N73" s="7">
        <f t="shared" si="47"/>
        <v>0</v>
      </c>
      <c r="O73" s="10"/>
      <c r="P73" s="6">
        <v>18476.8</v>
      </c>
      <c r="Q73" s="2"/>
      <c r="R73" s="7">
        <f t="shared" si="48"/>
        <v>1.9081179571488888E-2</v>
      </c>
      <c r="S73" s="2"/>
      <c r="T73" s="6">
        <v>34387.160000000003</v>
      </c>
      <c r="U73" s="2"/>
      <c r="V73" s="7">
        <f t="shared" si="49"/>
        <v>1.0172389893954121E-2</v>
      </c>
      <c r="W73" s="2"/>
      <c r="X73" s="6">
        <f t="shared" si="50"/>
        <v>-15910.360000000004</v>
      </c>
      <c r="Y73" s="2"/>
      <c r="Z73" s="7">
        <f t="shared" si="51"/>
        <v>-0.46268316429737155</v>
      </c>
    </row>
    <row r="74" spans="1:26" s="23" customFormat="1" hidden="1" outlineLevel="2" x14ac:dyDescent="0.25">
      <c r="A74" s="27"/>
      <c r="B74" s="10" t="str">
        <f>CONCATENATE("          ", "6239", " - ", "KITCHEN SUPPLIES")</f>
        <v xml:space="preserve">          6239 - KITCHEN SUPPLIES</v>
      </c>
      <c r="C74" s="10"/>
      <c r="D74" s="6">
        <v>618.89</v>
      </c>
      <c r="E74" s="2"/>
      <c r="F74" s="7">
        <f t="shared" si="44"/>
        <v>1.2228151877325292E-2</v>
      </c>
      <c r="G74" s="2"/>
      <c r="H74" s="6"/>
      <c r="I74" s="2"/>
      <c r="J74" s="7">
        <f t="shared" si="45"/>
        <v>0</v>
      </c>
      <c r="K74" s="2"/>
      <c r="L74" s="6">
        <f t="shared" si="46"/>
        <v>618.89</v>
      </c>
      <c r="M74" s="2"/>
      <c r="N74" s="7">
        <f t="shared" si="47"/>
        <v>0</v>
      </c>
      <c r="O74" s="10"/>
      <c r="P74" s="6">
        <v>6835.2</v>
      </c>
      <c r="Q74" s="2"/>
      <c r="R74" s="7">
        <f t="shared" si="48"/>
        <v>7.0587806658642645E-3</v>
      </c>
      <c r="S74" s="2"/>
      <c r="T74" s="6">
        <v>16573.400000000001</v>
      </c>
      <c r="U74" s="2"/>
      <c r="V74" s="7">
        <f t="shared" si="49"/>
        <v>4.9027336560640428E-3</v>
      </c>
      <c r="W74" s="2"/>
      <c r="X74" s="6">
        <f t="shared" si="50"/>
        <v>-9738.2000000000007</v>
      </c>
      <c r="Y74" s="2"/>
      <c r="Z74" s="7">
        <f t="shared" si="51"/>
        <v>-0.58758009822969337</v>
      </c>
    </row>
    <row r="75" spans="1:26" s="23" customFormat="1" hidden="1" outlineLevel="2" x14ac:dyDescent="0.25">
      <c r="A75" s="27"/>
      <c r="B75" s="10" t="str">
        <f>CONCATENATE("          ", "6241", " - ", "OFFICE EXPENSE")</f>
        <v xml:space="preserve">          6241 - OFFICE EXPENSE</v>
      </c>
      <c r="C75" s="10"/>
      <c r="D75" s="6">
        <v>1504.3</v>
      </c>
      <c r="E75" s="2"/>
      <c r="F75" s="7">
        <f t="shared" si="44"/>
        <v>2.9722258994426209E-2</v>
      </c>
      <c r="G75" s="2"/>
      <c r="H75" s="6"/>
      <c r="I75" s="2"/>
      <c r="J75" s="7">
        <f t="shared" si="45"/>
        <v>0</v>
      </c>
      <c r="K75" s="2"/>
      <c r="L75" s="6">
        <f t="shared" si="46"/>
        <v>1504.3</v>
      </c>
      <c r="M75" s="2"/>
      <c r="N75" s="7">
        <f t="shared" si="47"/>
        <v>0</v>
      </c>
      <c r="O75" s="10"/>
      <c r="P75" s="6">
        <v>9368.7000000000007</v>
      </c>
      <c r="Q75" s="2"/>
      <c r="R75" s="7">
        <f t="shared" si="48"/>
        <v>9.6751519230282267E-3</v>
      </c>
      <c r="S75" s="2"/>
      <c r="T75" s="6">
        <v>3279.53</v>
      </c>
      <c r="U75" s="2"/>
      <c r="V75" s="7">
        <f t="shared" si="49"/>
        <v>9.7014867842879014E-4</v>
      </c>
      <c r="W75" s="2"/>
      <c r="X75" s="6">
        <f t="shared" si="50"/>
        <v>6089.17</v>
      </c>
      <c r="Y75" s="2"/>
      <c r="Z75" s="7">
        <f t="shared" si="51"/>
        <v>1.8567203227291715</v>
      </c>
    </row>
    <row r="76" spans="1:26" s="23" customFormat="1" hidden="1" outlineLevel="2" x14ac:dyDescent="0.25">
      <c r="A76" s="27"/>
      <c r="B76" s="10" t="str">
        <f>CONCATENATE("          ", "6243", " - ", "PAPER SUPPLIES")</f>
        <v xml:space="preserve">          6243 - PAPER SUPPLIES</v>
      </c>
      <c r="C76" s="10"/>
      <c r="D76" s="6">
        <v>3342.95</v>
      </c>
      <c r="E76" s="2"/>
      <c r="F76" s="7">
        <f t="shared" si="44"/>
        <v>6.6050671877562389E-2</v>
      </c>
      <c r="G76" s="2"/>
      <c r="H76" s="6"/>
      <c r="I76" s="2"/>
      <c r="J76" s="7">
        <f t="shared" si="45"/>
        <v>0</v>
      </c>
      <c r="K76" s="2"/>
      <c r="L76" s="6">
        <f t="shared" si="46"/>
        <v>3342.95</v>
      </c>
      <c r="M76" s="2"/>
      <c r="N76" s="7">
        <f t="shared" si="47"/>
        <v>0</v>
      </c>
      <c r="O76" s="10"/>
      <c r="P76" s="6">
        <v>35709.32</v>
      </c>
      <c r="Q76" s="2"/>
      <c r="R76" s="7">
        <f t="shared" si="48"/>
        <v>3.6877378512283489E-2</v>
      </c>
      <c r="S76" s="2"/>
      <c r="T76" s="6">
        <v>19420.62</v>
      </c>
      <c r="U76" s="2"/>
      <c r="V76" s="7">
        <f t="shared" si="49"/>
        <v>5.7449966389292763E-3</v>
      </c>
      <c r="W76" s="2"/>
      <c r="X76" s="6">
        <f t="shared" si="50"/>
        <v>16288.7</v>
      </c>
      <c r="Y76" s="2"/>
      <c r="Z76" s="7">
        <f t="shared" si="51"/>
        <v>0.83873223408933395</v>
      </c>
    </row>
    <row r="77" spans="1:26" s="23" customFormat="1" hidden="1" outlineLevel="2" x14ac:dyDescent="0.25">
      <c r="A77" s="27"/>
      <c r="B77" s="10" t="str">
        <f>CONCATENATE("          ", "6245", " - ", "PRINTING")</f>
        <v xml:space="preserve">          6245 - PRINTING</v>
      </c>
      <c r="C77" s="10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0"/>
      <c r="P77" s="6"/>
      <c r="Q77" s="2"/>
      <c r="R77" s="7">
        <f t="shared" si="48"/>
        <v>0</v>
      </c>
      <c r="S77" s="2"/>
      <c r="T77" s="6">
        <v>441</v>
      </c>
      <c r="U77" s="2"/>
      <c r="V77" s="7">
        <f t="shared" si="49"/>
        <v>1.3045636636563668E-4</v>
      </c>
      <c r="W77" s="2"/>
      <c r="X77" s="6">
        <f t="shared" si="50"/>
        <v>-441</v>
      </c>
      <c r="Y77" s="2"/>
      <c r="Z77" s="7">
        <f t="shared" si="51"/>
        <v>-1</v>
      </c>
    </row>
    <row r="78" spans="1:26" s="23" customFormat="1" hidden="1" outlineLevel="2" x14ac:dyDescent="0.25">
      <c r="A78" s="27"/>
      <c r="B78" s="10" t="str">
        <f>CONCATENATE("          ", "6247", " - ", "STORE SUPPLIES")</f>
        <v xml:space="preserve">          6247 - STORE SUPPLIES</v>
      </c>
      <c r="C78" s="10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0"/>
      <c r="P78" s="6"/>
      <c r="Q78" s="2"/>
      <c r="R78" s="7">
        <f t="shared" si="48"/>
        <v>0</v>
      </c>
      <c r="S78" s="2"/>
      <c r="T78" s="6">
        <v>153.87</v>
      </c>
      <c r="U78" s="2"/>
      <c r="V78" s="7">
        <f t="shared" si="49"/>
        <v>4.5517734904037451E-5</v>
      </c>
      <c r="W78" s="2"/>
      <c r="X78" s="6">
        <f t="shared" si="50"/>
        <v>-153.87</v>
      </c>
      <c r="Y78" s="2"/>
      <c r="Z78" s="7">
        <f t="shared" si="51"/>
        <v>-1</v>
      </c>
    </row>
    <row r="79" spans="1:26" s="23" customFormat="1" hidden="1" outlineLevel="2" x14ac:dyDescent="0.25">
      <c r="A79" s="27"/>
      <c r="B79" s="10" t="str">
        <f>CONCATENATE("          ", "6248", " - ", "UNIFORMS")</f>
        <v xml:space="preserve">          6248 - UNIFORMS</v>
      </c>
      <c r="C79" s="10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0"/>
      <c r="P79" s="6">
        <v>4500.59</v>
      </c>
      <c r="Q79" s="2"/>
      <c r="R79" s="7">
        <f t="shared" si="48"/>
        <v>4.647805137667084E-3</v>
      </c>
      <c r="S79" s="2"/>
      <c r="T79" s="6">
        <v>2567.92</v>
      </c>
      <c r="U79" s="2"/>
      <c r="V79" s="7">
        <f t="shared" si="49"/>
        <v>7.596406175003305E-4</v>
      </c>
      <c r="W79" s="2"/>
      <c r="X79" s="6">
        <f t="shared" si="50"/>
        <v>1932.67</v>
      </c>
      <c r="Y79" s="2"/>
      <c r="Z79" s="7">
        <f t="shared" si="51"/>
        <v>0.75262079815570582</v>
      </c>
    </row>
    <row r="80" spans="1:26" s="26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SUM(OSRRefD22_15x_0)</f>
        <v>309</v>
      </c>
      <c r="E80" s="1"/>
      <c r="F80" s="5">
        <f t="shared" ref="F80:F86" si="52">IF(D$12=0,0,D80/D$12)</f>
        <v>6.1052835400370268E-3</v>
      </c>
      <c r="G80" s="1"/>
      <c r="H80" s="1">
        <f>SUM(OSRRefH22_15x_0)</f>
        <v>267.8</v>
      </c>
      <c r="I80" s="1"/>
      <c r="J80" s="5">
        <f t="shared" ref="J80:J86" si="53">IF(H$12=0,0,H80/H$12)</f>
        <v>-6.6905507837288214E-2</v>
      </c>
      <c r="K80" s="1"/>
      <c r="L80" s="1">
        <f t="shared" ref="L80:L86" si="54">+D80-H80</f>
        <v>41.199999999999989</v>
      </c>
      <c r="M80" s="1"/>
      <c r="N80" s="5">
        <f t="shared" ref="N80:N86" si="55">IF(H80=0,0,L80/H80)</f>
        <v>0.1538461538461538</v>
      </c>
      <c r="O80" s="12"/>
      <c r="P80" s="1">
        <f>SUM(OSRRefP22_15x_0)</f>
        <v>2650</v>
      </c>
      <c r="Q80" s="1"/>
      <c r="R80" s="5">
        <f t="shared" ref="R80:R86" si="56">IF(P$12=0,0,P80/P$12)</f>
        <v>2.7366819938758635E-3</v>
      </c>
      <c r="S80" s="1"/>
      <c r="T80" s="1">
        <f>SUM(OSRRefT22_15x_0)</f>
        <v>3292.15</v>
      </c>
      <c r="U80" s="1"/>
      <c r="V80" s="5">
        <f t="shared" ref="V80:V86" si="57">IF(T$12=0,0,T80/T$12)</f>
        <v>9.7388191957059134E-4</v>
      </c>
      <c r="W80" s="1"/>
      <c r="X80" s="1">
        <f t="shared" ref="X80:X86" si="58">+P80-T80</f>
        <v>-642.15000000000009</v>
      </c>
      <c r="Y80" s="1"/>
      <c r="Z80" s="5">
        <f t="shared" ref="Z80:Z86" si="59">IF(T80=0,0,X80/T80)</f>
        <v>-0.1950549033306502</v>
      </c>
    </row>
    <row r="81" spans="1:26" s="23" customFormat="1" hidden="1" outlineLevel="2" x14ac:dyDescent="0.25">
      <c r="A81" s="27"/>
      <c r="B81" s="10" t="str">
        <f>CONCATENATE("          ", "6309", " - ", "TELEPHONE")</f>
        <v xml:space="preserve">          6309 - TELEPHONE</v>
      </c>
      <c r="C81" s="10"/>
      <c r="D81" s="6">
        <v>309</v>
      </c>
      <c r="E81" s="2"/>
      <c r="F81" s="7">
        <f t="shared" si="52"/>
        <v>6.1052835400370268E-3</v>
      </c>
      <c r="G81" s="2"/>
      <c r="H81" s="6">
        <v>267.8</v>
      </c>
      <c r="I81" s="2"/>
      <c r="J81" s="7">
        <f t="shared" si="53"/>
        <v>-6.6905507837288214E-2</v>
      </c>
      <c r="K81" s="2"/>
      <c r="L81" s="6">
        <f t="shared" si="54"/>
        <v>41.199999999999989</v>
      </c>
      <c r="M81" s="2"/>
      <c r="N81" s="7">
        <f t="shared" si="55"/>
        <v>0.1538461538461538</v>
      </c>
      <c r="O81" s="10"/>
      <c r="P81" s="6">
        <v>2650</v>
      </c>
      <c r="Q81" s="2"/>
      <c r="R81" s="7">
        <f t="shared" si="56"/>
        <v>2.7366819938758635E-3</v>
      </c>
      <c r="S81" s="2"/>
      <c r="T81" s="6">
        <v>3292.15</v>
      </c>
      <c r="U81" s="2"/>
      <c r="V81" s="7">
        <f t="shared" si="57"/>
        <v>9.7388191957059134E-4</v>
      </c>
      <c r="W81" s="2"/>
      <c r="X81" s="6">
        <f t="shared" si="58"/>
        <v>-642.15000000000009</v>
      </c>
      <c r="Y81" s="2"/>
      <c r="Z81" s="7">
        <f t="shared" si="59"/>
        <v>-0.1950549033306502</v>
      </c>
    </row>
    <row r="82" spans="1:26" s="26" customFormat="1" outlineLevel="1" collapsed="1" x14ac:dyDescent="0.25">
      <c r="A82" s="25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SUM(OSRRefD22_16x_0)</f>
        <v>0</v>
      </c>
      <c r="E82" s="1"/>
      <c r="F82" s="5">
        <f t="shared" si="52"/>
        <v>0</v>
      </c>
      <c r="G82" s="1"/>
      <c r="H82" s="1">
        <f>SUM(OSRRefH22_16x_0)</f>
        <v>0</v>
      </c>
      <c r="I82" s="1"/>
      <c r="J82" s="5">
        <f t="shared" si="53"/>
        <v>0</v>
      </c>
      <c r="K82" s="1"/>
      <c r="L82" s="1">
        <f t="shared" si="54"/>
        <v>0</v>
      </c>
      <c r="M82" s="1"/>
      <c r="N82" s="5">
        <f t="shared" si="55"/>
        <v>0</v>
      </c>
      <c r="O82" s="12"/>
      <c r="P82" s="1">
        <f>SUM(OSRRefP22_16x_0)</f>
        <v>735</v>
      </c>
      <c r="Q82" s="1"/>
      <c r="R82" s="5">
        <f t="shared" si="56"/>
        <v>7.5904198698066399E-4</v>
      </c>
      <c r="S82" s="1"/>
      <c r="T82" s="1">
        <f>SUM(OSRRefT22_16x_0)</f>
        <v>1112.43</v>
      </c>
      <c r="U82" s="1"/>
      <c r="V82" s="5">
        <f t="shared" si="57"/>
        <v>3.2907840280300504E-4</v>
      </c>
      <c r="W82" s="1"/>
      <c r="X82" s="1">
        <f t="shared" si="58"/>
        <v>-377.43000000000006</v>
      </c>
      <c r="Y82" s="1"/>
      <c r="Z82" s="5">
        <f t="shared" si="59"/>
        <v>-0.33928426957201807</v>
      </c>
    </row>
    <row r="83" spans="1:26" s="23" customFormat="1" hidden="1" outlineLevel="2" x14ac:dyDescent="0.25">
      <c r="A83" s="27"/>
      <c r="B83" s="10" t="str">
        <f>CONCATENATE("          ", "6376", " - ", "TRAINING")</f>
        <v xml:space="preserve">          6376 - TRAINING</v>
      </c>
      <c r="C83" s="10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0"/>
      <c r="P83" s="6">
        <v>735</v>
      </c>
      <c r="Q83" s="2"/>
      <c r="R83" s="7">
        <f t="shared" si="56"/>
        <v>7.5904198698066399E-4</v>
      </c>
      <c r="S83" s="2"/>
      <c r="T83" s="6">
        <v>1112.43</v>
      </c>
      <c r="U83" s="2"/>
      <c r="V83" s="7">
        <f t="shared" si="57"/>
        <v>3.2907840280300504E-4</v>
      </c>
      <c r="W83" s="2"/>
      <c r="X83" s="6">
        <f t="shared" si="58"/>
        <v>-377.43000000000006</v>
      </c>
      <c r="Y83" s="2"/>
      <c r="Z83" s="7">
        <f t="shared" si="59"/>
        <v>-0.33928426957201807</v>
      </c>
    </row>
    <row r="84" spans="1:26" s="26" customFormat="1" outlineLevel="1" collapsed="1" x14ac:dyDescent="0.25">
      <c r="A84" s="25"/>
      <c r="B84" s="12" t="str">
        <f>CONCATENATE("     ","Travel                                            ")</f>
        <v xml:space="preserve">     Travel                                            </v>
      </c>
      <c r="C84" s="12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2"/>
      <c r="P84" s="1">
        <f>SUM(OSRRefP22_17x_0)</f>
        <v>160.30000000000001</v>
      </c>
      <c r="Q84" s="1"/>
      <c r="R84" s="5">
        <f t="shared" si="56"/>
        <v>1.6554344287483054E-4</v>
      </c>
      <c r="S84" s="1"/>
      <c r="T84" s="1">
        <f>SUM(OSRRefT22_17x_0)</f>
        <v>59.14</v>
      </c>
      <c r="U84" s="1"/>
      <c r="V84" s="5">
        <f t="shared" si="57"/>
        <v>1.7494760786539123E-5</v>
      </c>
      <c r="W84" s="1"/>
      <c r="X84" s="1">
        <f t="shared" si="58"/>
        <v>101.16000000000001</v>
      </c>
      <c r="Y84" s="1"/>
      <c r="Z84" s="5">
        <f t="shared" si="59"/>
        <v>1.7105174163003045</v>
      </c>
    </row>
    <row r="85" spans="1:26" s="23" customFormat="1" hidden="1" outlineLevel="2" x14ac:dyDescent="0.25">
      <c r="A85" s="27"/>
      <c r="B85" s="10" t="str">
        <f>CONCATENATE("          ", "6292", " - ", "TRAVEL/CONFERENCE")</f>
        <v xml:space="preserve">          6292 - TRAVEL/CONFERENCE</v>
      </c>
      <c r="C85" s="10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0"/>
      <c r="P85" s="6"/>
      <c r="Q85" s="2"/>
      <c r="R85" s="7">
        <f t="shared" si="56"/>
        <v>0</v>
      </c>
      <c r="S85" s="2"/>
      <c r="T85" s="6">
        <v>59.14</v>
      </c>
      <c r="U85" s="2"/>
      <c r="V85" s="7">
        <f t="shared" si="57"/>
        <v>1.7494760786539123E-5</v>
      </c>
      <c r="W85" s="2"/>
      <c r="X85" s="6">
        <f t="shared" si="58"/>
        <v>-59.14</v>
      </c>
      <c r="Y85" s="2"/>
      <c r="Z85" s="7">
        <f t="shared" si="59"/>
        <v>-1</v>
      </c>
    </row>
    <row r="86" spans="1:26" s="23" customFormat="1" hidden="1" outlineLevel="2" x14ac:dyDescent="0.25">
      <c r="A86" s="27"/>
      <c r="B86" s="10" t="str">
        <f>CONCATENATE("          ", "6294", " - ", "TRAVEL OPERATIONAL")</f>
        <v xml:space="preserve">          6294 - TRAVEL OPERATIONAL</v>
      </c>
      <c r="C86" s="10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0"/>
      <c r="P86" s="6">
        <v>160.30000000000001</v>
      </c>
      <c r="Q86" s="2"/>
      <c r="R86" s="7">
        <f t="shared" si="56"/>
        <v>1.6554344287483054E-4</v>
      </c>
      <c r="S86" s="2"/>
      <c r="T86" s="6"/>
      <c r="U86" s="2"/>
      <c r="V86" s="7">
        <f t="shared" si="57"/>
        <v>0</v>
      </c>
      <c r="W86" s="2"/>
      <c r="X86" s="6">
        <f t="shared" si="58"/>
        <v>160.30000000000001</v>
      </c>
      <c r="Y86" s="2"/>
      <c r="Z86" s="7">
        <f t="shared" si="59"/>
        <v>0</v>
      </c>
    </row>
    <row r="87" spans="1:26" s="57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4" customFormat="1" x14ac:dyDescent="0.25">
      <c r="A88" s="11"/>
      <c r="B88" s="29" t="s">
        <v>292</v>
      </c>
      <c r="C88" s="11"/>
      <c r="D88" s="4">
        <f>SUM(0)</f>
        <v>0</v>
      </c>
      <c r="E88" s="4"/>
      <c r="F88" s="13">
        <f>IF(D$12=0,0,D88/D$12)</f>
        <v>0</v>
      </c>
      <c r="G88" s="4"/>
      <c r="H88" s="4">
        <f>SUM(0)</f>
        <v>0</v>
      </c>
      <c r="I88" s="4"/>
      <c r="J88" s="13">
        <f>IF(H$12=0,0,H88/H$12)</f>
        <v>0</v>
      </c>
      <c r="K88" s="4"/>
      <c r="L88" s="4">
        <f>+D88-H88</f>
        <v>0</v>
      </c>
      <c r="M88" s="4"/>
      <c r="N88" s="13">
        <f>IF(H88=0,0,L88/H88)</f>
        <v>0</v>
      </c>
      <c r="O88" s="11"/>
      <c r="P88" s="4">
        <f>SUM(0)</f>
        <v>0</v>
      </c>
      <c r="Q88" s="4"/>
      <c r="R88" s="13">
        <f>IF(P$12=0,0,P88/P$12)</f>
        <v>0</v>
      </c>
      <c r="S88" s="4"/>
      <c r="T88" s="4">
        <f>SUM(0)</f>
        <v>0</v>
      </c>
      <c r="U88" s="4"/>
      <c r="V88" s="13">
        <f>IF(T$12=0,0,T88/T$12)</f>
        <v>0</v>
      </c>
      <c r="W88" s="4"/>
      <c r="X88" s="4">
        <f>+P88-T88</f>
        <v>0</v>
      </c>
      <c r="Y88" s="4"/>
      <c r="Z88" s="13">
        <f>IF(T88=0,0,X88/T88)</f>
        <v>0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11"/>
      <c r="B90" s="28" t="s">
        <v>276</v>
      </c>
      <c r="C90" s="28"/>
      <c r="D90" s="20">
        <f>+D21-D23+D88</f>
        <v>-71006.36</v>
      </c>
      <c r="E90" s="14"/>
      <c r="F90" s="21">
        <f>IF(D$12=0,0,D90/D$12)</f>
        <v>-1.4029578024140568</v>
      </c>
      <c r="G90" s="14"/>
      <c r="H90" s="20">
        <f>+H21-H23+H88</f>
        <v>-59069.25</v>
      </c>
      <c r="I90" s="14"/>
      <c r="J90" s="21">
        <f>IF(H$12=0,0,H90/H$12)</f>
        <v>14.757498763322392</v>
      </c>
      <c r="K90" s="15"/>
      <c r="L90" s="20">
        <f>+D90-H90</f>
        <v>-11937.11</v>
      </c>
      <c r="M90" s="15"/>
      <c r="N90" s="21">
        <f>IF(H90=0,0,L90/H90)</f>
        <v>0.20208670331856254</v>
      </c>
      <c r="O90" s="29"/>
      <c r="P90" s="20">
        <f>+P21-P23+P88</f>
        <v>-712660.50000000023</v>
      </c>
      <c r="Q90" s="14"/>
      <c r="R90" s="21">
        <f>IF(P$12=0,0,P90/P$12)</f>
        <v>-0.73597175777229074</v>
      </c>
      <c r="S90" s="14"/>
      <c r="T90" s="20">
        <f>+T21-T23+T88</f>
        <v>823268.12000000011</v>
      </c>
      <c r="U90" s="14"/>
      <c r="V90" s="21">
        <f>IF(T$12=0,0,T90/T$12)</f>
        <v>0.24353870176841033</v>
      </c>
      <c r="W90" s="15"/>
      <c r="X90" s="20">
        <f>+P90-T90</f>
        <v>-1535928.6200000003</v>
      </c>
      <c r="Y90" s="15"/>
      <c r="Z90" s="21">
        <f>IF(T90=0,0,X90/T90)</f>
        <v>-1.8656481195943797</v>
      </c>
    </row>
    <row r="91" spans="1:26" x14ac:dyDescent="0.25">
      <c r="A91" s="9"/>
      <c r="B91" s="11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51"/>
      <c r="B92" s="11" t="s">
        <v>127</v>
      </c>
      <c r="C92" s="11"/>
      <c r="D92" s="4">
        <v>14932.58</v>
      </c>
      <c r="E92" s="4"/>
      <c r="F92" s="13">
        <f>IF(D$12=0,0,D92/D$12)</f>
        <v>0.29504088959315888</v>
      </c>
      <c r="G92" s="4"/>
      <c r="H92" s="4">
        <v>16034.41</v>
      </c>
      <c r="I92" s="4"/>
      <c r="J92" s="13">
        <f>IF(H$12=0,0,H92/H$12)</f>
        <v>-4.005938550863676</v>
      </c>
      <c r="K92" s="4"/>
      <c r="L92" s="4">
        <f>+D92-H92</f>
        <v>-1101.83</v>
      </c>
      <c r="M92" s="4"/>
      <c r="N92" s="13">
        <f>IF(H92=0,0,L92/H92)</f>
        <v>-6.8716591380661954E-2</v>
      </c>
      <c r="O92" s="11"/>
      <c r="P92" s="4">
        <v>206922.06</v>
      </c>
      <c r="Q92" s="4"/>
      <c r="R92" s="13">
        <f>IF(P$12=0,0,P92/P$12)</f>
        <v>0.21369051914630227</v>
      </c>
      <c r="S92" s="4"/>
      <c r="T92" s="4">
        <v>400313.72</v>
      </c>
      <c r="U92" s="4"/>
      <c r="V92" s="13">
        <f>IF(T$12=0,0,T92/T$12)</f>
        <v>0.11842057441612447</v>
      </c>
      <c r="W92" s="4"/>
      <c r="X92" s="4">
        <f>+P92-T92</f>
        <v>-193391.65999999997</v>
      </c>
      <c r="Y92" s="4"/>
      <c r="Z92" s="13">
        <f>IF(T92=0,0,X92/T92)</f>
        <v>-0.48310025447041882</v>
      </c>
    </row>
    <row r="93" spans="1:26" x14ac:dyDescent="0.25">
      <c r="A93" s="9"/>
      <c r="B93" s="11"/>
      <c r="C93" s="11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1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8" t="s">
        <v>125</v>
      </c>
      <c r="C94" s="28"/>
      <c r="D94" s="35">
        <f>+D90-D92</f>
        <v>-85938.94</v>
      </c>
      <c r="E94" s="14"/>
      <c r="F94" s="36">
        <f>IF(D$12=0,0,D94/D$12)</f>
        <v>-1.6979986920072156</v>
      </c>
      <c r="G94" s="14"/>
      <c r="H94" s="35">
        <f>+H90-H92</f>
        <v>-75103.66</v>
      </c>
      <c r="I94" s="14"/>
      <c r="J94" s="36">
        <f>IF(H$12=0,0,H94/H$12)</f>
        <v>18.763437314186067</v>
      </c>
      <c r="K94" s="15"/>
      <c r="L94" s="35">
        <f>D94-H94</f>
        <v>-10835.279999999999</v>
      </c>
      <c r="M94" s="15"/>
      <c r="N94" s="36">
        <f>IF(H94=0,0,L94/H94)</f>
        <v>0.14427099824429326</v>
      </c>
      <c r="O94" s="29"/>
      <c r="P94" s="35">
        <f>+P90-P92</f>
        <v>-919582.56000000029</v>
      </c>
      <c r="Q94" s="14"/>
      <c r="R94" s="36">
        <f>IF(P$12=0,0,P94/P$12)</f>
        <v>-0.94966227691859306</v>
      </c>
      <c r="S94" s="14"/>
      <c r="T94" s="35">
        <f>+T90-T92</f>
        <v>422954.40000000014</v>
      </c>
      <c r="U94" s="14"/>
      <c r="V94" s="36">
        <f>IF(T$12=0,0,T94/T$12)</f>
        <v>0.12511812735228584</v>
      </c>
      <c r="W94" s="15"/>
      <c r="X94" s="35">
        <f>P94-T94</f>
        <v>-1342536.9600000004</v>
      </c>
      <c r="Y94" s="15"/>
      <c r="Z94" s="36">
        <f>IF(T94=0,0,X94/T94)</f>
        <v>-3.1741884231491619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ht="15.75" thickBot="1" x14ac:dyDescent="0.3">
      <c r="A97" s="11"/>
      <c r="B97" s="28" t="s">
        <v>293</v>
      </c>
      <c r="C97" s="28"/>
      <c r="D97" s="30">
        <f>SUM(D94:D96)</f>
        <v>-85938.94</v>
      </c>
      <c r="E97" s="14"/>
      <c r="F97" s="31">
        <f>IF(D$12=0,0,D97/D$12)</f>
        <v>-1.6979986920072156</v>
      </c>
      <c r="G97" s="14"/>
      <c r="H97" s="30">
        <f>SUM(H94:H96)</f>
        <v>-75103.66</v>
      </c>
      <c r="I97" s="14"/>
      <c r="J97" s="31">
        <f>IF(H$12=0,0,H97/H$12)</f>
        <v>18.763437314186067</v>
      </c>
      <c r="K97" s="15"/>
      <c r="L97" s="30">
        <f>+D97-H97</f>
        <v>-10835.279999999999</v>
      </c>
      <c r="M97" s="15"/>
      <c r="N97" s="31">
        <f>IF(H97=0,0,L97/H97)</f>
        <v>0.14427099824429326</v>
      </c>
      <c r="O97" s="29"/>
      <c r="P97" s="30">
        <f>SUM(P94:P96)</f>
        <v>-919582.56000000029</v>
      </c>
      <c r="Q97" s="14"/>
      <c r="R97" s="31">
        <f>IF(P$12=0,0,P97/P$12)</f>
        <v>-0.94966227691859306</v>
      </c>
      <c r="S97" s="14"/>
      <c r="T97" s="30">
        <f>SUM(T94:T96)</f>
        <v>422954.40000000014</v>
      </c>
      <c r="U97" s="14"/>
      <c r="V97" s="31">
        <f>IF(T$12=0,0,T97/T$12)</f>
        <v>0.12511812735228584</v>
      </c>
      <c r="W97" s="15"/>
      <c r="X97" s="30">
        <f>+P97-T97</f>
        <v>-1342536.9600000004</v>
      </c>
      <c r="Y97" s="15"/>
      <c r="Z97" s="31">
        <f>IF(T97=0,0,X97/T97)</f>
        <v>-3.1741884231491619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9">
        <v>44356.893348032405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2" t="s">
        <v>56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4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-2039.78</v>
      </c>
      <c r="I12" s="4"/>
      <c r="J12" s="13"/>
      <c r="K12" s="4"/>
      <c r="L12" s="4">
        <f t="shared" ref="L12:L15" si="0">+D12-H12</f>
        <v>2039.78</v>
      </c>
      <c r="M12" s="4"/>
      <c r="N12" s="13">
        <f t="shared" ref="N12:N15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1994340.56</v>
      </c>
      <c r="U12" s="4"/>
      <c r="V12" s="13"/>
      <c r="W12" s="4"/>
      <c r="X12" s="4">
        <f t="shared" ref="X12:X15" si="2">+P12-T12</f>
        <v>-1994340.56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5">0</f>
        <v>0</v>
      </c>
      <c r="Q13" s="2"/>
      <c r="R13" s="19"/>
      <c r="S13" s="2"/>
      <c r="T13" s="2">
        <f>--959.82</f>
        <v>959.82</v>
      </c>
      <c r="U13" s="2"/>
      <c r="V13" s="19"/>
      <c r="W13" s="2"/>
      <c r="X13" s="2">
        <f t="shared" si="2"/>
        <v>-959.82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-2039.78</f>
        <v>-2039.78</v>
      </c>
      <c r="I14" s="2"/>
      <c r="J14" s="19"/>
      <c r="K14" s="2"/>
      <c r="L14" s="2">
        <f t="shared" si="0"/>
        <v>2039.78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--1984214.34</f>
        <v>1984214.34</v>
      </c>
      <c r="U14" s="2"/>
      <c r="V14" s="19"/>
      <c r="W14" s="2"/>
      <c r="X14" s="2">
        <f t="shared" si="2"/>
        <v>-1984214.34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--9166.4</f>
        <v>9166.4</v>
      </c>
      <c r="U15" s="2"/>
      <c r="V15" s="19"/>
      <c r="W15" s="2"/>
      <c r="X15" s="2">
        <f t="shared" si="2"/>
        <v>-9166.4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0</v>
      </c>
      <c r="E17" s="4"/>
      <c r="F17" s="13">
        <f t="shared" ref="F17:F19" si="6">IF(D$12=0,0,D17/D$12)</f>
        <v>0</v>
      </c>
      <c r="G17" s="4"/>
      <c r="H17" s="4">
        <f>SUM(OSRRefH16x_0)</f>
        <v>1843</v>
      </c>
      <c r="I17" s="4"/>
      <c r="J17" s="13">
        <f t="shared" ref="J17:J19" si="7">IF(H$12=0,0,H17/H$12)</f>
        <v>-0.90352881193069845</v>
      </c>
      <c r="K17" s="4"/>
      <c r="L17" s="4">
        <f t="shared" ref="L17:L19" si="8">+D17-H17</f>
        <v>-1843</v>
      </c>
      <c r="M17" s="4"/>
      <c r="N17" s="13">
        <f t="shared" ref="N17:N19" si="9">IF(H17=0,0,L17/H17)</f>
        <v>-1</v>
      </c>
      <c r="O17" s="11"/>
      <c r="P17" s="4">
        <f>SUM(OSRRefP16x_0)</f>
        <v>0</v>
      </c>
      <c r="Q17" s="4"/>
      <c r="R17" s="13">
        <f t="shared" ref="R17:R19" si="10">IF(P$12=0,0,P17/P$12)</f>
        <v>0</v>
      </c>
      <c r="S17" s="4"/>
      <c r="T17" s="4">
        <f>SUM(OSRRefT16x_0)</f>
        <v>447882.54</v>
      </c>
      <c r="U17" s="4"/>
      <c r="V17" s="13">
        <f t="shared" ref="V17:V19" si="11">IF(T$12=0,0,T17/T$12)</f>
        <v>0.22457675934746069</v>
      </c>
      <c r="W17" s="4"/>
      <c r="X17" s="4">
        <f t="shared" ref="X17:X19" si="12">+P17-T17</f>
        <v>-447882.54</v>
      </c>
      <c r="Y17" s="4"/>
      <c r="Z17" s="13">
        <f t="shared" ref="Z17:Z19" si="13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0"/>
      <c r="P18" s="2"/>
      <c r="Q18" s="2"/>
      <c r="R18" s="19">
        <f t="shared" si="10"/>
        <v>0</v>
      </c>
      <c r="S18" s="2"/>
      <c r="T18" s="2">
        <v>437174.54</v>
      </c>
      <c r="U18" s="2"/>
      <c r="V18" s="19">
        <f t="shared" si="11"/>
        <v>0.21920756603375702</v>
      </c>
      <c r="W18" s="2"/>
      <c r="X18" s="2">
        <f t="shared" si="12"/>
        <v>-437174.54</v>
      </c>
      <c r="Y18" s="2"/>
      <c r="Z18" s="19">
        <f t="shared" si="13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6"/>
        <v>0</v>
      </c>
      <c r="G19" s="2"/>
      <c r="H19" s="2">
        <v>1843</v>
      </c>
      <c r="I19" s="2"/>
      <c r="J19" s="19">
        <f t="shared" si="7"/>
        <v>-0.90352881193069845</v>
      </c>
      <c r="K19" s="2"/>
      <c r="L19" s="2">
        <f t="shared" si="8"/>
        <v>-1843</v>
      </c>
      <c r="M19" s="2"/>
      <c r="N19" s="19">
        <f t="shared" si="9"/>
        <v>-1</v>
      </c>
      <c r="O19" s="10"/>
      <c r="P19" s="2"/>
      <c r="Q19" s="2"/>
      <c r="R19" s="19">
        <f t="shared" si="10"/>
        <v>0</v>
      </c>
      <c r="S19" s="2"/>
      <c r="T19" s="2">
        <v>10708</v>
      </c>
      <c r="U19" s="2"/>
      <c r="V19" s="19">
        <f t="shared" si="11"/>
        <v>5.3691933137036537E-3</v>
      </c>
      <c r="W19" s="2"/>
      <c r="X19" s="2">
        <f t="shared" si="12"/>
        <v>-10708</v>
      </c>
      <c r="Y19" s="2"/>
      <c r="Z19" s="19">
        <f t="shared" si="13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-3882.7799999999997</v>
      </c>
      <c r="I21" s="14"/>
      <c r="J21" s="21">
        <f>IF(H$12=0,0,H21/H$12)</f>
        <v>1.9035288119306983</v>
      </c>
      <c r="K21" s="15"/>
      <c r="L21" s="20">
        <f>+D21-H21</f>
        <v>3882.7799999999997</v>
      </c>
      <c r="M21" s="15"/>
      <c r="N21" s="21">
        <f>IF(H21=0,0,L21/H21)</f>
        <v>-1</v>
      </c>
      <c r="O21" s="29"/>
      <c r="P21" s="20">
        <f>P12-P17</f>
        <v>0</v>
      </c>
      <c r="Q21" s="14"/>
      <c r="R21" s="21">
        <f>IF(P$12=0,0,P21/P$12)</f>
        <v>0</v>
      </c>
      <c r="S21" s="14"/>
      <c r="T21" s="20">
        <f>T12-T17</f>
        <v>1546458.02</v>
      </c>
      <c r="U21" s="14"/>
      <c r="V21" s="21">
        <f>IF(T$12=0,0,T21/T$12)</f>
        <v>0.77542324065253931</v>
      </c>
      <c r="W21" s="15"/>
      <c r="X21" s="20">
        <f>+P21-T21</f>
        <v>-1546458.02</v>
      </c>
      <c r="Y21" s="15"/>
      <c r="Z21" s="21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2">
        <f>SUM(OSRRefD22x_0)</f>
        <v>37944.54</v>
      </c>
      <c r="E23" s="22"/>
      <c r="F23" s="32">
        <f t="shared" ref="F23:F33" si="14">IF(D$12=0,0,D23/D$12)</f>
        <v>0</v>
      </c>
      <c r="G23" s="22"/>
      <c r="H23" s="22">
        <f>SUM(OSRRefH22x_0)</f>
        <v>33053.19</v>
      </c>
      <c r="I23" s="22"/>
      <c r="J23" s="32">
        <f t="shared" ref="J23:J33" si="15">IF(H$12=0,0,H23/H$12)</f>
        <v>-16.204291639294436</v>
      </c>
      <c r="K23" s="4"/>
      <c r="L23" s="22">
        <f t="shared" ref="L23:L33" si="16">+D23-H23</f>
        <v>4891.3499999999985</v>
      </c>
      <c r="M23" s="4"/>
      <c r="N23" s="32">
        <f t="shared" ref="N23:N33" si="17">IF(H23=0,0,L23/H23)</f>
        <v>0.14798420364267406</v>
      </c>
      <c r="O23" s="11"/>
      <c r="P23" s="22">
        <f>SUM(OSRRefP22x_0)</f>
        <v>449111.68999999994</v>
      </c>
      <c r="Q23" s="22"/>
      <c r="R23" s="32">
        <f t="shared" ref="R23:R33" si="18">IF(P$12=0,0,P23/P$12)</f>
        <v>0</v>
      </c>
      <c r="S23" s="22"/>
      <c r="T23" s="22">
        <f>SUM(OSRRefT22x_0)</f>
        <v>1188769.79</v>
      </c>
      <c r="U23" s="22"/>
      <c r="V23" s="32">
        <f t="shared" ref="V23:V33" si="19">IF(T$12=0,0,T23/T$12)</f>
        <v>0.59607161075839521</v>
      </c>
      <c r="W23" s="4"/>
      <c r="X23" s="22">
        <f t="shared" ref="X23:X33" si="20">+P23-T23</f>
        <v>-739658.10000000009</v>
      </c>
      <c r="Y23" s="4"/>
      <c r="Z23" s="32">
        <f t="shared" ref="Z23:Z33" si="21">IF(T23=0,0,X23/T23)</f>
        <v>-0.6222046574719905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19228.07</v>
      </c>
      <c r="E24" s="1"/>
      <c r="F24" s="5">
        <f t="shared" si="14"/>
        <v>0</v>
      </c>
      <c r="G24" s="1"/>
      <c r="H24" s="1">
        <f>SUM(OSRRefH22_0x_0)</f>
        <v>19050.53</v>
      </c>
      <c r="I24" s="1"/>
      <c r="J24" s="5">
        <f t="shared" si="15"/>
        <v>-9.3395022992675685</v>
      </c>
      <c r="K24" s="1"/>
      <c r="L24" s="1">
        <f t="shared" si="16"/>
        <v>177.54000000000087</v>
      </c>
      <c r="M24" s="1"/>
      <c r="N24" s="5">
        <f t="shared" si="17"/>
        <v>9.3194257587584633E-3</v>
      </c>
      <c r="O24" s="12"/>
      <c r="P24" s="1">
        <f>SUM(OSRRefP22_0x_0)</f>
        <v>214031.3</v>
      </c>
      <c r="Q24" s="1"/>
      <c r="R24" s="5">
        <f t="shared" si="18"/>
        <v>0</v>
      </c>
      <c r="S24" s="1"/>
      <c r="T24" s="1">
        <f>SUM(OSRRefT22_0x_0)</f>
        <v>242024.94</v>
      </c>
      <c r="U24" s="1"/>
      <c r="V24" s="5">
        <f t="shared" si="19"/>
        <v>0.12135587314134552</v>
      </c>
      <c r="W24" s="1"/>
      <c r="X24" s="1">
        <f t="shared" si="20"/>
        <v>-27993.640000000014</v>
      </c>
      <c r="Y24" s="1"/>
      <c r="Z24" s="5">
        <f t="shared" si="21"/>
        <v>-0.1156642782351274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>
        <v>1481.26</v>
      </c>
      <c r="E25" s="2"/>
      <c r="F25" s="7">
        <f t="shared" si="14"/>
        <v>0</v>
      </c>
      <c r="G25" s="2"/>
      <c r="H25" s="6">
        <v>1564.52</v>
      </c>
      <c r="I25" s="2"/>
      <c r="J25" s="7">
        <f t="shared" si="15"/>
        <v>-0.76700428477580918</v>
      </c>
      <c r="K25" s="2"/>
      <c r="L25" s="6">
        <f t="shared" si="16"/>
        <v>-83.259999999999991</v>
      </c>
      <c r="M25" s="2"/>
      <c r="N25" s="7">
        <f t="shared" si="17"/>
        <v>-5.3217600286349802E-2</v>
      </c>
      <c r="O25" s="10"/>
      <c r="P25" s="6">
        <v>18761.3</v>
      </c>
      <c r="Q25" s="2"/>
      <c r="R25" s="7">
        <f t="shared" si="18"/>
        <v>0</v>
      </c>
      <c r="S25" s="2"/>
      <c r="T25" s="6">
        <v>40147.769999999997</v>
      </c>
      <c r="U25" s="2"/>
      <c r="V25" s="7">
        <f t="shared" si="19"/>
        <v>2.013084966792231E-2</v>
      </c>
      <c r="W25" s="2"/>
      <c r="X25" s="6">
        <f t="shared" si="20"/>
        <v>-21386.469999999998</v>
      </c>
      <c r="Y25" s="2"/>
      <c r="Z25" s="7">
        <f t="shared" si="21"/>
        <v>-0.53269384576029999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>
        <v>1264.07</v>
      </c>
      <c r="E26" s="2"/>
      <c r="F26" s="7">
        <f t="shared" si="14"/>
        <v>0</v>
      </c>
      <c r="G26" s="2"/>
      <c r="H26" s="6">
        <v>1109.03</v>
      </c>
      <c r="I26" s="2"/>
      <c r="J26" s="7">
        <f t="shared" si="15"/>
        <v>-0.54370079126180271</v>
      </c>
      <c r="K26" s="2"/>
      <c r="L26" s="6">
        <f t="shared" si="16"/>
        <v>155.03999999999996</v>
      </c>
      <c r="M26" s="2"/>
      <c r="N26" s="7">
        <f t="shared" si="17"/>
        <v>0.13979784135686138</v>
      </c>
      <c r="O26" s="10"/>
      <c r="P26" s="6">
        <v>10450.27</v>
      </c>
      <c r="Q26" s="2"/>
      <c r="R26" s="7">
        <f t="shared" si="18"/>
        <v>0</v>
      </c>
      <c r="S26" s="2"/>
      <c r="T26" s="6">
        <v>24274.3</v>
      </c>
      <c r="U26" s="2"/>
      <c r="V26" s="7">
        <f t="shared" si="19"/>
        <v>1.2171592197874169E-2</v>
      </c>
      <c r="W26" s="2"/>
      <c r="X26" s="6">
        <f t="shared" si="20"/>
        <v>-13824.029999999999</v>
      </c>
      <c r="Y26" s="2"/>
      <c r="Z26" s="7">
        <f t="shared" si="21"/>
        <v>-0.56949242614617102</v>
      </c>
    </row>
    <row r="27" spans="1:26" s="23" customFormat="1" hidden="1" outlineLevel="2" x14ac:dyDescent="0.25">
      <c r="A27" s="27"/>
      <c r="B27" s="10" t="str">
        <f>CONCATENATE("          ", "6113", " - ", "GROUP INSURANCE")</f>
        <v xml:space="preserve">          6113 - GROUP INSURANCE</v>
      </c>
      <c r="C27" s="10"/>
      <c r="D27" s="6">
        <v>12477.9</v>
      </c>
      <c r="E27" s="2"/>
      <c r="F27" s="7">
        <f t="shared" si="14"/>
        <v>0</v>
      </c>
      <c r="G27" s="2"/>
      <c r="H27" s="6">
        <v>12616.96</v>
      </c>
      <c r="I27" s="2"/>
      <c r="J27" s="7">
        <f t="shared" si="15"/>
        <v>-6.1854513722068063</v>
      </c>
      <c r="K27" s="2"/>
      <c r="L27" s="6">
        <f t="shared" si="16"/>
        <v>-139.05999999999949</v>
      </c>
      <c r="M27" s="2"/>
      <c r="N27" s="7">
        <f t="shared" si="17"/>
        <v>-1.1021672415542215E-2</v>
      </c>
      <c r="O27" s="10"/>
      <c r="P27" s="6">
        <v>138091.07999999999</v>
      </c>
      <c r="Q27" s="2"/>
      <c r="R27" s="7">
        <f t="shared" si="18"/>
        <v>0</v>
      </c>
      <c r="S27" s="2"/>
      <c r="T27" s="6">
        <v>155049.03</v>
      </c>
      <c r="U27" s="2"/>
      <c r="V27" s="7">
        <f t="shared" si="19"/>
        <v>7.7744510195390096E-2</v>
      </c>
      <c r="W27" s="2"/>
      <c r="X27" s="6">
        <f t="shared" si="20"/>
        <v>-16957.950000000012</v>
      </c>
      <c r="Y27" s="2"/>
      <c r="Z27" s="7">
        <f t="shared" si="21"/>
        <v>-0.10937153234689706</v>
      </c>
    </row>
    <row r="28" spans="1:26" s="23" customFormat="1" hidden="1" outlineLevel="2" x14ac:dyDescent="0.25">
      <c r="A28" s="27"/>
      <c r="B28" s="10" t="str">
        <f>CONCATENATE("          ", "6114", " - ", "STATE UNEMPLOYMENT INSURANCE")</f>
        <v xml:space="preserve">          6114 - STATE UNEMPLOYMENT INSURANCE</v>
      </c>
      <c r="C28" s="10"/>
      <c r="D28" s="6">
        <v>76.61</v>
      </c>
      <c r="E28" s="2"/>
      <c r="F28" s="7">
        <f t="shared" si="14"/>
        <v>0</v>
      </c>
      <c r="G28" s="2"/>
      <c r="H28" s="6">
        <v>79.7</v>
      </c>
      <c r="I28" s="2"/>
      <c r="J28" s="7">
        <f t="shared" si="15"/>
        <v>-3.9072841188755654E-2</v>
      </c>
      <c r="K28" s="2"/>
      <c r="L28" s="6">
        <f t="shared" si="16"/>
        <v>-3.0900000000000034</v>
      </c>
      <c r="M28" s="2"/>
      <c r="N28" s="7">
        <f t="shared" si="17"/>
        <v>-3.8770388958594769E-2</v>
      </c>
      <c r="O28" s="10"/>
      <c r="P28" s="6">
        <v>642.02</v>
      </c>
      <c r="Q28" s="2"/>
      <c r="R28" s="7">
        <f t="shared" si="18"/>
        <v>0</v>
      </c>
      <c r="S28" s="2"/>
      <c r="T28" s="6">
        <v>1896.74</v>
      </c>
      <c r="U28" s="2"/>
      <c r="V28" s="7">
        <f t="shared" si="19"/>
        <v>9.5106123700357378E-4</v>
      </c>
      <c r="W28" s="2"/>
      <c r="X28" s="6">
        <f t="shared" si="20"/>
        <v>-1254.72</v>
      </c>
      <c r="Y28" s="2"/>
      <c r="Z28" s="7">
        <f t="shared" si="21"/>
        <v>-0.66151396606809576</v>
      </c>
    </row>
    <row r="29" spans="1:26" s="23" customFormat="1" hidden="1" outlineLevel="2" x14ac:dyDescent="0.25">
      <c r="A29" s="27"/>
      <c r="B29" s="10" t="str">
        <f>CONCATENATE("          ", "6115", " - ", "P.E.R.S.")</f>
        <v xml:space="preserve">          6115 - P.E.R.S.</v>
      </c>
      <c r="C29" s="10"/>
      <c r="D29" s="6">
        <v>494.19</v>
      </c>
      <c r="E29" s="2"/>
      <c r="F29" s="7">
        <f t="shared" si="14"/>
        <v>0</v>
      </c>
      <c r="G29" s="2"/>
      <c r="H29" s="6">
        <v>449.45</v>
      </c>
      <c r="I29" s="2"/>
      <c r="J29" s="7">
        <f t="shared" si="15"/>
        <v>-0.22034238986557372</v>
      </c>
      <c r="K29" s="2"/>
      <c r="L29" s="6">
        <f t="shared" si="16"/>
        <v>44.740000000000009</v>
      </c>
      <c r="M29" s="2"/>
      <c r="N29" s="7">
        <f t="shared" si="17"/>
        <v>9.9543886972966983E-2</v>
      </c>
      <c r="O29" s="10"/>
      <c r="P29" s="6">
        <v>5984.66</v>
      </c>
      <c r="Q29" s="2"/>
      <c r="R29" s="7">
        <f t="shared" si="18"/>
        <v>0</v>
      </c>
      <c r="S29" s="2"/>
      <c r="T29" s="6">
        <v>12714.19</v>
      </c>
      <c r="U29" s="2"/>
      <c r="V29" s="7">
        <f t="shared" si="19"/>
        <v>6.3751348465780587E-3</v>
      </c>
      <c r="W29" s="2"/>
      <c r="X29" s="6">
        <f t="shared" si="20"/>
        <v>-6729.5300000000007</v>
      </c>
      <c r="Y29" s="2"/>
      <c r="Z29" s="7">
        <f t="shared" si="21"/>
        <v>-0.52929286096872863</v>
      </c>
    </row>
    <row r="30" spans="1:26" s="23" customFormat="1" hidden="1" outlineLevel="2" x14ac:dyDescent="0.25">
      <c r="A30" s="27"/>
      <c r="B30" s="10" t="str">
        <f>CONCATENATE("          ", "6117", " - ", "RETIREMENT STAFF HOURLY")</f>
        <v xml:space="preserve">          6117 - RETIREMENT STAFF HOURLY</v>
      </c>
      <c r="C30" s="10"/>
      <c r="D30" s="6">
        <v>539.33000000000004</v>
      </c>
      <c r="E30" s="2"/>
      <c r="F30" s="7">
        <f t="shared" si="14"/>
        <v>0</v>
      </c>
      <c r="G30" s="2"/>
      <c r="H30" s="6">
        <v>526.23</v>
      </c>
      <c r="I30" s="2"/>
      <c r="J30" s="7">
        <f t="shared" si="15"/>
        <v>-0.25798370412495464</v>
      </c>
      <c r="K30" s="2"/>
      <c r="L30" s="6">
        <f t="shared" si="16"/>
        <v>13.100000000000023</v>
      </c>
      <c r="M30" s="2"/>
      <c r="N30" s="7">
        <f t="shared" si="17"/>
        <v>2.4894057731410263E-2</v>
      </c>
      <c r="O30" s="10"/>
      <c r="P30" s="6">
        <v>6424.1</v>
      </c>
      <c r="Q30" s="2"/>
      <c r="R30" s="7">
        <f t="shared" si="18"/>
        <v>0</v>
      </c>
      <c r="S30" s="2"/>
      <c r="T30" s="6">
        <v>5901.13</v>
      </c>
      <c r="U30" s="2"/>
      <c r="V30" s="7">
        <f t="shared" si="19"/>
        <v>2.9589379659409826E-3</v>
      </c>
      <c r="W30" s="2"/>
      <c r="X30" s="6">
        <f t="shared" si="20"/>
        <v>522.97000000000025</v>
      </c>
      <c r="Y30" s="2"/>
      <c r="Z30" s="7">
        <f t="shared" si="21"/>
        <v>8.8622009682891287E-2</v>
      </c>
    </row>
    <row r="31" spans="1:26" s="23" customFormat="1" hidden="1" outlineLevel="2" x14ac:dyDescent="0.25">
      <c r="A31" s="27"/>
      <c r="B31" s="10" t="str">
        <f>CONCATENATE("          ", "6118", " - ", "VACATION")</f>
        <v xml:space="preserve">          6118 - VACATION</v>
      </c>
      <c r="C31" s="10"/>
      <c r="D31" s="6">
        <v>1248.1600000000001</v>
      </c>
      <c r="E31" s="2"/>
      <c r="F31" s="7">
        <f t="shared" si="14"/>
        <v>0</v>
      </c>
      <c r="G31" s="2"/>
      <c r="H31" s="6">
        <v>1199.6199999999999</v>
      </c>
      <c r="I31" s="2"/>
      <c r="J31" s="7">
        <f t="shared" si="15"/>
        <v>-0.58811244349880865</v>
      </c>
      <c r="K31" s="2"/>
      <c r="L31" s="6">
        <f t="shared" si="16"/>
        <v>48.540000000000191</v>
      </c>
      <c r="M31" s="2"/>
      <c r="N31" s="7">
        <f t="shared" si="17"/>
        <v>4.0462813224187821E-2</v>
      </c>
      <c r="O31" s="10"/>
      <c r="P31" s="6">
        <v>14874.93</v>
      </c>
      <c r="Q31" s="2"/>
      <c r="R31" s="7">
        <f t="shared" si="18"/>
        <v>0</v>
      </c>
      <c r="S31" s="2"/>
      <c r="T31" s="6">
        <v>23355.72</v>
      </c>
      <c r="U31" s="2"/>
      <c r="V31" s="7">
        <f t="shared" si="19"/>
        <v>1.1710998847659198E-2</v>
      </c>
      <c r="W31" s="2"/>
      <c r="X31" s="6">
        <f t="shared" si="20"/>
        <v>-8480.7900000000009</v>
      </c>
      <c r="Y31" s="2"/>
      <c r="Z31" s="7">
        <f t="shared" si="21"/>
        <v>-0.36311404658045227</v>
      </c>
    </row>
    <row r="32" spans="1:26" s="23" customFormat="1" hidden="1" outlineLevel="2" x14ac:dyDescent="0.25">
      <c r="A32" s="27"/>
      <c r="B32" s="10" t="str">
        <f>CONCATENATE("          ", "6119", " - ", "SICK LEAVE")</f>
        <v xml:space="preserve">          6119 - SICK LEAVE</v>
      </c>
      <c r="C32" s="10"/>
      <c r="D32" s="6">
        <v>950.34</v>
      </c>
      <c r="E32" s="2"/>
      <c r="F32" s="7">
        <f t="shared" si="14"/>
        <v>0</v>
      </c>
      <c r="G32" s="2"/>
      <c r="H32" s="6">
        <v>946.52</v>
      </c>
      <c r="I32" s="2"/>
      <c r="J32" s="7">
        <f t="shared" si="15"/>
        <v>-0.46403043465471766</v>
      </c>
      <c r="K32" s="2"/>
      <c r="L32" s="6">
        <f t="shared" si="16"/>
        <v>3.82000000000005</v>
      </c>
      <c r="M32" s="2"/>
      <c r="N32" s="7">
        <f t="shared" si="17"/>
        <v>4.0358365380552446E-3</v>
      </c>
      <c r="O32" s="10"/>
      <c r="P32" s="6">
        <v>11379.24</v>
      </c>
      <c r="Q32" s="2"/>
      <c r="R32" s="7">
        <f t="shared" si="18"/>
        <v>0</v>
      </c>
      <c r="S32" s="2"/>
      <c r="T32" s="6">
        <v>-33482.629999999997</v>
      </c>
      <c r="U32" s="2"/>
      <c r="V32" s="7">
        <f t="shared" si="19"/>
        <v>-1.6788822667278047E-2</v>
      </c>
      <c r="W32" s="2"/>
      <c r="X32" s="6">
        <f t="shared" si="20"/>
        <v>44861.869999999995</v>
      </c>
      <c r="Y32" s="2"/>
      <c r="Z32" s="7">
        <f t="shared" si="21"/>
        <v>-1.3398550233359805</v>
      </c>
    </row>
    <row r="33" spans="1:26" s="23" customFormat="1" hidden="1" outlineLevel="2" x14ac:dyDescent="0.25">
      <c r="A33" s="27"/>
      <c r="B33" s="10" t="str">
        <f>CONCATENATE("          ", "6156", " - ", "EMPLOYEE MEALS")</f>
        <v xml:space="preserve">          6156 - EMPLOYEE MEALS</v>
      </c>
      <c r="C33" s="10"/>
      <c r="D33" s="6">
        <v>696.21</v>
      </c>
      <c r="E33" s="2"/>
      <c r="F33" s="7">
        <f t="shared" si="14"/>
        <v>0</v>
      </c>
      <c r="G33" s="2"/>
      <c r="H33" s="6">
        <v>558.5</v>
      </c>
      <c r="I33" s="2"/>
      <c r="J33" s="7">
        <f t="shared" si="15"/>
        <v>-0.27380403769033917</v>
      </c>
      <c r="K33" s="2"/>
      <c r="L33" s="6">
        <f t="shared" si="16"/>
        <v>137.71000000000004</v>
      </c>
      <c r="M33" s="2"/>
      <c r="N33" s="7">
        <f t="shared" si="17"/>
        <v>0.24657117278424356</v>
      </c>
      <c r="O33" s="10"/>
      <c r="P33" s="6">
        <v>7423.7</v>
      </c>
      <c r="Q33" s="2"/>
      <c r="R33" s="7">
        <f t="shared" si="18"/>
        <v>0</v>
      </c>
      <c r="S33" s="2"/>
      <c r="T33" s="6">
        <v>12168.69</v>
      </c>
      <c r="U33" s="2"/>
      <c r="V33" s="7">
        <f t="shared" si="19"/>
        <v>6.1016108502551843E-3</v>
      </c>
      <c r="W33" s="2"/>
      <c r="X33" s="6">
        <f t="shared" si="20"/>
        <v>-4744.9900000000007</v>
      </c>
      <c r="Y33" s="2"/>
      <c r="Z33" s="7">
        <f t="shared" si="21"/>
        <v>-0.38993433146871198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17449.73</v>
      </c>
      <c r="E34" s="1"/>
      <c r="F34" s="5">
        <f t="shared" ref="F34:F40" si="22">IF(D$12=0,0,D34/D$12)</f>
        <v>0</v>
      </c>
      <c r="G34" s="1"/>
      <c r="H34" s="1">
        <f>SUM(OSRRefH22_1x_0)</f>
        <v>12602.380000000001</v>
      </c>
      <c r="I34" s="1"/>
      <c r="J34" s="5">
        <f t="shared" ref="J34:J40" si="23">IF(H$12=0,0,H34/H$12)</f>
        <v>-6.1783035425389015</v>
      </c>
      <c r="K34" s="1"/>
      <c r="L34" s="1">
        <f t="shared" ref="L34:L40" si="24">+D34-H34</f>
        <v>4847.3499999999985</v>
      </c>
      <c r="M34" s="1"/>
      <c r="N34" s="5">
        <f t="shared" ref="N34:N40" si="25">IF(H34=0,0,L34/H34)</f>
        <v>0.38463766367940011</v>
      </c>
      <c r="O34" s="12"/>
      <c r="P34" s="1">
        <f>SUM(OSRRefP22_1x_0)</f>
        <v>222109.12</v>
      </c>
      <c r="Q34" s="1"/>
      <c r="R34" s="5">
        <f t="shared" ref="R34:R40" si="26">IF(P$12=0,0,P34/P$12)</f>
        <v>0</v>
      </c>
      <c r="S34" s="1"/>
      <c r="T34" s="1">
        <f>SUM(OSRRefT22_1x_0)</f>
        <v>659306.60999999987</v>
      </c>
      <c r="U34" s="1"/>
      <c r="V34" s="5">
        <f t="shared" ref="V34:V40" si="27">IF(T$12=0,0,T34/T$12)</f>
        <v>0.33058877867880293</v>
      </c>
      <c r="W34" s="1"/>
      <c r="X34" s="1">
        <f t="shared" ref="X34:X40" si="28">+P34-T34</f>
        <v>-437197.48999999987</v>
      </c>
      <c r="Y34" s="1"/>
      <c r="Z34" s="5">
        <f t="shared" ref="Z34:Z40" si="29">IF(T34=0,0,X34/T34)</f>
        <v>-0.66311710419526959</v>
      </c>
    </row>
    <row r="35" spans="1:26" s="23" customFormat="1" hidden="1" outlineLevel="2" x14ac:dyDescent="0.25">
      <c r="A35" s="27"/>
      <c r="B35" s="10" t="str">
        <f>CONCATENATE("          ", "6002", " - ", "STAFF SALARIES")</f>
        <v xml:space="preserve">          6002 - STAFF SALARIES</v>
      </c>
      <c r="C35" s="10"/>
      <c r="D35" s="6">
        <v>4032</v>
      </c>
      <c r="E35" s="2"/>
      <c r="F35" s="7">
        <f t="shared" si="22"/>
        <v>0</v>
      </c>
      <c r="G35" s="2"/>
      <c r="H35" s="6">
        <v>2858.26</v>
      </c>
      <c r="I35" s="2"/>
      <c r="J35" s="7">
        <f t="shared" si="23"/>
        <v>-1.4012589592995324</v>
      </c>
      <c r="K35" s="2"/>
      <c r="L35" s="6">
        <f t="shared" si="24"/>
        <v>1173.7399999999998</v>
      </c>
      <c r="M35" s="2"/>
      <c r="N35" s="7">
        <f t="shared" si="25"/>
        <v>0.41064843646134352</v>
      </c>
      <c r="O35" s="10"/>
      <c r="P35" s="6">
        <v>47320.99</v>
      </c>
      <c r="Q35" s="2"/>
      <c r="R35" s="7">
        <f t="shared" si="26"/>
        <v>0</v>
      </c>
      <c r="S35" s="2"/>
      <c r="T35" s="6">
        <v>99534.75</v>
      </c>
      <c r="U35" s="2"/>
      <c r="V35" s="7">
        <f t="shared" si="27"/>
        <v>4.9908602370299281E-2</v>
      </c>
      <c r="W35" s="2"/>
      <c r="X35" s="6">
        <f t="shared" si="28"/>
        <v>-52213.760000000002</v>
      </c>
      <c r="Y35" s="2"/>
      <c r="Z35" s="7">
        <f t="shared" si="29"/>
        <v>-0.52457820007585287</v>
      </c>
    </row>
    <row r="36" spans="1:26" s="23" customFormat="1" hidden="1" outlineLevel="2" x14ac:dyDescent="0.25">
      <c r="A36" s="27"/>
      <c r="B36" s="10" t="str">
        <f>CONCATENATE("          ", "6004", " - ", "STAFF HOURLY")</f>
        <v xml:space="preserve">          6004 - STAFF HOURLY</v>
      </c>
      <c r="C36" s="10"/>
      <c r="D36" s="6">
        <v>13417.73</v>
      </c>
      <c r="E36" s="2"/>
      <c r="F36" s="7">
        <f t="shared" si="22"/>
        <v>0</v>
      </c>
      <c r="G36" s="2"/>
      <c r="H36" s="6">
        <v>9744.1200000000008</v>
      </c>
      <c r="I36" s="2"/>
      <c r="J36" s="7">
        <f t="shared" si="23"/>
        <v>-4.7770445832393698</v>
      </c>
      <c r="K36" s="2"/>
      <c r="L36" s="6">
        <f t="shared" si="24"/>
        <v>3673.6099999999988</v>
      </c>
      <c r="M36" s="2"/>
      <c r="N36" s="7">
        <f t="shared" si="25"/>
        <v>0.37700787757129411</v>
      </c>
      <c r="O36" s="10"/>
      <c r="P36" s="6">
        <v>174788.13</v>
      </c>
      <c r="Q36" s="2"/>
      <c r="R36" s="7">
        <f t="shared" si="26"/>
        <v>0</v>
      </c>
      <c r="S36" s="2"/>
      <c r="T36" s="6">
        <v>233088.71</v>
      </c>
      <c r="U36" s="2"/>
      <c r="V36" s="7">
        <f t="shared" si="27"/>
        <v>0.11687507874783432</v>
      </c>
      <c r="W36" s="2"/>
      <c r="X36" s="6">
        <f t="shared" si="28"/>
        <v>-58300.579999999987</v>
      </c>
      <c r="Y36" s="2"/>
      <c r="Z36" s="7">
        <f t="shared" si="29"/>
        <v>-0.25012185274868093</v>
      </c>
    </row>
    <row r="37" spans="1:26" s="23" customFormat="1" hidden="1" outlineLevel="2" x14ac:dyDescent="0.25">
      <c r="A37" s="27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107403.49</v>
      </c>
      <c r="U37" s="2"/>
      <c r="V37" s="7">
        <f t="shared" si="27"/>
        <v>5.3854137128916436E-2</v>
      </c>
      <c r="W37" s="2"/>
      <c r="X37" s="6">
        <f t="shared" si="28"/>
        <v>-107403.49</v>
      </c>
      <c r="Y37" s="2"/>
      <c r="Z37" s="7">
        <f t="shared" si="29"/>
        <v>-1</v>
      </c>
    </row>
    <row r="38" spans="1:26" s="23" customFormat="1" hidden="1" outlineLevel="2" x14ac:dyDescent="0.25">
      <c r="A38" s="27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10378.219999999999</v>
      </c>
      <c r="U38" s="2"/>
      <c r="V38" s="7">
        <f t="shared" si="27"/>
        <v>5.2038353970998812E-3</v>
      </c>
      <c r="W38" s="2"/>
      <c r="X38" s="6">
        <f t="shared" si="28"/>
        <v>-10378.219999999999</v>
      </c>
      <c r="Y38" s="2"/>
      <c r="Z38" s="7">
        <f t="shared" si="29"/>
        <v>-1</v>
      </c>
    </row>
    <row r="39" spans="1:26" s="23" customFormat="1" hidden="1" outlineLevel="2" x14ac:dyDescent="0.25">
      <c r="A39" s="27"/>
      <c r="B39" s="10" t="str">
        <f>CONCATENATE("          ", "6007", " - ", "STUDENT HOURLY")</f>
        <v xml:space="preserve">          6007 - STUDENT HOURLY</v>
      </c>
      <c r="C39" s="10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0"/>
      <c r="P39" s="6">
        <v>0</v>
      </c>
      <c r="Q39" s="2"/>
      <c r="R39" s="7">
        <f t="shared" si="26"/>
        <v>0</v>
      </c>
      <c r="S39" s="2"/>
      <c r="T39" s="6">
        <v>146844.07999999999</v>
      </c>
      <c r="U39" s="2"/>
      <c r="V39" s="7">
        <f t="shared" si="27"/>
        <v>7.3630393396802787E-2</v>
      </c>
      <c r="W39" s="2"/>
      <c r="X39" s="6">
        <f t="shared" si="28"/>
        <v>-146844.07999999999</v>
      </c>
      <c r="Y39" s="2"/>
      <c r="Z39" s="7">
        <f t="shared" si="29"/>
        <v>-1</v>
      </c>
    </row>
    <row r="40" spans="1:26" s="23" customFormat="1" hidden="1" outlineLevel="2" x14ac:dyDescent="0.25">
      <c r="A40" s="27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2"/>
        <v>0</v>
      </c>
      <c r="G40" s="2"/>
      <c r="H40" s="6"/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0"/>
      <c r="P40" s="6"/>
      <c r="Q40" s="2"/>
      <c r="R40" s="7">
        <f t="shared" si="26"/>
        <v>0</v>
      </c>
      <c r="S40" s="2"/>
      <c r="T40" s="6">
        <v>62057.36</v>
      </c>
      <c r="U40" s="2"/>
      <c r="V40" s="7">
        <f t="shared" si="27"/>
        <v>3.1116731637850257E-2</v>
      </c>
      <c r="W40" s="2"/>
      <c r="X40" s="6">
        <f t="shared" si="28"/>
        <v>-62057.36</v>
      </c>
      <c r="Y40" s="2"/>
      <c r="Z40" s="7">
        <f t="shared" si="29"/>
        <v>-1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3" si="30">IF(D$12=0,0,D41/D$12)</f>
        <v>0</v>
      </c>
      <c r="G41" s="1"/>
      <c r="H41" s="1">
        <f>SUM(OSRRefH22_2x_0)</f>
        <v>0</v>
      </c>
      <c r="I41" s="1"/>
      <c r="J41" s="5">
        <f t="shared" ref="J41:J63" si="31">IF(H$12=0,0,H41/H$12)</f>
        <v>0</v>
      </c>
      <c r="K41" s="1"/>
      <c r="L41" s="1">
        <f t="shared" ref="L41:L63" si="32">+D41-H41</f>
        <v>0</v>
      </c>
      <c r="M41" s="1"/>
      <c r="N41" s="5">
        <f t="shared" ref="N41:N63" si="33">IF(H41=0,0,L41/H41)</f>
        <v>0</v>
      </c>
      <c r="O41" s="12"/>
      <c r="P41" s="1">
        <f>SUM(OSRRefP22_2x_0)</f>
        <v>0</v>
      </c>
      <c r="Q41" s="1"/>
      <c r="R41" s="5">
        <f t="shared" ref="R41:R63" si="34">IF(P$12=0,0,P41/P$12)</f>
        <v>0</v>
      </c>
      <c r="S41" s="1"/>
      <c r="T41" s="1">
        <f>SUM(OSRRefT22_2x_0)</f>
        <v>3020.03</v>
      </c>
      <c r="U41" s="1"/>
      <c r="V41" s="5">
        <f t="shared" ref="V41:V63" si="35">IF(T$12=0,0,T41/T$12)</f>
        <v>1.5143000451236874E-3</v>
      </c>
      <c r="W41" s="1"/>
      <c r="X41" s="1">
        <f t="shared" ref="X41:X63" si="36">+P41-T41</f>
        <v>-3020.03</v>
      </c>
      <c r="Y41" s="1"/>
      <c r="Z41" s="5">
        <f t="shared" ref="Z41:Z63" si="37">IF(T41=0,0,X41/T41)</f>
        <v>-1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0"/>
      <c r="P42" s="6"/>
      <c r="Q42" s="2"/>
      <c r="R42" s="7">
        <f t="shared" si="34"/>
        <v>0</v>
      </c>
      <c r="S42" s="2"/>
      <c r="T42" s="6">
        <v>3020.03</v>
      </c>
      <c r="U42" s="2"/>
      <c r="V42" s="7">
        <f t="shared" si="35"/>
        <v>1.5143000451236874E-3</v>
      </c>
      <c r="W42" s="2"/>
      <c r="X42" s="6">
        <f t="shared" si="36"/>
        <v>-3020.03</v>
      </c>
      <c r="Y42" s="2"/>
      <c r="Z42" s="7">
        <f t="shared" si="37"/>
        <v>-1</v>
      </c>
    </row>
    <row r="43" spans="1:26" s="26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2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46.62</v>
      </c>
      <c r="U43" s="1"/>
      <c r="V43" s="5">
        <f t="shared" si="35"/>
        <v>2.3376147953386655E-5</v>
      </c>
      <c r="W43" s="1"/>
      <c r="X43" s="1">
        <f t="shared" si="36"/>
        <v>-16.88</v>
      </c>
      <c r="Y43" s="1"/>
      <c r="Z43" s="5">
        <f t="shared" si="37"/>
        <v>-0.36207636207636207</v>
      </c>
    </row>
    <row r="44" spans="1:26" s="23" customFormat="1" hidden="1" outlineLevel="2" x14ac:dyDescent="0.25">
      <c r="A44" s="27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>
        <v>29.74</v>
      </c>
      <c r="Q44" s="2"/>
      <c r="R44" s="7">
        <f t="shared" si="34"/>
        <v>0</v>
      </c>
      <c r="S44" s="2"/>
      <c r="T44" s="6">
        <v>46.62</v>
      </c>
      <c r="U44" s="2"/>
      <c r="V44" s="7">
        <f t="shared" si="35"/>
        <v>2.3376147953386655E-5</v>
      </c>
      <c r="W44" s="2"/>
      <c r="X44" s="6">
        <f t="shared" si="36"/>
        <v>-16.88</v>
      </c>
      <c r="Y44" s="2"/>
      <c r="Z44" s="7">
        <f t="shared" si="37"/>
        <v>-0.36207636207636207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2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70.89</v>
      </c>
      <c r="U45" s="1"/>
      <c r="V45" s="5">
        <f t="shared" si="35"/>
        <v>3.5545584050098242E-5</v>
      </c>
      <c r="W45" s="1"/>
      <c r="X45" s="1">
        <f t="shared" si="36"/>
        <v>-70.89</v>
      </c>
      <c r="Y45" s="1"/>
      <c r="Z45" s="5">
        <f t="shared" si="37"/>
        <v>-1</v>
      </c>
    </row>
    <row r="46" spans="1:26" s="23" customFormat="1" hidden="1" outlineLevel="2" x14ac:dyDescent="0.25">
      <c r="A46" s="27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0"/>
      <c r="P46" s="6"/>
      <c r="Q46" s="2"/>
      <c r="R46" s="7">
        <f t="shared" si="34"/>
        <v>0</v>
      </c>
      <c r="S46" s="2"/>
      <c r="T46" s="6">
        <v>70.89</v>
      </c>
      <c r="U46" s="2"/>
      <c r="V46" s="7">
        <f t="shared" si="35"/>
        <v>3.5545584050098242E-5</v>
      </c>
      <c r="W46" s="2"/>
      <c r="X46" s="6">
        <f t="shared" si="36"/>
        <v>-70.89</v>
      </c>
      <c r="Y46" s="2"/>
      <c r="Z46" s="7">
        <f t="shared" si="37"/>
        <v>-1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213.02</v>
      </c>
      <c r="I47" s="1"/>
      <c r="J47" s="5">
        <f t="shared" si="31"/>
        <v>-0.10443283099157753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SUM(OSRRefP22_5x_0)</f>
        <v>2343.2199999999998</v>
      </c>
      <c r="Q47" s="1"/>
      <c r="R47" s="5">
        <f t="shared" si="34"/>
        <v>0</v>
      </c>
      <c r="S47" s="1"/>
      <c r="T47" s="1">
        <f>SUM(OSRRefT22_5x_0)</f>
        <v>639.05999999999995</v>
      </c>
      <c r="U47" s="1"/>
      <c r="V47" s="5">
        <f t="shared" si="35"/>
        <v>3.2043674626965415E-4</v>
      </c>
      <c r="W47" s="1"/>
      <c r="X47" s="1">
        <f t="shared" si="36"/>
        <v>1704.1599999999999</v>
      </c>
      <c r="Y47" s="1"/>
      <c r="Z47" s="5">
        <f t="shared" si="37"/>
        <v>2.6666666666666665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213.02</v>
      </c>
      <c r="E48" s="2"/>
      <c r="F48" s="7">
        <f t="shared" si="30"/>
        <v>0</v>
      </c>
      <c r="G48" s="2"/>
      <c r="H48" s="6">
        <v>213.02</v>
      </c>
      <c r="I48" s="2"/>
      <c r="J48" s="7">
        <f t="shared" si="31"/>
        <v>-0.10443283099157753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>
        <v>2343.2199999999998</v>
      </c>
      <c r="Q48" s="2"/>
      <c r="R48" s="7">
        <f t="shared" si="34"/>
        <v>0</v>
      </c>
      <c r="S48" s="2"/>
      <c r="T48" s="6">
        <v>639.05999999999995</v>
      </c>
      <c r="U48" s="2"/>
      <c r="V48" s="7">
        <f t="shared" si="35"/>
        <v>3.2043674626965415E-4</v>
      </c>
      <c r="W48" s="2"/>
      <c r="X48" s="6">
        <f t="shared" si="36"/>
        <v>1704.1599999999999</v>
      </c>
      <c r="Y48" s="2"/>
      <c r="Z48" s="7">
        <f t="shared" si="37"/>
        <v>2.6666666666666665</v>
      </c>
    </row>
    <row r="49" spans="1:26" s="26" customFormat="1" outlineLevel="1" collapsed="1" x14ac:dyDescent="0.25">
      <c r="A49" s="25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693.12</v>
      </c>
      <c r="I49" s="1"/>
      <c r="J49" s="5">
        <f t="shared" si="31"/>
        <v>-0.33980135112610182</v>
      </c>
      <c r="K49" s="1"/>
      <c r="L49" s="1">
        <f t="shared" si="32"/>
        <v>-693.12</v>
      </c>
      <c r="M49" s="1"/>
      <c r="N49" s="5">
        <f t="shared" si="33"/>
        <v>-1</v>
      </c>
      <c r="O49" s="12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21833.94</v>
      </c>
      <c r="U49" s="1"/>
      <c r="V49" s="5">
        <f t="shared" si="35"/>
        <v>1.0947949632032754E-2</v>
      </c>
      <c r="W49" s="1"/>
      <c r="X49" s="1">
        <f t="shared" si="36"/>
        <v>-21833.94</v>
      </c>
      <c r="Y49" s="1"/>
      <c r="Z49" s="5">
        <f t="shared" si="37"/>
        <v>-1</v>
      </c>
    </row>
    <row r="50" spans="1:26" s="23" customFormat="1" hidden="1" outlineLevel="2" x14ac:dyDescent="0.25">
      <c r="A50" s="27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30"/>
        <v>0</v>
      </c>
      <c r="G50" s="2"/>
      <c r="H50" s="6">
        <v>693.12</v>
      </c>
      <c r="I50" s="2"/>
      <c r="J50" s="7">
        <f t="shared" si="31"/>
        <v>-0.33980135112610182</v>
      </c>
      <c r="K50" s="2"/>
      <c r="L50" s="6">
        <f t="shared" si="32"/>
        <v>-693.12</v>
      </c>
      <c r="M50" s="2"/>
      <c r="N50" s="7">
        <f t="shared" si="33"/>
        <v>-1</v>
      </c>
      <c r="O50" s="10"/>
      <c r="P50" s="6"/>
      <c r="Q50" s="2"/>
      <c r="R50" s="7">
        <f t="shared" si="34"/>
        <v>0</v>
      </c>
      <c r="S50" s="2"/>
      <c r="T50" s="6">
        <v>21833.94</v>
      </c>
      <c r="U50" s="2"/>
      <c r="V50" s="7">
        <f t="shared" si="35"/>
        <v>1.0947949632032754E-2</v>
      </c>
      <c r="W50" s="2"/>
      <c r="X50" s="6">
        <f t="shared" si="36"/>
        <v>-21833.94</v>
      </c>
      <c r="Y50" s="2"/>
      <c r="Z50" s="7">
        <f t="shared" si="37"/>
        <v>-1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1.0700278792905861E-5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1.0700278792905861E-5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5.0141887501901879E-9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5.0141887501901879E-9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303.18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303.18</v>
      </c>
      <c r="M55" s="1"/>
      <c r="N55" s="5">
        <f t="shared" si="33"/>
        <v>0</v>
      </c>
      <c r="O55" s="12"/>
      <c r="P55" s="1">
        <f>SUM(OSRRefP22_9x_0)</f>
        <v>2179.0500000000002</v>
      </c>
      <c r="Q55" s="1"/>
      <c r="R55" s="5">
        <f t="shared" si="34"/>
        <v>0</v>
      </c>
      <c r="S55" s="1"/>
      <c r="T55" s="1">
        <f>SUM(OSRRefT22_9x_0)</f>
        <v>1950.43</v>
      </c>
      <c r="U55" s="1"/>
      <c r="V55" s="5">
        <f t="shared" si="35"/>
        <v>9.7798241640334482E-4</v>
      </c>
      <c r="W55" s="1"/>
      <c r="X55" s="1">
        <f t="shared" si="36"/>
        <v>228.62000000000012</v>
      </c>
      <c r="Y55" s="1"/>
      <c r="Z55" s="5">
        <f t="shared" si="37"/>
        <v>0.11721517819147578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>
        <v>303.18</v>
      </c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303.18</v>
      </c>
      <c r="M56" s="2"/>
      <c r="N56" s="7">
        <f t="shared" si="33"/>
        <v>0</v>
      </c>
      <c r="O56" s="10"/>
      <c r="P56" s="6">
        <v>2179.0500000000002</v>
      </c>
      <c r="Q56" s="2"/>
      <c r="R56" s="7">
        <f t="shared" si="34"/>
        <v>0</v>
      </c>
      <c r="S56" s="2"/>
      <c r="T56" s="6">
        <v>1950.43</v>
      </c>
      <c r="U56" s="2"/>
      <c r="V56" s="7">
        <f t="shared" si="35"/>
        <v>9.7798241640334482E-4</v>
      </c>
      <c r="W56" s="2"/>
      <c r="X56" s="6">
        <f t="shared" si="36"/>
        <v>228.62000000000012</v>
      </c>
      <c r="Y56" s="2"/>
      <c r="Z56" s="7">
        <f t="shared" si="37"/>
        <v>0.11721517819147578</v>
      </c>
    </row>
    <row r="57" spans="1:26" s="26" customFormat="1" outlineLevel="1" collapsed="1" x14ac:dyDescent="0.25">
      <c r="A57" s="25"/>
      <c r="B57" s="12" t="str">
        <f>CONCATENATE("     ","Insurance                                         ")</f>
        <v xml:space="preserve">     Insurance                                         </v>
      </c>
      <c r="C57" s="12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-2.8924687956544334E-3</v>
      </c>
      <c r="K57" s="1"/>
      <c r="L57" s="1">
        <f t="shared" si="32"/>
        <v>0</v>
      </c>
      <c r="M57" s="1"/>
      <c r="N57" s="5">
        <f t="shared" si="33"/>
        <v>0</v>
      </c>
      <c r="O57" s="12"/>
      <c r="P57" s="1">
        <f>SUM(OSRRefP22_10x_0)</f>
        <v>64.900000000000006</v>
      </c>
      <c r="Q57" s="1"/>
      <c r="R57" s="5">
        <f t="shared" si="34"/>
        <v>0</v>
      </c>
      <c r="S57" s="1"/>
      <c r="T57" s="1">
        <f>SUM(OSRRefT22_10x_0)</f>
        <v>64.900000000000006</v>
      </c>
      <c r="U57" s="1"/>
      <c r="V57" s="5">
        <f t="shared" si="35"/>
        <v>3.2542084988734327E-5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3" customFormat="1" hidden="1" outlineLevel="2" x14ac:dyDescent="0.25">
      <c r="A58" s="27"/>
      <c r="B58" s="10" t="str">
        <f>CONCATENATE("          ", "6314", " - ", "LIABILITY INSURANCE")</f>
        <v xml:space="preserve">          6314 - LIABILITY INSURANCE</v>
      </c>
      <c r="C58" s="10"/>
      <c r="D58" s="6">
        <v>5.9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-2.8924687956544334E-3</v>
      </c>
      <c r="K58" s="2"/>
      <c r="L58" s="6">
        <f t="shared" si="32"/>
        <v>0</v>
      </c>
      <c r="M58" s="2"/>
      <c r="N58" s="7">
        <f t="shared" si="33"/>
        <v>0</v>
      </c>
      <c r="O58" s="10"/>
      <c r="P58" s="6">
        <v>64.900000000000006</v>
      </c>
      <c r="Q58" s="2"/>
      <c r="R58" s="7">
        <f t="shared" si="34"/>
        <v>0</v>
      </c>
      <c r="S58" s="2"/>
      <c r="T58" s="6">
        <v>64.900000000000006</v>
      </c>
      <c r="U58" s="2"/>
      <c r="V58" s="7">
        <f t="shared" si="35"/>
        <v>3.2542084988734327E-5</v>
      </c>
      <c r="W58" s="2"/>
      <c r="X58" s="6">
        <f t="shared" si="36"/>
        <v>0</v>
      </c>
      <c r="Y58" s="2"/>
      <c r="Z58" s="7">
        <f t="shared" si="37"/>
        <v>0</v>
      </c>
    </row>
    <row r="59" spans="1:26" s="26" customFormat="1" outlineLevel="1" collapsed="1" x14ac:dyDescent="0.25">
      <c r="A59" s="25"/>
      <c r="B59" s="12" t="str">
        <f>CONCATENATE("     ","R/H Commissions                                   ")</f>
        <v xml:space="preserve">     R/H Commissions                                   </v>
      </c>
      <c r="C59" s="12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-218.63</v>
      </c>
      <c r="I59" s="1"/>
      <c r="J59" s="5">
        <f t="shared" si="31"/>
        <v>0.10718312759219131</v>
      </c>
      <c r="K59" s="1"/>
      <c r="L59" s="1">
        <f t="shared" si="32"/>
        <v>218.63</v>
      </c>
      <c r="M59" s="1"/>
      <c r="N59" s="5">
        <f t="shared" si="33"/>
        <v>-1</v>
      </c>
      <c r="O59" s="12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156208.5</v>
      </c>
      <c r="U59" s="1"/>
      <c r="V59" s="5">
        <f t="shared" si="35"/>
        <v>7.8325890338408394E-2</v>
      </c>
      <c r="W59" s="1"/>
      <c r="X59" s="1">
        <f t="shared" si="36"/>
        <v>-156208.5</v>
      </c>
      <c r="Y59" s="1"/>
      <c r="Z59" s="5">
        <f t="shared" si="37"/>
        <v>-1</v>
      </c>
    </row>
    <row r="60" spans="1:26" s="23" customFormat="1" hidden="1" outlineLevel="2" x14ac:dyDescent="0.25">
      <c r="A60" s="27"/>
      <c r="B60" s="10" t="str">
        <f>CONCATENATE("          ", "6387", " - ", "COMMISSION DUE HOUSING")</f>
        <v xml:space="preserve">          6387 - COMMISSION DUE HOUSING</v>
      </c>
      <c r="C60" s="10"/>
      <c r="D60" s="6"/>
      <c r="E60" s="2"/>
      <c r="F60" s="7">
        <f t="shared" si="30"/>
        <v>0</v>
      </c>
      <c r="G60" s="2"/>
      <c r="H60" s="6">
        <v>-218.63</v>
      </c>
      <c r="I60" s="2"/>
      <c r="J60" s="7">
        <f t="shared" si="31"/>
        <v>0.10718312759219131</v>
      </c>
      <c r="K60" s="2"/>
      <c r="L60" s="6">
        <f t="shared" si="32"/>
        <v>218.63</v>
      </c>
      <c r="M60" s="2"/>
      <c r="N60" s="7">
        <f t="shared" si="33"/>
        <v>-1</v>
      </c>
      <c r="O60" s="10"/>
      <c r="P60" s="6"/>
      <c r="Q60" s="2"/>
      <c r="R60" s="7">
        <f t="shared" si="34"/>
        <v>0</v>
      </c>
      <c r="S60" s="2"/>
      <c r="T60" s="6">
        <v>156208.5</v>
      </c>
      <c r="U60" s="2"/>
      <c r="V60" s="7">
        <f t="shared" si="35"/>
        <v>7.8325890338408394E-2</v>
      </c>
      <c r="W60" s="2"/>
      <c r="X60" s="6">
        <f t="shared" si="36"/>
        <v>-156208.5</v>
      </c>
      <c r="Y60" s="2"/>
      <c r="Z60" s="7">
        <f t="shared" si="37"/>
        <v>-1</v>
      </c>
    </row>
    <row r="61" spans="1:26" s="26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0</v>
      </c>
      <c r="E61" s="1"/>
      <c r="F61" s="5">
        <f t="shared" si="30"/>
        <v>0</v>
      </c>
      <c r="G61" s="1"/>
      <c r="H61" s="1">
        <f>SUM(OSRRefH22_12x_0)</f>
        <v>0</v>
      </c>
      <c r="I61" s="1"/>
      <c r="J61" s="5">
        <f t="shared" si="31"/>
        <v>0</v>
      </c>
      <c r="K61" s="1"/>
      <c r="L61" s="1">
        <f t="shared" si="32"/>
        <v>0</v>
      </c>
      <c r="M61" s="1"/>
      <c r="N61" s="5">
        <f t="shared" si="33"/>
        <v>0</v>
      </c>
      <c r="O61" s="12"/>
      <c r="P61" s="1">
        <f>SUM(OSRRefP22_12x_0)</f>
        <v>216.99</v>
      </c>
      <c r="Q61" s="1"/>
      <c r="R61" s="5">
        <f t="shared" si="34"/>
        <v>0</v>
      </c>
      <c r="S61" s="1"/>
      <c r="T61" s="1">
        <f>SUM(OSRRefT22_12x_0)</f>
        <v>212.16</v>
      </c>
      <c r="U61" s="1"/>
      <c r="V61" s="5">
        <f t="shared" si="35"/>
        <v>1.0638102852403503E-4</v>
      </c>
      <c r="W61" s="1"/>
      <c r="X61" s="1">
        <f t="shared" si="36"/>
        <v>4.8300000000000125</v>
      </c>
      <c r="Y61" s="1"/>
      <c r="Z61" s="5">
        <f t="shared" si="37"/>
        <v>2.2765837104072456E-2</v>
      </c>
    </row>
    <row r="62" spans="1:26" s="23" customFormat="1" hidden="1" outlineLevel="2" x14ac:dyDescent="0.25">
      <c r="A62" s="27"/>
      <c r="B62" s="10" t="str">
        <f>CONCATENATE("          ", "6373", " - ", "MAINTENANCE CONTRACTS")</f>
        <v xml:space="preserve">          6373 - MAINTENANCE CONTRACTS</v>
      </c>
      <c r="C62" s="10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0"/>
      <c r="P62" s="6">
        <v>216.99</v>
      </c>
      <c r="Q62" s="2"/>
      <c r="R62" s="7">
        <f t="shared" si="34"/>
        <v>0</v>
      </c>
      <c r="S62" s="2"/>
      <c r="T62" s="6">
        <v>212.16</v>
      </c>
      <c r="U62" s="2"/>
      <c r="V62" s="7">
        <f t="shared" si="35"/>
        <v>1.0638102852403503E-4</v>
      </c>
      <c r="W62" s="2"/>
      <c r="X62" s="6">
        <f t="shared" si="36"/>
        <v>4.8300000000000125</v>
      </c>
      <c r="Y62" s="2"/>
      <c r="Z62" s="7">
        <f t="shared" si="37"/>
        <v>2.2765837104072456E-2</v>
      </c>
    </row>
    <row r="63" spans="1:26" s="23" customFormat="1" hidden="1" outlineLevel="2" x14ac:dyDescent="0.25">
      <c r="A63" s="27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30"/>
        <v>0</v>
      </c>
      <c r="G63" s="2"/>
      <c r="H63" s="6"/>
      <c r="I63" s="2"/>
      <c r="J63" s="7">
        <f t="shared" si="31"/>
        <v>0</v>
      </c>
      <c r="K63" s="2"/>
      <c r="L63" s="6">
        <f t="shared" si="32"/>
        <v>0</v>
      </c>
      <c r="M63" s="2"/>
      <c r="N63" s="7">
        <f t="shared" si="33"/>
        <v>0</v>
      </c>
      <c r="O63" s="10"/>
      <c r="P63" s="6"/>
      <c r="Q63" s="2"/>
      <c r="R63" s="7">
        <f t="shared" si="34"/>
        <v>0</v>
      </c>
      <c r="S63" s="2"/>
      <c r="T63" s="6">
        <v>0</v>
      </c>
      <c r="U63" s="2"/>
      <c r="V63" s="7">
        <f t="shared" si="35"/>
        <v>0</v>
      </c>
      <c r="W63" s="2"/>
      <c r="X63" s="6">
        <f t="shared" si="36"/>
        <v>0</v>
      </c>
      <c r="Y63" s="2"/>
      <c r="Z63" s="7">
        <f t="shared" si="37"/>
        <v>0</v>
      </c>
    </row>
    <row r="64" spans="1:26" s="26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SUM(OSRRefD22_13x_0)</f>
        <v>669.64</v>
      </c>
      <c r="E64" s="1"/>
      <c r="F64" s="5">
        <f t="shared" ref="F64:F67" si="38">IF(D$12=0,0,D64/D$12)</f>
        <v>0</v>
      </c>
      <c r="G64" s="1"/>
      <c r="H64" s="1">
        <f>SUM(OSRRefH22_13x_0)</f>
        <v>597.87</v>
      </c>
      <c r="I64" s="1"/>
      <c r="J64" s="5">
        <f t="shared" ref="J64:J67" si="39">IF(H$12=0,0,H64/H$12)</f>
        <v>-0.2931051387894773</v>
      </c>
      <c r="K64" s="1"/>
      <c r="L64" s="1">
        <f t="shared" ref="L64:L67" si="40">+D64-H64</f>
        <v>71.769999999999982</v>
      </c>
      <c r="M64" s="1"/>
      <c r="N64" s="5">
        <f t="shared" ref="N64:N67" si="41">IF(H64=0,0,L64/H64)</f>
        <v>0.12004281867295563</v>
      </c>
      <c r="O64" s="12"/>
      <c r="P64" s="1">
        <f>SUM(OSRRefP22_13x_0)</f>
        <v>7366.04</v>
      </c>
      <c r="Q64" s="1"/>
      <c r="R64" s="5">
        <f t="shared" ref="R64:R67" si="42">IF(P$12=0,0,P64/P$12)</f>
        <v>0</v>
      </c>
      <c r="S64" s="1"/>
      <c r="T64" s="1">
        <f>SUM(OSRRefT22_13x_0)</f>
        <v>57045.48</v>
      </c>
      <c r="U64" s="1"/>
      <c r="V64" s="5">
        <f t="shared" ref="V64:V67" si="43">IF(T$12=0,0,T64/T$12)</f>
        <v>2.8603680406519939E-2</v>
      </c>
      <c r="W64" s="1"/>
      <c r="X64" s="1">
        <f t="shared" ref="X64:X67" si="44">+P64-T64</f>
        <v>-49679.44</v>
      </c>
      <c r="Y64" s="1"/>
      <c r="Z64" s="5">
        <f t="shared" ref="Z64:Z67" si="45">IF(T64=0,0,X64/T64)</f>
        <v>-0.87087425682104869</v>
      </c>
    </row>
    <row r="65" spans="1:26" s="23" customFormat="1" hidden="1" outlineLevel="2" x14ac:dyDescent="0.25">
      <c r="A65" s="27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669.64</v>
      </c>
      <c r="E65" s="2"/>
      <c r="F65" s="7">
        <f t="shared" si="38"/>
        <v>0</v>
      </c>
      <c r="G65" s="2"/>
      <c r="H65" s="6">
        <v>597.87</v>
      </c>
      <c r="I65" s="2"/>
      <c r="J65" s="7">
        <f t="shared" si="39"/>
        <v>-0.2931051387894773</v>
      </c>
      <c r="K65" s="2"/>
      <c r="L65" s="6">
        <f t="shared" si="40"/>
        <v>71.769999999999982</v>
      </c>
      <c r="M65" s="2"/>
      <c r="N65" s="7">
        <f t="shared" si="41"/>
        <v>0.12004281867295563</v>
      </c>
      <c r="O65" s="10"/>
      <c r="P65" s="6">
        <v>6768.17</v>
      </c>
      <c r="Q65" s="2"/>
      <c r="R65" s="7">
        <f t="shared" si="42"/>
        <v>0</v>
      </c>
      <c r="S65" s="2"/>
      <c r="T65" s="6">
        <v>8113.91</v>
      </c>
      <c r="U65" s="2"/>
      <c r="V65" s="7">
        <f t="shared" si="43"/>
        <v>4.0684676242055667E-3</v>
      </c>
      <c r="W65" s="2"/>
      <c r="X65" s="6">
        <f t="shared" si="44"/>
        <v>-1345.7399999999998</v>
      </c>
      <c r="Y65" s="2"/>
      <c r="Z65" s="7">
        <f t="shared" si="45"/>
        <v>-0.1658559190328707</v>
      </c>
    </row>
    <row r="66" spans="1:26" s="23" customFormat="1" hidden="1" outlineLevel="2" x14ac:dyDescent="0.25">
      <c r="A66" s="27"/>
      <c r="B66" s="10" t="str">
        <f>CONCATENATE("          ", "6285", " - ", "JANITORIAL SERVICES")</f>
        <v xml:space="preserve">          6285 - JANITORIAL SERVICES</v>
      </c>
      <c r="C66" s="10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/>
      <c r="Q66" s="2"/>
      <c r="R66" s="7">
        <f t="shared" si="42"/>
        <v>0</v>
      </c>
      <c r="S66" s="2"/>
      <c r="T66" s="6">
        <v>35826.720000000001</v>
      </c>
      <c r="U66" s="2"/>
      <c r="V66" s="7">
        <f t="shared" si="43"/>
        <v>1.7964193638021382E-2</v>
      </c>
      <c r="W66" s="2"/>
      <c r="X66" s="6">
        <f t="shared" si="44"/>
        <v>-35826.720000000001</v>
      </c>
      <c r="Y66" s="2"/>
      <c r="Z66" s="7">
        <f t="shared" si="45"/>
        <v>-1</v>
      </c>
    </row>
    <row r="67" spans="1:26" s="23" customFormat="1" hidden="1" outlineLevel="2" x14ac:dyDescent="0.25">
      <c r="A67" s="27"/>
      <c r="B67" s="10" t="str">
        <f>CONCATENATE("          ", "6286", " - ", "LAUNDRY EXPENSE")</f>
        <v xml:space="preserve">          6286 - LAUNDRY EXPENSE</v>
      </c>
      <c r="C67" s="10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0"/>
      <c r="P67" s="6">
        <v>597.87</v>
      </c>
      <c r="Q67" s="2"/>
      <c r="R67" s="7">
        <f t="shared" si="42"/>
        <v>0</v>
      </c>
      <c r="S67" s="2"/>
      <c r="T67" s="6">
        <v>13104.85</v>
      </c>
      <c r="U67" s="2"/>
      <c r="V67" s="7">
        <f t="shared" si="43"/>
        <v>6.571019144292989E-3</v>
      </c>
      <c r="W67" s="2"/>
      <c r="X67" s="6">
        <f t="shared" si="44"/>
        <v>-12506.98</v>
      </c>
      <c r="Y67" s="2"/>
      <c r="Z67" s="7">
        <f t="shared" si="45"/>
        <v>-0.95437795930514269</v>
      </c>
    </row>
    <row r="68" spans="1:26" s="26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0</v>
      </c>
      <c r="E68" s="1"/>
      <c r="F68" s="5">
        <f t="shared" ref="F68:F74" si="46">IF(D$12=0,0,D68/D$12)</f>
        <v>0</v>
      </c>
      <c r="G68" s="1"/>
      <c r="H68" s="1">
        <f>SUM(OSRRefH22_14x_0)</f>
        <v>0</v>
      </c>
      <c r="I68" s="1"/>
      <c r="J68" s="5">
        <f t="shared" ref="J68:J74" si="47">IF(H$12=0,0,H68/H$12)</f>
        <v>0</v>
      </c>
      <c r="K68" s="1"/>
      <c r="L68" s="1">
        <f t="shared" ref="L68:L74" si="48">+D68-H68</f>
        <v>0</v>
      </c>
      <c r="M68" s="1"/>
      <c r="N68" s="5">
        <f t="shared" ref="N68:N74" si="49">IF(H68=0,0,L68/H68)</f>
        <v>0</v>
      </c>
      <c r="O68" s="12"/>
      <c r="P68" s="1">
        <f>SUM(OSRRefP22_14x_0)</f>
        <v>96.7</v>
      </c>
      <c r="Q68" s="1"/>
      <c r="R68" s="5">
        <f t="shared" ref="R68:R74" si="50">IF(P$12=0,0,P68/P$12)</f>
        <v>0</v>
      </c>
      <c r="S68" s="1"/>
      <c r="T68" s="1">
        <f>SUM(OSRRefT22_14x_0)</f>
        <v>43096.97</v>
      </c>
      <c r="U68" s="1"/>
      <c r="V68" s="5">
        <f t="shared" ref="V68:V74" si="51">IF(T$12=0,0,T68/T$12)</f>
        <v>2.1609634214128405E-2</v>
      </c>
      <c r="W68" s="1"/>
      <c r="X68" s="1">
        <f t="shared" ref="X68:X74" si="52">+P68-T68</f>
        <v>-43000.270000000004</v>
      </c>
      <c r="Y68" s="1"/>
      <c r="Z68" s="5">
        <f t="shared" ref="Z68:Z74" si="53">IF(T68=0,0,X68/T68)</f>
        <v>-0.99775622276925735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0"/>
      <c r="P69" s="6"/>
      <c r="Q69" s="2"/>
      <c r="R69" s="7">
        <f t="shared" si="50"/>
        <v>0</v>
      </c>
      <c r="S69" s="2"/>
      <c r="T69" s="6">
        <v>12287.44</v>
      </c>
      <c r="U69" s="2"/>
      <c r="V69" s="7">
        <f t="shared" si="51"/>
        <v>6.1611543416636924E-3</v>
      </c>
      <c r="W69" s="2"/>
      <c r="X69" s="6">
        <f t="shared" si="52"/>
        <v>-12287.44</v>
      </c>
      <c r="Y69" s="2"/>
      <c r="Z69" s="7">
        <f t="shared" si="53"/>
        <v>-1</v>
      </c>
    </row>
    <row r="70" spans="1:26" s="23" customFormat="1" hidden="1" outlineLevel="2" x14ac:dyDescent="0.25">
      <c r="A70" s="27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0</v>
      </c>
      <c r="M70" s="2"/>
      <c r="N70" s="7">
        <f t="shared" si="49"/>
        <v>0</v>
      </c>
      <c r="O70" s="10"/>
      <c r="P70" s="6"/>
      <c r="Q70" s="2"/>
      <c r="R70" s="7">
        <f t="shared" si="50"/>
        <v>0</v>
      </c>
      <c r="S70" s="2"/>
      <c r="T70" s="6">
        <v>4550.0600000000004</v>
      </c>
      <c r="U70" s="2"/>
      <c r="V70" s="7">
        <f t="shared" si="51"/>
        <v>2.2814859664690369E-3</v>
      </c>
      <c r="W70" s="2"/>
      <c r="X70" s="6">
        <f t="shared" si="52"/>
        <v>-4550.0600000000004</v>
      </c>
      <c r="Y70" s="2"/>
      <c r="Z70" s="7">
        <f t="shared" si="53"/>
        <v>-1</v>
      </c>
    </row>
    <row r="71" spans="1:26" s="23" customFormat="1" hidden="1" outlineLevel="2" x14ac:dyDescent="0.25">
      <c r="A71" s="27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0"/>
      <c r="P71" s="6">
        <v>96.7</v>
      </c>
      <c r="Q71" s="2"/>
      <c r="R71" s="7">
        <f t="shared" si="50"/>
        <v>0</v>
      </c>
      <c r="S71" s="2"/>
      <c r="T71" s="6">
        <v>18733.82</v>
      </c>
      <c r="U71" s="2"/>
      <c r="V71" s="7">
        <f t="shared" si="51"/>
        <v>9.393490949208794E-3</v>
      </c>
      <c r="W71" s="2"/>
      <c r="X71" s="6">
        <f t="shared" si="52"/>
        <v>-18637.12</v>
      </c>
      <c r="Y71" s="2"/>
      <c r="Z71" s="7">
        <f t="shared" si="53"/>
        <v>-0.99483821238807668</v>
      </c>
    </row>
    <row r="72" spans="1:26" s="23" customFormat="1" hidden="1" outlineLevel="2" x14ac:dyDescent="0.25">
      <c r="A72" s="27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6"/>
        <v>0</v>
      </c>
      <c r="G72" s="2"/>
      <c r="H72" s="6"/>
      <c r="I72" s="2"/>
      <c r="J72" s="7">
        <f t="shared" si="47"/>
        <v>0</v>
      </c>
      <c r="K72" s="2"/>
      <c r="L72" s="6">
        <f t="shared" si="48"/>
        <v>0</v>
      </c>
      <c r="M72" s="2"/>
      <c r="N72" s="7">
        <f t="shared" si="49"/>
        <v>0</v>
      </c>
      <c r="O72" s="10"/>
      <c r="P72" s="6"/>
      <c r="Q72" s="2"/>
      <c r="R72" s="7">
        <f t="shared" si="50"/>
        <v>0</v>
      </c>
      <c r="S72" s="2"/>
      <c r="T72" s="6">
        <v>14386.16</v>
      </c>
      <c r="U72" s="2"/>
      <c r="V72" s="7">
        <f t="shared" si="51"/>
        <v>7.2134921630436074E-3</v>
      </c>
      <c r="W72" s="2"/>
      <c r="X72" s="6">
        <f t="shared" si="52"/>
        <v>-14386.16</v>
      </c>
      <c r="Y72" s="2"/>
      <c r="Z72" s="7">
        <f t="shared" si="53"/>
        <v>-1</v>
      </c>
    </row>
    <row r="73" spans="1:26" s="23" customFormat="1" hidden="1" outlineLevel="2" x14ac:dyDescent="0.25">
      <c r="A73" s="27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469.44</v>
      </c>
      <c r="U73" s="2"/>
      <c r="V73" s="7">
        <f t="shared" si="51"/>
        <v>2.3538607668892818E-4</v>
      </c>
      <c r="W73" s="2"/>
      <c r="X73" s="6">
        <f t="shared" si="52"/>
        <v>-469.44</v>
      </c>
      <c r="Y73" s="2"/>
      <c r="Z73" s="7">
        <f t="shared" si="53"/>
        <v>-1</v>
      </c>
    </row>
    <row r="74" spans="1:26" s="23" customFormat="1" hidden="1" outlineLevel="2" x14ac:dyDescent="0.25">
      <c r="A74" s="27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6"/>
        <v>0</v>
      </c>
      <c r="G74" s="2"/>
      <c r="H74" s="6"/>
      <c r="I74" s="2"/>
      <c r="J74" s="7">
        <f t="shared" si="47"/>
        <v>0</v>
      </c>
      <c r="K74" s="2"/>
      <c r="L74" s="6">
        <f t="shared" si="48"/>
        <v>0</v>
      </c>
      <c r="M74" s="2"/>
      <c r="N74" s="7">
        <f t="shared" si="49"/>
        <v>0</v>
      </c>
      <c r="O74" s="10"/>
      <c r="P74" s="6"/>
      <c r="Q74" s="2"/>
      <c r="R74" s="7">
        <f t="shared" si="50"/>
        <v>0</v>
      </c>
      <c r="S74" s="2"/>
      <c r="T74" s="6">
        <v>-7329.95</v>
      </c>
      <c r="U74" s="2"/>
      <c r="V74" s="7">
        <f t="shared" si="51"/>
        <v>-3.6753752829456567E-3</v>
      </c>
      <c r="W74" s="2"/>
      <c r="X74" s="6">
        <f t="shared" si="52"/>
        <v>7329.95</v>
      </c>
      <c r="Y74" s="2"/>
      <c r="Z74" s="7">
        <f t="shared" si="53"/>
        <v>-1</v>
      </c>
    </row>
    <row r="75" spans="1:26" s="26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SUM(OSRRefD22_15x_0)</f>
        <v>75</v>
      </c>
      <c r="E75" s="1"/>
      <c r="F75" s="5">
        <f t="shared" ref="F75:F80" si="54">IF(D$12=0,0,D75/D$12)</f>
        <v>0</v>
      </c>
      <c r="G75" s="1"/>
      <c r="H75" s="1">
        <f>SUM(OSRRefH22_15x_0)</f>
        <v>109</v>
      </c>
      <c r="I75" s="1"/>
      <c r="J75" s="5">
        <f t="shared" ref="J75:J80" si="55">IF(H$12=0,0,H75/H$12)</f>
        <v>-5.3437135377344618E-2</v>
      </c>
      <c r="K75" s="1"/>
      <c r="L75" s="1">
        <f t="shared" ref="L75:L80" si="56">+D75-H75</f>
        <v>-34</v>
      </c>
      <c r="M75" s="1"/>
      <c r="N75" s="5">
        <f t="shared" ref="N75:N80" si="57">IF(H75=0,0,L75/H75)</f>
        <v>-0.31192660550458717</v>
      </c>
      <c r="O75" s="12"/>
      <c r="P75" s="1">
        <f>SUM(OSRRefP22_15x_0)</f>
        <v>654.63</v>
      </c>
      <c r="Q75" s="1"/>
      <c r="R75" s="5">
        <f t="shared" ref="R75:R80" si="58">IF(P$12=0,0,P75/P$12)</f>
        <v>0</v>
      </c>
      <c r="S75" s="1"/>
      <c r="T75" s="1">
        <f>SUM(OSRRefT22_15x_0)</f>
        <v>1491.3</v>
      </c>
      <c r="U75" s="1"/>
      <c r="V75" s="5">
        <f t="shared" ref="V75:V80" si="59">IF(T$12=0,0,T75/T$12)</f>
        <v>7.4776596831586267E-4</v>
      </c>
      <c r="W75" s="1"/>
      <c r="X75" s="1">
        <f t="shared" ref="X75:X80" si="60">+P75-T75</f>
        <v>-836.67</v>
      </c>
      <c r="Y75" s="1"/>
      <c r="Z75" s="5">
        <f t="shared" ref="Z75:Z80" si="61">IF(T75=0,0,X75/T75)</f>
        <v>-0.5610339971836652</v>
      </c>
    </row>
    <row r="76" spans="1:26" s="23" customFormat="1" hidden="1" outlineLevel="2" x14ac:dyDescent="0.25">
      <c r="A76" s="27"/>
      <c r="B76" s="10" t="str">
        <f>CONCATENATE("          ", "6309", " - ", "TELEPHONE")</f>
        <v xml:space="preserve">          6309 - TELEPHONE</v>
      </c>
      <c r="C76" s="10"/>
      <c r="D76" s="6">
        <v>75</v>
      </c>
      <c r="E76" s="2"/>
      <c r="F76" s="7">
        <f t="shared" si="54"/>
        <v>0</v>
      </c>
      <c r="G76" s="2"/>
      <c r="H76" s="6">
        <v>109</v>
      </c>
      <c r="I76" s="2"/>
      <c r="J76" s="7">
        <f t="shared" si="55"/>
        <v>-5.3437135377344618E-2</v>
      </c>
      <c r="K76" s="2"/>
      <c r="L76" s="6">
        <f t="shared" si="56"/>
        <v>-34</v>
      </c>
      <c r="M76" s="2"/>
      <c r="N76" s="7">
        <f t="shared" si="57"/>
        <v>-0.31192660550458717</v>
      </c>
      <c r="O76" s="10"/>
      <c r="P76" s="6">
        <v>654.63</v>
      </c>
      <c r="Q76" s="2"/>
      <c r="R76" s="7">
        <f t="shared" si="58"/>
        <v>0</v>
      </c>
      <c r="S76" s="2"/>
      <c r="T76" s="6">
        <v>1491.3</v>
      </c>
      <c r="U76" s="2"/>
      <c r="V76" s="7">
        <f t="shared" si="59"/>
        <v>7.4776596831586267E-4</v>
      </c>
      <c r="W76" s="2"/>
      <c r="X76" s="6">
        <f t="shared" si="60"/>
        <v>-836.67</v>
      </c>
      <c r="Y76" s="2"/>
      <c r="Z76" s="7">
        <f t="shared" si="61"/>
        <v>-0.5610339971836652</v>
      </c>
    </row>
    <row r="77" spans="1:26" s="26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SUM(OSRRefD22_16x_0)</f>
        <v>0</v>
      </c>
      <c r="E77" s="1"/>
      <c r="F77" s="5">
        <f t="shared" si="54"/>
        <v>0</v>
      </c>
      <c r="G77" s="1"/>
      <c r="H77" s="1">
        <f>SUM(OSRRefH22_16x_0)</f>
        <v>0</v>
      </c>
      <c r="I77" s="1"/>
      <c r="J77" s="5">
        <f t="shared" si="55"/>
        <v>0</v>
      </c>
      <c r="K77" s="1"/>
      <c r="L77" s="1">
        <f t="shared" si="56"/>
        <v>0</v>
      </c>
      <c r="M77" s="1"/>
      <c r="N77" s="5">
        <f t="shared" si="57"/>
        <v>0</v>
      </c>
      <c r="O77" s="12"/>
      <c r="P77" s="1">
        <f>SUM(OSRRefP22_16x_0)</f>
        <v>0</v>
      </c>
      <c r="Q77" s="1"/>
      <c r="R77" s="5">
        <f t="shared" si="58"/>
        <v>0</v>
      </c>
      <c r="S77" s="1"/>
      <c r="T77" s="1">
        <f>SUM(OSRRefT22_16x_0)</f>
        <v>1657.1</v>
      </c>
      <c r="U77" s="1"/>
      <c r="V77" s="5">
        <f t="shared" si="59"/>
        <v>8.30901217794016E-4</v>
      </c>
      <c r="W77" s="1"/>
      <c r="X77" s="1">
        <f t="shared" si="60"/>
        <v>-1657.1</v>
      </c>
      <c r="Y77" s="1"/>
      <c r="Z77" s="5">
        <f t="shared" si="61"/>
        <v>-1</v>
      </c>
    </row>
    <row r="78" spans="1:26" s="23" customFormat="1" hidden="1" outlineLevel="2" x14ac:dyDescent="0.25">
      <c r="A78" s="27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0"/>
      <c r="P78" s="6"/>
      <c r="Q78" s="2"/>
      <c r="R78" s="7">
        <f t="shared" si="58"/>
        <v>0</v>
      </c>
      <c r="S78" s="2"/>
      <c r="T78" s="6">
        <v>1657.1</v>
      </c>
      <c r="U78" s="2"/>
      <c r="V78" s="7">
        <f t="shared" si="59"/>
        <v>8.30901217794016E-4</v>
      </c>
      <c r="W78" s="2"/>
      <c r="X78" s="6">
        <f t="shared" si="60"/>
        <v>-1657.1</v>
      </c>
      <c r="Y78" s="2"/>
      <c r="Z78" s="7">
        <f t="shared" si="61"/>
        <v>-1</v>
      </c>
    </row>
    <row r="79" spans="1:26" s="26" customFormat="1" outlineLevel="1" collapsed="1" x14ac:dyDescent="0.25">
      <c r="A79" s="25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SUM(OSRRefD22_17x_0)</f>
        <v>0</v>
      </c>
      <c r="E79" s="1"/>
      <c r="F79" s="5">
        <f t="shared" si="54"/>
        <v>0</v>
      </c>
      <c r="G79" s="1"/>
      <c r="H79" s="1">
        <f>SUM(OSRRefH22_17x_0)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2"/>
      <c r="P79" s="1">
        <f>SUM(OSRRefP22_17x_0)</f>
        <v>0</v>
      </c>
      <c r="Q79" s="1"/>
      <c r="R79" s="5">
        <f t="shared" si="58"/>
        <v>0</v>
      </c>
      <c r="S79" s="1"/>
      <c r="T79" s="1">
        <f>SUM(OSRRefT22_17x_0)</f>
        <v>79.510000000000005</v>
      </c>
      <c r="U79" s="1"/>
      <c r="V79" s="5">
        <f t="shared" si="59"/>
        <v>3.9867814752762188E-5</v>
      </c>
      <c r="W79" s="1"/>
      <c r="X79" s="1">
        <f t="shared" si="60"/>
        <v>-79.510000000000005</v>
      </c>
      <c r="Y79" s="1"/>
      <c r="Z79" s="5">
        <f t="shared" si="61"/>
        <v>-1</v>
      </c>
    </row>
    <row r="80" spans="1:26" s="23" customFormat="1" hidden="1" outlineLevel="2" x14ac:dyDescent="0.25">
      <c r="A80" s="27"/>
      <c r="B80" s="10" t="str">
        <f>CONCATENATE("          ", "6292", " - ", "TRAVEL/CONFERENCE")</f>
        <v xml:space="preserve">          6292 - TRAVEL/CONFERENCE</v>
      </c>
      <c r="C80" s="10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0"/>
      <c r="P80" s="6"/>
      <c r="Q80" s="2"/>
      <c r="R80" s="7">
        <f t="shared" si="58"/>
        <v>0</v>
      </c>
      <c r="S80" s="2"/>
      <c r="T80" s="6">
        <v>79.510000000000005</v>
      </c>
      <c r="U80" s="2"/>
      <c r="V80" s="7">
        <f t="shared" si="59"/>
        <v>3.9867814752762188E-5</v>
      </c>
      <c r="W80" s="2"/>
      <c r="X80" s="6">
        <f t="shared" si="60"/>
        <v>-79.510000000000005</v>
      </c>
      <c r="Y80" s="2"/>
      <c r="Z80" s="7">
        <f t="shared" si="61"/>
        <v>-1</v>
      </c>
    </row>
    <row r="81" spans="1:26" s="57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9" t="s">
        <v>292</v>
      </c>
      <c r="C82" s="11"/>
      <c r="D82" s="4">
        <f>SUM(0)</f>
        <v>0</v>
      </c>
      <c r="E82" s="4"/>
      <c r="F82" s="13">
        <f>IF(D$12=0,0,D82/D$12)</f>
        <v>0</v>
      </c>
      <c r="G82" s="4"/>
      <c r="H82" s="4">
        <f>SUM(0)</f>
        <v>0</v>
      </c>
      <c r="I82" s="4"/>
      <c r="J82" s="13">
        <f>IF(H$12=0,0,H82/H$12)</f>
        <v>0</v>
      </c>
      <c r="K82" s="4"/>
      <c r="L82" s="4">
        <f>+D82-H82</f>
        <v>0</v>
      </c>
      <c r="M82" s="4"/>
      <c r="N82" s="13">
        <f>IF(H82=0,0,L82/H82)</f>
        <v>0</v>
      </c>
      <c r="O82" s="11"/>
      <c r="P82" s="4">
        <f>SUM(0)</f>
        <v>0</v>
      </c>
      <c r="Q82" s="4"/>
      <c r="R82" s="13">
        <f>IF(P$12=0,0,P82/P$12)</f>
        <v>0</v>
      </c>
      <c r="S82" s="4"/>
      <c r="T82" s="4">
        <f>SUM(0)</f>
        <v>0</v>
      </c>
      <c r="U82" s="4"/>
      <c r="V82" s="13">
        <f>IF(T$12=0,0,T82/T$12)</f>
        <v>0</v>
      </c>
      <c r="W82" s="4"/>
      <c r="X82" s="4">
        <f>+P82-T82</f>
        <v>0</v>
      </c>
      <c r="Y82" s="4"/>
      <c r="Z82" s="13">
        <f>IF(T82=0,0,X82/T82)</f>
        <v>0</v>
      </c>
    </row>
    <row r="83" spans="1:26" x14ac:dyDescent="0.25">
      <c r="A83" s="9"/>
      <c r="B83" s="11"/>
      <c r="C83" s="11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1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11"/>
      <c r="B84" s="28" t="s">
        <v>276</v>
      </c>
      <c r="C84" s="28"/>
      <c r="D84" s="20">
        <f>+D21-D23+D82</f>
        <v>-37944.54</v>
      </c>
      <c r="E84" s="14"/>
      <c r="F84" s="21">
        <f>IF(D$12=0,0,D84/D$12)</f>
        <v>0</v>
      </c>
      <c r="G84" s="14"/>
      <c r="H84" s="20">
        <f>+H21-H23+H82</f>
        <v>-36935.97</v>
      </c>
      <c r="I84" s="14"/>
      <c r="J84" s="21">
        <f>IF(H$12=0,0,H84/H$12)</f>
        <v>18.107820451225134</v>
      </c>
      <c r="K84" s="15"/>
      <c r="L84" s="20">
        <f>+D84-H84</f>
        <v>-1008.5699999999997</v>
      </c>
      <c r="M84" s="15"/>
      <c r="N84" s="21">
        <f>IF(H84=0,0,L84/H84)</f>
        <v>2.7305902620128827E-2</v>
      </c>
      <c r="O84" s="29"/>
      <c r="P84" s="20">
        <f>+P21-P23+P82</f>
        <v>-449111.68999999994</v>
      </c>
      <c r="Q84" s="14"/>
      <c r="R84" s="21">
        <f>IF(P$12=0,0,P84/P$12)</f>
        <v>0</v>
      </c>
      <c r="S84" s="14"/>
      <c r="T84" s="20">
        <f>+T21-T23+T82</f>
        <v>357688.23</v>
      </c>
      <c r="U84" s="14"/>
      <c r="V84" s="21">
        <f>IF(T$12=0,0,T84/T$12)</f>
        <v>0.17935162989414405</v>
      </c>
      <c r="W84" s="15"/>
      <c r="X84" s="20">
        <f>+P84-T84</f>
        <v>-806799.91999999993</v>
      </c>
      <c r="Y84" s="15"/>
      <c r="Z84" s="21">
        <f>IF(T84=0,0,X84/T84)</f>
        <v>-2.2555953826045658</v>
      </c>
    </row>
    <row r="85" spans="1:26" x14ac:dyDescent="0.25">
      <c r="A85" s="9"/>
      <c r="B85" s="11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51"/>
      <c r="B86" s="11" t="s">
        <v>127</v>
      </c>
      <c r="C86" s="11"/>
      <c r="D86" s="4"/>
      <c r="E86" s="4"/>
      <c r="F86" s="13">
        <f>IF(D$12=0,0,D86/D$12)</f>
        <v>0</v>
      </c>
      <c r="G86" s="4"/>
      <c r="H86" s="4">
        <v>9496.26</v>
      </c>
      <c r="I86" s="4"/>
      <c r="J86" s="13">
        <f>IF(H$12=0,0,H86/H$12)</f>
        <v>-4.6555314788849778</v>
      </c>
      <c r="K86" s="4"/>
      <c r="L86" s="4">
        <f>+D86-H86</f>
        <v>-9496.26</v>
      </c>
      <c r="M86" s="4"/>
      <c r="N86" s="13">
        <f>IF(H86=0,0,L86/H86)</f>
        <v>-1</v>
      </c>
      <c r="O86" s="11"/>
      <c r="P86" s="4">
        <v>0</v>
      </c>
      <c r="Q86" s="4"/>
      <c r="R86" s="13">
        <f>IF(P$12=0,0,P86/P$12)</f>
        <v>0</v>
      </c>
      <c r="S86" s="4"/>
      <c r="T86" s="4">
        <v>236170.96</v>
      </c>
      <c r="U86" s="4"/>
      <c r="V86" s="13">
        <f>IF(T$12=0,0,T86/T$12)</f>
        <v>0.11842057707536169</v>
      </c>
      <c r="W86" s="4"/>
      <c r="X86" s="4">
        <f>+P86-T86</f>
        <v>-236170.96</v>
      </c>
      <c r="Y86" s="4"/>
      <c r="Z86" s="13">
        <f>IF(T86=0,0,X86/T86)</f>
        <v>-1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ht="15.75" thickBot="1" x14ac:dyDescent="0.3">
      <c r="A88" s="11"/>
      <c r="B88" s="28" t="s">
        <v>125</v>
      </c>
      <c r="C88" s="28"/>
      <c r="D88" s="35">
        <f>+D84-D86</f>
        <v>-37944.54</v>
      </c>
      <c r="E88" s="14"/>
      <c r="F88" s="36">
        <f>IF(D$12=0,0,D88/D$12)</f>
        <v>0</v>
      </c>
      <c r="G88" s="14"/>
      <c r="H88" s="35">
        <f>+H84-H86</f>
        <v>-46432.23</v>
      </c>
      <c r="I88" s="14"/>
      <c r="J88" s="36">
        <f>IF(H$12=0,0,H88/H$12)</f>
        <v>22.763351930110112</v>
      </c>
      <c r="K88" s="15"/>
      <c r="L88" s="35">
        <f>D88-H88</f>
        <v>8487.6900000000023</v>
      </c>
      <c r="M88" s="15"/>
      <c r="N88" s="36">
        <f>IF(H88=0,0,L88/H88)</f>
        <v>-0.18279738018182631</v>
      </c>
      <c r="O88" s="29"/>
      <c r="P88" s="35">
        <f>+P84-P86</f>
        <v>-449111.68999999994</v>
      </c>
      <c r="Q88" s="14"/>
      <c r="R88" s="36">
        <f>IF(P$12=0,0,P88/P$12)</f>
        <v>0</v>
      </c>
      <c r="S88" s="14"/>
      <c r="T88" s="35">
        <f>+T84-T86</f>
        <v>121517.26999999999</v>
      </c>
      <c r="U88" s="14"/>
      <c r="V88" s="36">
        <f>IF(T$12=0,0,T88/T$12)</f>
        <v>6.0931052818782361E-2</v>
      </c>
      <c r="W88" s="15"/>
      <c r="X88" s="35">
        <f>P88-T88</f>
        <v>-570628.96</v>
      </c>
      <c r="Y88" s="15"/>
      <c r="Z88" s="36">
        <f>IF(T88=0,0,X88/T88)</f>
        <v>-4.695867180031283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8" t="s">
        <v>293</v>
      </c>
      <c r="C91" s="28"/>
      <c r="D91" s="30">
        <f>SUM(D88:D90)</f>
        <v>-37944.54</v>
      </c>
      <c r="E91" s="14"/>
      <c r="F91" s="31">
        <f>IF(D$12=0,0,D91/D$12)</f>
        <v>0</v>
      </c>
      <c r="G91" s="14"/>
      <c r="H91" s="30">
        <f>SUM(H88:H90)</f>
        <v>-46432.23</v>
      </c>
      <c r="I91" s="14"/>
      <c r="J91" s="31">
        <f>IF(H$12=0,0,H91/H$12)</f>
        <v>22.763351930110112</v>
      </c>
      <c r="K91" s="15"/>
      <c r="L91" s="30">
        <f>+D91-H91</f>
        <v>8487.6900000000023</v>
      </c>
      <c r="M91" s="15"/>
      <c r="N91" s="31">
        <f>IF(H91=0,0,L91/H91)</f>
        <v>-0.18279738018182631</v>
      </c>
      <c r="O91" s="29"/>
      <c r="P91" s="30">
        <f>SUM(P88:P90)</f>
        <v>-449111.68999999994</v>
      </c>
      <c r="Q91" s="14"/>
      <c r="R91" s="31">
        <f>IF(P$12=0,0,P91/P$12)</f>
        <v>0</v>
      </c>
      <c r="S91" s="14"/>
      <c r="T91" s="30">
        <f>SUM(T88:T90)</f>
        <v>121517.26999999999</v>
      </c>
      <c r="U91" s="14"/>
      <c r="V91" s="31">
        <f>IF(T$12=0,0,T91/T$12)</f>
        <v>6.0931052818782361E-2</v>
      </c>
      <c r="W91" s="15"/>
      <c r="X91" s="30">
        <f>+P91-T91</f>
        <v>-570628.96</v>
      </c>
      <c r="Y91" s="15"/>
      <c r="Z91" s="31">
        <f>IF(T91=0,0,X91/T91)</f>
        <v>-4.695867180031283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>
        <v>44356.893348032405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2" t="s">
        <v>56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4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tabSelected="1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">
        <v>104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39633</v>
      </c>
      <c r="E12" s="4"/>
      <c r="F12" s="13"/>
      <c r="G12" s="4"/>
      <c r="H12" s="4">
        <f>SUM(OSRRefH13x_0)</f>
        <v>24412</v>
      </c>
      <c r="I12" s="4"/>
      <c r="J12" s="13"/>
      <c r="K12" s="4"/>
      <c r="L12" s="4">
        <f t="shared" ref="L12:L13" si="0">+D12-H12</f>
        <v>15221</v>
      </c>
      <c r="M12" s="4"/>
      <c r="N12" s="13">
        <f t="shared" ref="N12:N13" si="1">IF(H12=0,0,L12/H12)</f>
        <v>0.62350483368834997</v>
      </c>
      <c r="O12" s="11"/>
      <c r="P12" s="4">
        <f>SUM(OSRRefP13x_0)</f>
        <v>517186</v>
      </c>
      <c r="Q12" s="4"/>
      <c r="R12" s="13"/>
      <c r="S12" s="4"/>
      <c r="T12" s="4">
        <f>SUM(OSRRefT13x_0)</f>
        <v>429300</v>
      </c>
      <c r="U12" s="4"/>
      <c r="V12" s="13"/>
      <c r="W12" s="4"/>
      <c r="X12" s="4">
        <f t="shared" ref="X12:X13" si="2">+P12-T12</f>
        <v>87886</v>
      </c>
      <c r="Y12" s="4"/>
      <c r="Z12" s="13">
        <f t="shared" ref="Z12:Z13" si="3">IF(T12=0,0,X12/T12)</f>
        <v>0.20471931050547404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--39633</f>
        <v>39633</v>
      </c>
      <c r="E13" s="2"/>
      <c r="F13" s="19"/>
      <c r="G13" s="2"/>
      <c r="H13" s="2">
        <f>--24412</f>
        <v>24412</v>
      </c>
      <c r="I13" s="2"/>
      <c r="J13" s="19"/>
      <c r="K13" s="2"/>
      <c r="L13" s="2">
        <f t="shared" si="0"/>
        <v>15221</v>
      </c>
      <c r="M13" s="2"/>
      <c r="N13" s="19">
        <f t="shared" si="1"/>
        <v>0.62350483368834997</v>
      </c>
      <c r="O13" s="10"/>
      <c r="P13" s="2">
        <f>--517186</f>
        <v>517186</v>
      </c>
      <c r="Q13" s="2"/>
      <c r="R13" s="19"/>
      <c r="S13" s="2"/>
      <c r="T13" s="2">
        <f>--429300</f>
        <v>429300</v>
      </c>
      <c r="U13" s="2"/>
      <c r="V13" s="19"/>
      <c r="W13" s="2"/>
      <c r="X13" s="2">
        <f t="shared" si="2"/>
        <v>87886</v>
      </c>
      <c r="Y13" s="2"/>
      <c r="Z13" s="19">
        <f t="shared" si="3"/>
        <v>0.20471931050547404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9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0">
        <f>D12-D15</f>
        <v>39633</v>
      </c>
      <c r="E17" s="14"/>
      <c r="F17" s="21">
        <f>IF(D$12=0,0,D17/D$12)</f>
        <v>1</v>
      </c>
      <c r="G17" s="14"/>
      <c r="H17" s="20">
        <f>H12-H15</f>
        <v>24412</v>
      </c>
      <c r="I17" s="14"/>
      <c r="J17" s="21">
        <f>IF(H$12=0,0,H17/H$12)</f>
        <v>1</v>
      </c>
      <c r="K17" s="15"/>
      <c r="L17" s="20">
        <f>+D17-H17</f>
        <v>15221</v>
      </c>
      <c r="M17" s="15"/>
      <c r="N17" s="21">
        <f>IF(H17=0,0,L17/H17)</f>
        <v>0.62350483368834997</v>
      </c>
      <c r="O17" s="29"/>
      <c r="P17" s="20">
        <f>P12-P15</f>
        <v>517186</v>
      </c>
      <c r="Q17" s="14"/>
      <c r="R17" s="21">
        <f>IF(P$12=0,0,P17/P$12)</f>
        <v>1</v>
      </c>
      <c r="S17" s="14"/>
      <c r="T17" s="20">
        <f>T12-T15</f>
        <v>429300</v>
      </c>
      <c r="U17" s="14"/>
      <c r="V17" s="21">
        <f>IF(T$12=0,0,T17/T$12)</f>
        <v>1</v>
      </c>
      <c r="W17" s="15"/>
      <c r="X17" s="20">
        <f>+P17-T17</f>
        <v>87886</v>
      </c>
      <c r="Y17" s="15"/>
      <c r="Z17" s="21">
        <f>IF(T17=0,0,X17/T17)</f>
        <v>0.20471931050547404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2">
        <f>SUM(OSRRefD22x_0)</f>
        <v>31544.79</v>
      </c>
      <c r="E19" s="22"/>
      <c r="F19" s="32">
        <f t="shared" ref="F19:F29" si="4">IF(D$12=0,0,D19/D$12)</f>
        <v>0.79592233744606766</v>
      </c>
      <c r="G19" s="22"/>
      <c r="H19" s="22">
        <f>SUM(OSRRefH22x_0)</f>
        <v>19257.369999999995</v>
      </c>
      <c r="I19" s="22"/>
      <c r="J19" s="32">
        <f t="shared" ref="J19:J29" si="5">IF(H$12=0,0,H19/H$12)</f>
        <v>0.7888485171227263</v>
      </c>
      <c r="K19" s="4"/>
      <c r="L19" s="22">
        <f t="shared" ref="L19:L29" si="6">+D19-H19</f>
        <v>12287.420000000006</v>
      </c>
      <c r="M19" s="4"/>
      <c r="N19" s="32">
        <f t="shared" ref="N19:N29" si="7">IF(H19=0,0,L19/H19)</f>
        <v>0.63806324539643833</v>
      </c>
      <c r="O19" s="11"/>
      <c r="P19" s="22">
        <f>SUM(OSRRefP22x_0)</f>
        <v>419778.08999999997</v>
      </c>
      <c r="Q19" s="22"/>
      <c r="R19" s="32">
        <f t="shared" ref="R19:R29" si="8">IF(P$12=0,0,P19/P$12)</f>
        <v>0.81165787550320379</v>
      </c>
      <c r="S19" s="22"/>
      <c r="T19" s="22">
        <f>SUM(OSRRefT22x_0)</f>
        <v>403998.49000000005</v>
      </c>
      <c r="U19" s="22"/>
      <c r="V19" s="32">
        <f t="shared" ref="V19:V29" si="9">IF(T$12=0,0,T19/T$12)</f>
        <v>0.94106333566270683</v>
      </c>
      <c r="W19" s="4"/>
      <c r="X19" s="22">
        <f t="shared" ref="X19:X29" si="10">+P19-T19</f>
        <v>15779.599999999919</v>
      </c>
      <c r="Y19" s="4"/>
      <c r="Z19" s="32">
        <f t="shared" ref="Z19:Z29" si="11">IF(T19=0,0,X19/T19)</f>
        <v>3.9058561827792763E-2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3822.8999999999996</v>
      </c>
      <c r="E20" s="1"/>
      <c r="F20" s="5">
        <f t="shared" si="4"/>
        <v>9.6457497539928841E-2</v>
      </c>
      <c r="G20" s="1"/>
      <c r="H20" s="1">
        <f>SUM(OSRRefH22_0x_0)</f>
        <v>3729.01</v>
      </c>
      <c r="I20" s="1"/>
      <c r="J20" s="5">
        <f t="shared" si="5"/>
        <v>0.15275315418646568</v>
      </c>
      <c r="K20" s="1"/>
      <c r="L20" s="1">
        <f t="shared" si="6"/>
        <v>93.889999999999418</v>
      </c>
      <c r="M20" s="1"/>
      <c r="N20" s="5">
        <f t="shared" si="7"/>
        <v>2.5178264472339687E-2</v>
      </c>
      <c r="O20" s="12"/>
      <c r="P20" s="1">
        <f>SUM(OSRRefP22_0x_0)</f>
        <v>46768.679999999993</v>
      </c>
      <c r="Q20" s="1"/>
      <c r="R20" s="5">
        <f t="shared" si="8"/>
        <v>9.0429129945512818E-2</v>
      </c>
      <c r="S20" s="1"/>
      <c r="T20" s="1">
        <f>SUM(OSRRefT22_0x_0)</f>
        <v>48770.64</v>
      </c>
      <c r="U20" s="1"/>
      <c r="V20" s="5">
        <f t="shared" si="9"/>
        <v>0.11360503144654088</v>
      </c>
      <c r="W20" s="1"/>
      <c r="X20" s="1">
        <f t="shared" si="10"/>
        <v>-2001.9600000000064</v>
      </c>
      <c r="Y20" s="1"/>
      <c r="Z20" s="5">
        <f t="shared" si="11"/>
        <v>-4.1048466864490735E-2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899.48</v>
      </c>
      <c r="E21" s="2"/>
      <c r="F21" s="7">
        <f t="shared" si="4"/>
        <v>2.2695228723538467E-2</v>
      </c>
      <c r="G21" s="2"/>
      <c r="H21" s="6">
        <v>918.68</v>
      </c>
      <c r="I21" s="2"/>
      <c r="J21" s="7">
        <f t="shared" si="5"/>
        <v>3.7632311977715875E-2</v>
      </c>
      <c r="K21" s="2"/>
      <c r="L21" s="6">
        <f t="shared" si="6"/>
        <v>-19.199999999999932</v>
      </c>
      <c r="M21" s="2"/>
      <c r="N21" s="7">
        <f t="shared" si="7"/>
        <v>-2.089955153045667E-2</v>
      </c>
      <c r="O21" s="10"/>
      <c r="P21" s="6">
        <v>11246.77</v>
      </c>
      <c r="Q21" s="2"/>
      <c r="R21" s="7">
        <f t="shared" si="8"/>
        <v>2.1746083614018943E-2</v>
      </c>
      <c r="S21" s="2"/>
      <c r="T21" s="6">
        <v>12066.38</v>
      </c>
      <c r="U21" s="2"/>
      <c r="V21" s="7">
        <f t="shared" si="9"/>
        <v>2.8107104588865593E-2</v>
      </c>
      <c r="W21" s="2"/>
      <c r="X21" s="6">
        <f t="shared" si="10"/>
        <v>-819.60999999999876</v>
      </c>
      <c r="Y21" s="2"/>
      <c r="Z21" s="7">
        <f t="shared" si="11"/>
        <v>-6.7925094353070162E-2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111.42</v>
      </c>
      <c r="E22" s="2"/>
      <c r="F22" s="7">
        <f t="shared" si="4"/>
        <v>2.8112936189539019E-3</v>
      </c>
      <c r="G22" s="2"/>
      <c r="H22" s="6">
        <v>113.76</v>
      </c>
      <c r="I22" s="2"/>
      <c r="J22" s="7">
        <f t="shared" si="5"/>
        <v>4.6600032770768478E-3</v>
      </c>
      <c r="K22" s="2"/>
      <c r="L22" s="6">
        <f t="shared" si="6"/>
        <v>-2.3400000000000034</v>
      </c>
      <c r="M22" s="2"/>
      <c r="N22" s="7">
        <f t="shared" si="7"/>
        <v>-2.0569620253164587E-2</v>
      </c>
      <c r="O22" s="10"/>
      <c r="P22" s="6">
        <v>893.64</v>
      </c>
      <c r="Q22" s="2"/>
      <c r="R22" s="7">
        <f t="shared" si="8"/>
        <v>1.7278889993155267E-3</v>
      </c>
      <c r="S22" s="2"/>
      <c r="T22" s="6">
        <v>662.29</v>
      </c>
      <c r="U22" s="2"/>
      <c r="V22" s="7">
        <f t="shared" si="9"/>
        <v>1.5427207081295132E-3</v>
      </c>
      <c r="W22" s="2"/>
      <c r="X22" s="6">
        <f t="shared" si="10"/>
        <v>231.35000000000002</v>
      </c>
      <c r="Y22" s="2"/>
      <c r="Z22" s="7">
        <f t="shared" si="11"/>
        <v>0.34931827447190811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3.0478389221103627E-2</v>
      </c>
      <c r="G23" s="2"/>
      <c r="H23" s="6">
        <v>1285.8599999999999</v>
      </c>
      <c r="I23" s="2"/>
      <c r="J23" s="7">
        <f t="shared" si="5"/>
        <v>5.2673275438309027E-2</v>
      </c>
      <c r="K23" s="2"/>
      <c r="L23" s="6">
        <f t="shared" si="6"/>
        <v>-77.909999999999854</v>
      </c>
      <c r="M23" s="2"/>
      <c r="N23" s="7">
        <f t="shared" si="7"/>
        <v>-6.0589799822686655E-2</v>
      </c>
      <c r="O23" s="10"/>
      <c r="P23" s="6">
        <v>13442.75</v>
      </c>
      <c r="Q23" s="2"/>
      <c r="R23" s="7">
        <f t="shared" si="8"/>
        <v>2.5992099554125594E-2</v>
      </c>
      <c r="S23" s="2"/>
      <c r="T23" s="6">
        <v>13927.73</v>
      </c>
      <c r="U23" s="2"/>
      <c r="V23" s="7">
        <f t="shared" si="9"/>
        <v>3.2442883764267412E-2</v>
      </c>
      <c r="W23" s="2"/>
      <c r="X23" s="6">
        <f t="shared" si="10"/>
        <v>-484.97999999999956</v>
      </c>
      <c r="Y23" s="2"/>
      <c r="Z23" s="7">
        <f t="shared" si="11"/>
        <v>-3.4821180479518168E-2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46.16</v>
      </c>
      <c r="E24" s="2"/>
      <c r="F24" s="7">
        <f t="shared" si="4"/>
        <v>1.1646859939949033E-3</v>
      </c>
      <c r="G24" s="2"/>
      <c r="H24" s="6">
        <v>46.17</v>
      </c>
      <c r="I24" s="2"/>
      <c r="J24" s="7">
        <f t="shared" si="5"/>
        <v>1.8912829755857775E-3</v>
      </c>
      <c r="K24" s="2"/>
      <c r="L24" s="6">
        <f t="shared" si="6"/>
        <v>-1.0000000000005116E-2</v>
      </c>
      <c r="M24" s="2"/>
      <c r="N24" s="7">
        <f t="shared" si="7"/>
        <v>-2.1659085986582447E-4</v>
      </c>
      <c r="O24" s="10"/>
      <c r="P24" s="6">
        <v>404.28</v>
      </c>
      <c r="Q24" s="2"/>
      <c r="R24" s="7">
        <f t="shared" si="8"/>
        <v>7.8169169312394371E-4</v>
      </c>
      <c r="S24" s="2"/>
      <c r="T24" s="6">
        <v>495.12</v>
      </c>
      <c r="U24" s="2"/>
      <c r="V24" s="7">
        <f t="shared" si="9"/>
        <v>1.1533193570929421E-3</v>
      </c>
      <c r="W24" s="2"/>
      <c r="X24" s="6">
        <f t="shared" si="10"/>
        <v>-90.840000000000032</v>
      </c>
      <c r="Y24" s="2"/>
      <c r="Z24" s="7">
        <f t="shared" si="11"/>
        <v>-0.18347067377605436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1.6156990386798881E-2</v>
      </c>
      <c r="G25" s="2"/>
      <c r="H25" s="6">
        <v>550.21</v>
      </c>
      <c r="I25" s="2"/>
      <c r="J25" s="7">
        <f t="shared" si="5"/>
        <v>2.2538505652957563E-2</v>
      </c>
      <c r="K25" s="2"/>
      <c r="L25" s="6">
        <f t="shared" si="6"/>
        <v>90.139999999999986</v>
      </c>
      <c r="M25" s="2"/>
      <c r="N25" s="7">
        <f t="shared" si="7"/>
        <v>0.16382835644572069</v>
      </c>
      <c r="O25" s="10"/>
      <c r="P25" s="6">
        <v>8341.6299999999992</v>
      </c>
      <c r="Q25" s="2"/>
      <c r="R25" s="7">
        <f t="shared" si="8"/>
        <v>1.6128878198559123E-2</v>
      </c>
      <c r="S25" s="2"/>
      <c r="T25" s="6">
        <v>7759.08</v>
      </c>
      <c r="U25" s="2"/>
      <c r="V25" s="7">
        <f t="shared" si="9"/>
        <v>1.8073794549266248E-2</v>
      </c>
      <c r="W25" s="2"/>
      <c r="X25" s="6">
        <f t="shared" si="10"/>
        <v>582.54999999999927</v>
      </c>
      <c r="Y25" s="2"/>
      <c r="Z25" s="7">
        <f t="shared" si="11"/>
        <v>7.5079777499394165E-2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98.26</v>
      </c>
      <c r="E26" s="2"/>
      <c r="F26" s="7">
        <f t="shared" si="4"/>
        <v>2.4792470920697398E-3</v>
      </c>
      <c r="G26" s="2"/>
      <c r="H26" s="6"/>
      <c r="I26" s="2"/>
      <c r="J26" s="7">
        <f t="shared" si="5"/>
        <v>0</v>
      </c>
      <c r="K26" s="2"/>
      <c r="L26" s="6">
        <f t="shared" si="6"/>
        <v>98.26</v>
      </c>
      <c r="M26" s="2"/>
      <c r="N26" s="7">
        <f t="shared" si="7"/>
        <v>0</v>
      </c>
      <c r="O26" s="10"/>
      <c r="P26" s="6">
        <v>987.71</v>
      </c>
      <c r="Q26" s="2"/>
      <c r="R26" s="7">
        <f t="shared" si="8"/>
        <v>1.9097771401391376E-3</v>
      </c>
      <c r="S26" s="2"/>
      <c r="T26" s="6"/>
      <c r="U26" s="2"/>
      <c r="V26" s="7">
        <f t="shared" si="9"/>
        <v>0</v>
      </c>
      <c r="W26" s="2"/>
      <c r="X26" s="6">
        <f t="shared" si="10"/>
        <v>987.71</v>
      </c>
      <c r="Y26" s="2"/>
      <c r="Z26" s="7">
        <f t="shared" si="11"/>
        <v>0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520.02</v>
      </c>
      <c r="E27" s="2"/>
      <c r="F27" s="7">
        <f t="shared" si="4"/>
        <v>1.3120884111725076E-2</v>
      </c>
      <c r="G27" s="2"/>
      <c r="H27" s="6">
        <v>484.71</v>
      </c>
      <c r="I27" s="2"/>
      <c r="J27" s="7">
        <f t="shared" si="5"/>
        <v>1.9855398984106175E-2</v>
      </c>
      <c r="K27" s="2"/>
      <c r="L27" s="6">
        <f t="shared" si="6"/>
        <v>35.31</v>
      </c>
      <c r="M27" s="2"/>
      <c r="N27" s="7">
        <f t="shared" si="7"/>
        <v>7.2847682119205309E-2</v>
      </c>
      <c r="O27" s="10"/>
      <c r="P27" s="6">
        <v>6240.24</v>
      </c>
      <c r="Q27" s="2"/>
      <c r="R27" s="7">
        <f t="shared" si="8"/>
        <v>1.2065755840258629E-2</v>
      </c>
      <c r="S27" s="2"/>
      <c r="T27" s="6">
        <v>7948.51</v>
      </c>
      <c r="U27" s="2"/>
      <c r="V27" s="7">
        <f t="shared" si="9"/>
        <v>1.8515047752154672E-2</v>
      </c>
      <c r="W27" s="2"/>
      <c r="X27" s="6">
        <f t="shared" si="10"/>
        <v>-1708.2700000000004</v>
      </c>
      <c r="Y27" s="2"/>
      <c r="Z27" s="7">
        <f t="shared" si="11"/>
        <v>-0.21491700960305773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299.26</v>
      </c>
      <c r="E28" s="2"/>
      <c r="F28" s="7">
        <f t="shared" si="4"/>
        <v>7.5507783917442535E-3</v>
      </c>
      <c r="G28" s="2"/>
      <c r="H28" s="6">
        <v>281.62</v>
      </c>
      <c r="I28" s="2"/>
      <c r="J28" s="7">
        <f t="shared" si="5"/>
        <v>1.1536129772243159E-2</v>
      </c>
      <c r="K28" s="2"/>
      <c r="L28" s="6">
        <f t="shared" si="6"/>
        <v>17.639999999999986</v>
      </c>
      <c r="M28" s="2"/>
      <c r="N28" s="7">
        <f t="shared" si="7"/>
        <v>6.2637596761593584E-2</v>
      </c>
      <c r="O28" s="10"/>
      <c r="P28" s="6">
        <v>3591.13</v>
      </c>
      <c r="Q28" s="2"/>
      <c r="R28" s="7">
        <f t="shared" si="8"/>
        <v>6.9435947608790646E-3</v>
      </c>
      <c r="S28" s="2"/>
      <c r="T28" s="6">
        <v>4542.84</v>
      </c>
      <c r="U28" s="2"/>
      <c r="V28" s="7">
        <f t="shared" si="9"/>
        <v>1.0581970649895179E-2</v>
      </c>
      <c r="W28" s="2"/>
      <c r="X28" s="6">
        <f t="shared" si="10"/>
        <v>-951.71</v>
      </c>
      <c r="Y28" s="2"/>
      <c r="Z28" s="7">
        <f t="shared" si="11"/>
        <v>-0.2094967025032799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48</v>
      </c>
      <c r="I29" s="2"/>
      <c r="J29" s="7">
        <f t="shared" si="5"/>
        <v>1.9662461084712438E-3</v>
      </c>
      <c r="K29" s="2"/>
      <c r="L29" s="6">
        <f t="shared" si="6"/>
        <v>-48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3.1333601450928678E-3</v>
      </c>
      <c r="S29" s="2"/>
      <c r="T29" s="6">
        <v>1368.69</v>
      </c>
      <c r="U29" s="2"/>
      <c r="V29" s="7">
        <f t="shared" si="9"/>
        <v>3.1881900768693221E-3</v>
      </c>
      <c r="W29" s="2"/>
      <c r="X29" s="6">
        <f t="shared" si="10"/>
        <v>251.83999999999992</v>
      </c>
      <c r="Y29" s="2"/>
      <c r="Z29" s="7">
        <f t="shared" si="11"/>
        <v>0.18400075985066006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11834.07</v>
      </c>
      <c r="E30" s="1"/>
      <c r="F30" s="5">
        <f t="shared" ref="F30:F35" si="12">IF(D$12=0,0,D30/D$12)</f>
        <v>0.29859132541064265</v>
      </c>
      <c r="G30" s="1"/>
      <c r="H30" s="1">
        <f>SUM(OSRRefH22_1x_0)</f>
        <v>11619.55</v>
      </c>
      <c r="I30" s="1"/>
      <c r="J30" s="5">
        <f t="shared" ref="J30:J35" si="13">IF(H$12=0,0,H30/H$12)</f>
        <v>0.47597697853514664</v>
      </c>
      <c r="K30" s="1"/>
      <c r="L30" s="1">
        <f t="shared" ref="L30:L35" si="14">+D30-H30</f>
        <v>214.52000000000044</v>
      </c>
      <c r="M30" s="1"/>
      <c r="N30" s="5">
        <f t="shared" ref="N30:N35" si="15">IF(H30=0,0,L30/H30)</f>
        <v>1.8461988631229304E-2</v>
      </c>
      <c r="O30" s="12"/>
      <c r="P30" s="1">
        <f>SUM(OSRRefP22_1x_0)</f>
        <v>152168.48000000001</v>
      </c>
      <c r="Q30" s="1"/>
      <c r="R30" s="5">
        <f t="shared" ref="R30:R35" si="16">IF(P$12=0,0,P30/P$12)</f>
        <v>0.2942238962384906</v>
      </c>
      <c r="S30" s="1"/>
      <c r="T30" s="1">
        <f>SUM(OSRRefT22_1x_0)</f>
        <v>177189.44999999998</v>
      </c>
      <c r="U30" s="1"/>
      <c r="V30" s="5">
        <f t="shared" ref="V30:V35" si="17">IF(T$12=0,0,T30/T$12)</f>
        <v>0.41274039133473089</v>
      </c>
      <c r="W30" s="1"/>
      <c r="X30" s="1">
        <f t="shared" ref="X30:X35" si="18">+P30-T30</f>
        <v>-25020.969999999972</v>
      </c>
      <c r="Y30" s="1"/>
      <c r="Z30" s="5">
        <f t="shared" ref="Z30:Z35" si="19">IF(T30=0,0,X30/T30)</f>
        <v>-0.14121026957304725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4205.72</v>
      </c>
      <c r="E31" s="2"/>
      <c r="F31" s="7">
        <f t="shared" si="12"/>
        <v>0.10611661998839352</v>
      </c>
      <c r="G31" s="2"/>
      <c r="H31" s="6"/>
      <c r="I31" s="2"/>
      <c r="J31" s="7">
        <f t="shared" si="13"/>
        <v>0</v>
      </c>
      <c r="K31" s="2"/>
      <c r="L31" s="6">
        <f t="shared" si="14"/>
        <v>4205.72</v>
      </c>
      <c r="M31" s="2"/>
      <c r="N31" s="7">
        <f t="shared" si="15"/>
        <v>0</v>
      </c>
      <c r="O31" s="10"/>
      <c r="P31" s="6">
        <v>47945.16</v>
      </c>
      <c r="Q31" s="2"/>
      <c r="R31" s="7">
        <f t="shared" si="16"/>
        <v>9.2703901497720356E-2</v>
      </c>
      <c r="S31" s="2"/>
      <c r="T31" s="6"/>
      <c r="U31" s="2"/>
      <c r="V31" s="7">
        <f t="shared" si="17"/>
        <v>0</v>
      </c>
      <c r="W31" s="2"/>
      <c r="X31" s="6">
        <f t="shared" si="18"/>
        <v>47945.16</v>
      </c>
      <c r="Y31" s="2"/>
      <c r="Z31" s="7">
        <f t="shared" si="19"/>
        <v>0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>
        <v>2282.3000000000002</v>
      </c>
      <c r="E32" s="2"/>
      <c r="F32" s="7">
        <f t="shared" si="12"/>
        <v>5.7585850175358923E-2</v>
      </c>
      <c r="G32" s="2"/>
      <c r="H32" s="6">
        <v>5649.22</v>
      </c>
      <c r="I32" s="2"/>
      <c r="J32" s="7">
        <f t="shared" si="13"/>
        <v>0.23141160085203999</v>
      </c>
      <c r="K32" s="2"/>
      <c r="L32" s="6">
        <f t="shared" si="14"/>
        <v>-3366.92</v>
      </c>
      <c r="M32" s="2"/>
      <c r="N32" s="7">
        <f t="shared" si="15"/>
        <v>-0.59599732352430956</v>
      </c>
      <c r="O32" s="10"/>
      <c r="P32" s="6">
        <v>25789.98</v>
      </c>
      <c r="Q32" s="2"/>
      <c r="R32" s="7">
        <f t="shared" si="16"/>
        <v>4.9865966982864968E-2</v>
      </c>
      <c r="S32" s="2"/>
      <c r="T32" s="6">
        <v>64280.81</v>
      </c>
      <c r="U32" s="2"/>
      <c r="V32" s="7">
        <f t="shared" si="17"/>
        <v>0.14973400885161892</v>
      </c>
      <c r="W32" s="2"/>
      <c r="X32" s="6">
        <f t="shared" si="18"/>
        <v>-38490.83</v>
      </c>
      <c r="Y32" s="2"/>
      <c r="Z32" s="7">
        <f t="shared" si="19"/>
        <v>-0.59879192561512529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>
        <v>5346.05</v>
      </c>
      <c r="E33" s="2"/>
      <c r="F33" s="7">
        <f t="shared" si="12"/>
        <v>0.13488885524689023</v>
      </c>
      <c r="G33" s="2"/>
      <c r="H33" s="6">
        <v>5970.33</v>
      </c>
      <c r="I33" s="2"/>
      <c r="J33" s="7">
        <f t="shared" si="13"/>
        <v>0.24456537768310666</v>
      </c>
      <c r="K33" s="2"/>
      <c r="L33" s="6">
        <f t="shared" si="14"/>
        <v>-624.27999999999975</v>
      </c>
      <c r="M33" s="2"/>
      <c r="N33" s="7">
        <f t="shared" si="15"/>
        <v>-0.10456373433294303</v>
      </c>
      <c r="O33" s="10"/>
      <c r="P33" s="6">
        <v>70243.679999999993</v>
      </c>
      <c r="Q33" s="2"/>
      <c r="R33" s="7">
        <f t="shared" si="16"/>
        <v>0.13581898968649575</v>
      </c>
      <c r="S33" s="2"/>
      <c r="T33" s="6">
        <v>81200.490000000005</v>
      </c>
      <c r="U33" s="2"/>
      <c r="V33" s="7">
        <f t="shared" si="17"/>
        <v>0.18914626135569532</v>
      </c>
      <c r="W33" s="2"/>
      <c r="X33" s="6">
        <f t="shared" si="18"/>
        <v>-10956.810000000012</v>
      </c>
      <c r="Y33" s="2"/>
      <c r="Z33" s="7">
        <f t="shared" si="19"/>
        <v>-0.1349352694792853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0"/>
      <c r="P34" s="6">
        <v>4277.78</v>
      </c>
      <c r="Q34" s="2"/>
      <c r="R34" s="7">
        <f t="shared" si="16"/>
        <v>8.2712602429300085E-3</v>
      </c>
      <c r="S34" s="2"/>
      <c r="T34" s="6">
        <v>25787.41</v>
      </c>
      <c r="U34" s="2"/>
      <c r="V34" s="7">
        <f t="shared" si="17"/>
        <v>6.0068506871651522E-2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7.5637778284795027E-3</v>
      </c>
      <c r="S35" s="2"/>
      <c r="T35" s="6">
        <v>5920.74</v>
      </c>
      <c r="U35" s="2"/>
      <c r="V35" s="7">
        <f t="shared" si="17"/>
        <v>1.3791614255765198E-2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1911.81</v>
      </c>
      <c r="I36" s="1"/>
      <c r="J36" s="5">
        <f t="shared" ref="J36:J44" si="21">IF(H$12=0,0,H36/H$12)</f>
        <v>7.8314353596591835E-2</v>
      </c>
      <c r="K36" s="1"/>
      <c r="L36" s="1">
        <f t="shared" ref="L36:L44" si="22">+D36-H36</f>
        <v>-1911.81</v>
      </c>
      <c r="M36" s="1"/>
      <c r="N36" s="5">
        <f t="shared" ref="N36:N44" si="23">IF(H36=0,0,L36/H36)</f>
        <v>-1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2066.92</v>
      </c>
      <c r="U36" s="1"/>
      <c r="V36" s="5">
        <f t="shared" ref="V36:V44" si="25">IF(T$12=0,0,T36/T$12)</f>
        <v>4.8146284649429301E-3</v>
      </c>
      <c r="W36" s="1"/>
      <c r="X36" s="1">
        <f t="shared" ref="X36:X44" si="26">+P36-T36</f>
        <v>-2066.92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>
        <v>1911.81</v>
      </c>
      <c r="I37" s="2"/>
      <c r="J37" s="7">
        <f t="shared" si="21"/>
        <v>7.8314353596591835E-2</v>
      </c>
      <c r="K37" s="2"/>
      <c r="L37" s="6">
        <f t="shared" si="22"/>
        <v>-1911.81</v>
      </c>
      <c r="M37" s="2"/>
      <c r="N37" s="7">
        <f t="shared" si="23"/>
        <v>-1</v>
      </c>
      <c r="O37" s="10"/>
      <c r="P37" s="6"/>
      <c r="Q37" s="2"/>
      <c r="R37" s="7">
        <f t="shared" si="24"/>
        <v>0</v>
      </c>
      <c r="S37" s="2"/>
      <c r="T37" s="6">
        <v>2066.92</v>
      </c>
      <c r="U37" s="2"/>
      <c r="V37" s="7">
        <f t="shared" si="25"/>
        <v>4.8146284649429301E-3</v>
      </c>
      <c r="W37" s="2"/>
      <c r="X37" s="6">
        <f t="shared" si="26"/>
        <v>-2066.92</v>
      </c>
      <c r="Y37" s="2"/>
      <c r="Z37" s="7">
        <f t="shared" si="27"/>
        <v>-1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5257.31</v>
      </c>
      <c r="E38" s="1"/>
      <c r="F38" s="5">
        <f t="shared" si="20"/>
        <v>0.13264981202533244</v>
      </c>
      <c r="G38" s="1"/>
      <c r="H38" s="1">
        <f>SUM(OSRRefH22_3x_0)</f>
        <v>43.26</v>
      </c>
      <c r="I38" s="1"/>
      <c r="J38" s="5">
        <f t="shared" si="21"/>
        <v>1.7720793052597083E-3</v>
      </c>
      <c r="K38" s="1"/>
      <c r="L38" s="1">
        <f t="shared" si="22"/>
        <v>5214.05</v>
      </c>
      <c r="M38" s="1"/>
      <c r="N38" s="5">
        <f t="shared" si="23"/>
        <v>120.5282015718909</v>
      </c>
      <c r="O38" s="12"/>
      <c r="P38" s="1">
        <f>SUM(OSRRefP22_3x_0)</f>
        <v>6061.25</v>
      </c>
      <c r="Q38" s="1"/>
      <c r="R38" s="5">
        <f t="shared" si="24"/>
        <v>1.1719671452823549E-2</v>
      </c>
      <c r="S38" s="1"/>
      <c r="T38" s="1">
        <f>SUM(OSRRefT22_3x_0)</f>
        <v>17833.88</v>
      </c>
      <c r="U38" s="1"/>
      <c r="V38" s="5">
        <f t="shared" si="25"/>
        <v>4.1541765665036111E-2</v>
      </c>
      <c r="W38" s="1"/>
      <c r="X38" s="1">
        <f t="shared" si="26"/>
        <v>-11772.630000000001</v>
      </c>
      <c r="Y38" s="1"/>
      <c r="Z38" s="5">
        <f t="shared" si="27"/>
        <v>-0.66012724095934261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5257.31</v>
      </c>
      <c r="E39" s="2"/>
      <c r="F39" s="7">
        <f t="shared" si="20"/>
        <v>0.13264981202533244</v>
      </c>
      <c r="G39" s="2"/>
      <c r="H39" s="6">
        <v>43.26</v>
      </c>
      <c r="I39" s="2"/>
      <c r="J39" s="7">
        <f t="shared" si="21"/>
        <v>1.7720793052597083E-3</v>
      </c>
      <c r="K39" s="2"/>
      <c r="L39" s="6">
        <f t="shared" si="22"/>
        <v>5214.05</v>
      </c>
      <c r="M39" s="2"/>
      <c r="N39" s="7">
        <f t="shared" si="23"/>
        <v>120.5282015718909</v>
      </c>
      <c r="O39" s="10"/>
      <c r="P39" s="6">
        <v>6061.25</v>
      </c>
      <c r="Q39" s="2"/>
      <c r="R39" s="7">
        <f t="shared" si="24"/>
        <v>1.1719671452823549E-2</v>
      </c>
      <c r="S39" s="2"/>
      <c r="T39" s="6">
        <v>17833.88</v>
      </c>
      <c r="U39" s="2"/>
      <c r="V39" s="7">
        <f t="shared" si="25"/>
        <v>4.1541765665036111E-2</v>
      </c>
      <c r="W39" s="2"/>
      <c r="X39" s="6">
        <f t="shared" si="26"/>
        <v>-11772.630000000001</v>
      </c>
      <c r="Y39" s="2"/>
      <c r="Z39" s="7">
        <f t="shared" si="27"/>
        <v>-0.66012724095934261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1.4963894712322385E-4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1.4963894712322385E-4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4.0991055442336024E-6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3.1323353687068096E-6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9.66770175526793E-7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1.1027253668763104E-4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7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1.1027253668763104E-4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5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7.3196578608735146E-4</v>
      </c>
      <c r="G47" s="1"/>
      <c r="H47" s="1">
        <f>SUM(OSRRefH22_7x_0)</f>
        <v>29.01</v>
      </c>
      <c r="I47" s="1"/>
      <c r="J47" s="5">
        <f t="shared" si="29"/>
        <v>1.1883499918073079E-3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319.11</v>
      </c>
      <c r="Q47" s="1"/>
      <c r="R47" s="5">
        <f t="shared" si="32"/>
        <v>6.1701206142470994E-4</v>
      </c>
      <c r="S47" s="1"/>
      <c r="T47" s="1">
        <f>SUM(OSRRefT22_7x_0)</f>
        <v>319.11</v>
      </c>
      <c r="U47" s="1"/>
      <c r="V47" s="5">
        <f t="shared" si="33"/>
        <v>7.4332634521313769E-4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7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7.3196578608735146E-4</v>
      </c>
      <c r="G48" s="2"/>
      <c r="H48" s="6">
        <v>29.01</v>
      </c>
      <c r="I48" s="2"/>
      <c r="J48" s="7">
        <f t="shared" si="29"/>
        <v>1.1883499918073079E-3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319.11</v>
      </c>
      <c r="Q48" s="2"/>
      <c r="R48" s="7">
        <f t="shared" si="32"/>
        <v>6.1701206142470994E-4</v>
      </c>
      <c r="S48" s="2"/>
      <c r="T48" s="6">
        <v>319.11</v>
      </c>
      <c r="U48" s="2"/>
      <c r="V48" s="7">
        <f t="shared" si="33"/>
        <v>7.4332634521313769E-4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2.018519920268463E-2</v>
      </c>
      <c r="G49" s="1"/>
      <c r="H49" s="1">
        <f>SUM(OSRRefH22_8x_0)</f>
        <v>800</v>
      </c>
      <c r="I49" s="1"/>
      <c r="J49" s="5">
        <f t="shared" si="29"/>
        <v>3.2770768474520727E-2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8800</v>
      </c>
      <c r="Q49" s="1"/>
      <c r="R49" s="5">
        <f t="shared" si="32"/>
        <v>1.7015155089271559E-2</v>
      </c>
      <c r="S49" s="1"/>
      <c r="T49" s="1">
        <f>SUM(OSRRefT22_8x_0)</f>
        <v>7200</v>
      </c>
      <c r="U49" s="1"/>
      <c r="V49" s="5">
        <f t="shared" si="33"/>
        <v>1.6771488469601678E-2</v>
      </c>
      <c r="W49" s="1"/>
      <c r="X49" s="1">
        <f t="shared" si="34"/>
        <v>1600</v>
      </c>
      <c r="Y49" s="1"/>
      <c r="Z49" s="5">
        <f t="shared" si="35"/>
        <v>0.22222222222222221</v>
      </c>
    </row>
    <row r="50" spans="1:26" s="23" customFormat="1" hidden="1" outlineLevel="2" x14ac:dyDescent="0.25">
      <c r="A50" s="27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2.018519920268463E-2</v>
      </c>
      <c r="G50" s="2"/>
      <c r="H50" s="6">
        <v>800</v>
      </c>
      <c r="I50" s="2"/>
      <c r="J50" s="7">
        <f t="shared" si="29"/>
        <v>3.2770768474520727E-2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8800</v>
      </c>
      <c r="Q50" s="2"/>
      <c r="R50" s="7">
        <f t="shared" si="32"/>
        <v>1.7015155089271559E-2</v>
      </c>
      <c r="S50" s="2"/>
      <c r="T50" s="6">
        <v>7200</v>
      </c>
      <c r="U50" s="2"/>
      <c r="V50" s="7">
        <f t="shared" si="33"/>
        <v>1.6771488469601678E-2</v>
      </c>
      <c r="W50" s="2"/>
      <c r="X50" s="6">
        <f t="shared" si="34"/>
        <v>1600</v>
      </c>
      <c r="Y50" s="2"/>
      <c r="Z50" s="7">
        <f t="shared" si="35"/>
        <v>0.22222222222222221</v>
      </c>
    </row>
    <row r="51" spans="1:26" s="26" customFormat="1" outlineLevel="1" collapsed="1" x14ac:dyDescent="0.25">
      <c r="A51" s="25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5436</v>
      </c>
      <c r="E51" s="1"/>
      <c r="F51" s="5">
        <f t="shared" si="28"/>
        <v>0.13715842858224206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5436</v>
      </c>
      <c r="M51" s="1"/>
      <c r="N51" s="5">
        <f t="shared" si="31"/>
        <v>0</v>
      </c>
      <c r="O51" s="12"/>
      <c r="P51" s="1">
        <f>SUM(OSRRefP22_9x_0)</f>
        <v>154932.13</v>
      </c>
      <c r="Q51" s="1"/>
      <c r="R51" s="5">
        <f t="shared" si="32"/>
        <v>0.29956752502967987</v>
      </c>
      <c r="S51" s="1"/>
      <c r="T51" s="1">
        <f>SUM(OSRRefT22_9x_0)</f>
        <v>118520.76</v>
      </c>
      <c r="U51" s="1"/>
      <c r="V51" s="5">
        <f t="shared" si="33"/>
        <v>0.27607910552061493</v>
      </c>
      <c r="W51" s="1"/>
      <c r="X51" s="1">
        <f t="shared" si="34"/>
        <v>36411.37000000001</v>
      </c>
      <c r="Y51" s="1"/>
      <c r="Z51" s="5">
        <f t="shared" si="35"/>
        <v>0.30721512416896424</v>
      </c>
    </row>
    <row r="52" spans="1:26" s="23" customFormat="1" hidden="1" outlineLevel="2" x14ac:dyDescent="0.25">
      <c r="A52" s="27"/>
      <c r="B52" s="10" t="str">
        <f>CONCATENATE("          ", "6371", " - ", "COMPUTER SOFTWARE MAINTENANCE")</f>
        <v xml:space="preserve">          6371 - COMPUTER SOFTWARE MAINTENANCE</v>
      </c>
      <c r="C52" s="10"/>
      <c r="D52" s="6">
        <v>5436</v>
      </c>
      <c r="E52" s="2"/>
      <c r="F52" s="7">
        <f t="shared" si="28"/>
        <v>0.13715842858224206</v>
      </c>
      <c r="G52" s="2"/>
      <c r="H52" s="6"/>
      <c r="I52" s="2"/>
      <c r="J52" s="7">
        <f t="shared" si="29"/>
        <v>0</v>
      </c>
      <c r="K52" s="2"/>
      <c r="L52" s="6">
        <f t="shared" si="30"/>
        <v>5436</v>
      </c>
      <c r="M52" s="2"/>
      <c r="N52" s="7">
        <f t="shared" si="31"/>
        <v>0</v>
      </c>
      <c r="O52" s="10"/>
      <c r="P52" s="6">
        <v>5436</v>
      </c>
      <c r="Q52" s="2"/>
      <c r="R52" s="7">
        <f t="shared" si="32"/>
        <v>1.0510725348327294E-2</v>
      </c>
      <c r="S52" s="2"/>
      <c r="T52" s="6">
        <v>437.31</v>
      </c>
      <c r="U52" s="2"/>
      <c r="V52" s="7">
        <f t="shared" si="33"/>
        <v>1.0186582809224318E-3</v>
      </c>
      <c r="W52" s="2"/>
      <c r="X52" s="6">
        <f t="shared" si="34"/>
        <v>4998.6899999999996</v>
      </c>
      <c r="Y52" s="2"/>
      <c r="Z52" s="7">
        <f t="shared" si="35"/>
        <v>11.430541263634492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0.27636890789773894</v>
      </c>
      <c r="S53" s="2"/>
      <c r="T53" s="6">
        <v>117094</v>
      </c>
      <c r="U53" s="2"/>
      <c r="V53" s="7">
        <f t="shared" si="33"/>
        <v>0.27275564873049152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>
        <v>6562</v>
      </c>
      <c r="Q54" s="2"/>
      <c r="R54" s="7">
        <f t="shared" si="32"/>
        <v>1.2687891783613632E-2</v>
      </c>
      <c r="S54" s="2"/>
      <c r="T54" s="6">
        <v>989.45</v>
      </c>
      <c r="U54" s="2"/>
      <c r="V54" s="7">
        <f t="shared" si="33"/>
        <v>2.3047985092010249E-3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915</v>
      </c>
      <c r="I55" s="1"/>
      <c r="J55" s="5">
        <f t="shared" ref="J55:J60" si="37">IF(H$12=0,0,H55/H$12)</f>
        <v>3.748156644273308E-2</v>
      </c>
      <c r="K55" s="1"/>
      <c r="L55" s="1">
        <f t="shared" ref="L55:L60" si="38">+D55-H55</f>
        <v>-915</v>
      </c>
      <c r="M55" s="1"/>
      <c r="N55" s="5">
        <f t="shared" ref="N55:N60" si="39">IF(H55=0,0,L55/H55)</f>
        <v>-1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1740</v>
      </c>
      <c r="U55" s="1"/>
      <c r="V55" s="5">
        <f t="shared" ref="V55:V60" si="41">IF(T$12=0,0,T55/T$12)</f>
        <v>4.0531097134870716E-3</v>
      </c>
      <c r="W55" s="1"/>
      <c r="X55" s="1">
        <f t="shared" ref="X55:X60" si="42">+P55-T55</f>
        <v>-1740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>
        <v>915</v>
      </c>
      <c r="I56" s="2"/>
      <c r="J56" s="7">
        <f t="shared" si="37"/>
        <v>3.748156644273308E-2</v>
      </c>
      <c r="K56" s="2"/>
      <c r="L56" s="6">
        <f t="shared" si="38"/>
        <v>-915</v>
      </c>
      <c r="M56" s="2"/>
      <c r="N56" s="7">
        <f t="shared" si="39"/>
        <v>-1</v>
      </c>
      <c r="O56" s="10"/>
      <c r="P56" s="6"/>
      <c r="Q56" s="2"/>
      <c r="R56" s="7">
        <f t="shared" si="40"/>
        <v>0</v>
      </c>
      <c r="S56" s="2"/>
      <c r="T56" s="6">
        <v>1740</v>
      </c>
      <c r="U56" s="2"/>
      <c r="V56" s="7">
        <f t="shared" si="41"/>
        <v>4.0531097134870716E-3</v>
      </c>
      <c r="W56" s="2"/>
      <c r="X56" s="6">
        <f t="shared" si="42"/>
        <v>-1740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4277.7</v>
      </c>
      <c r="E57" s="1"/>
      <c r="F57" s="5">
        <f t="shared" si="36"/>
        <v>0.10793278328665505</v>
      </c>
      <c r="G57" s="1"/>
      <c r="H57" s="1">
        <f>SUM(OSRRefH22_11x_0)</f>
        <v>5.78</v>
      </c>
      <c r="I57" s="1"/>
      <c r="J57" s="5">
        <f t="shared" si="37"/>
        <v>2.3676880222841227E-4</v>
      </c>
      <c r="K57" s="1"/>
      <c r="L57" s="1">
        <f t="shared" si="38"/>
        <v>4271.92</v>
      </c>
      <c r="M57" s="1"/>
      <c r="N57" s="5">
        <f t="shared" si="39"/>
        <v>739.08650519031141</v>
      </c>
      <c r="O57" s="12"/>
      <c r="P57" s="1">
        <f>SUM(OSRRefP22_11x_0)</f>
        <v>48839.59</v>
      </c>
      <c r="Q57" s="1"/>
      <c r="R57" s="5">
        <f t="shared" si="40"/>
        <v>9.4433317993913204E-2</v>
      </c>
      <c r="S57" s="1"/>
      <c r="T57" s="1">
        <f>SUM(OSRRefT22_11x_0)</f>
        <v>24962.36</v>
      </c>
      <c r="U57" s="1"/>
      <c r="V57" s="5">
        <f t="shared" si="41"/>
        <v>5.8146657349173077E-2</v>
      </c>
      <c r="W57" s="1"/>
      <c r="X57" s="1">
        <f t="shared" si="42"/>
        <v>23877.229999999996</v>
      </c>
      <c r="Y57" s="1"/>
      <c r="Z57" s="5">
        <f t="shared" si="43"/>
        <v>0.95652935059024846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9.6266014442115066E-4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4277.7</v>
      </c>
      <c r="E59" s="2"/>
      <c r="F59" s="7">
        <f t="shared" si="36"/>
        <v>0.10793278328665505</v>
      </c>
      <c r="G59" s="2"/>
      <c r="H59" s="6">
        <v>5.78</v>
      </c>
      <c r="I59" s="2"/>
      <c r="J59" s="7">
        <f t="shared" si="37"/>
        <v>2.3676880222841227E-4</v>
      </c>
      <c r="K59" s="2"/>
      <c r="L59" s="6">
        <f t="shared" si="38"/>
        <v>4271.92</v>
      </c>
      <c r="M59" s="2"/>
      <c r="N59" s="7">
        <f t="shared" si="39"/>
        <v>739.08650519031141</v>
      </c>
      <c r="O59" s="10"/>
      <c r="P59" s="6">
        <v>48839.59</v>
      </c>
      <c r="Q59" s="2"/>
      <c r="R59" s="7">
        <f t="shared" si="40"/>
        <v>9.4433317993913204E-2</v>
      </c>
      <c r="S59" s="2"/>
      <c r="T59" s="6">
        <v>24345.57</v>
      </c>
      <c r="U59" s="2"/>
      <c r="V59" s="7">
        <f t="shared" si="41"/>
        <v>5.6709923130677846E-2</v>
      </c>
      <c r="W59" s="2"/>
      <c r="X59" s="6">
        <f t="shared" si="42"/>
        <v>24494.019999999997</v>
      </c>
      <c r="Y59" s="2"/>
      <c r="Z59" s="7">
        <f t="shared" si="43"/>
        <v>1.0060976185811217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4.7407407407407408E-4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87.8</v>
      </c>
      <c r="E61" s="1"/>
      <c r="F61" s="5">
        <f t="shared" ref="F61:F64" si="44">IF(D$12=0,0,D61/D$12)</f>
        <v>2.2153256124946381E-3</v>
      </c>
      <c r="G61" s="1"/>
      <c r="H61" s="1">
        <f>SUM(OSRRefH22_12x_0)</f>
        <v>203.95</v>
      </c>
      <c r="I61" s="1"/>
      <c r="J61" s="5">
        <f t="shared" ref="J61:J64" si="45">IF(H$12=0,0,H61/H$12)</f>
        <v>8.3544977879731266E-3</v>
      </c>
      <c r="K61" s="1"/>
      <c r="L61" s="1">
        <f t="shared" ref="L61:L64" si="46">+D61-H61</f>
        <v>-116.14999999999999</v>
      </c>
      <c r="M61" s="1"/>
      <c r="N61" s="5">
        <f t="shared" ref="N61:N64" si="47">IF(H61=0,0,L61/H61)</f>
        <v>-0.56950232900220643</v>
      </c>
      <c r="O61" s="12"/>
      <c r="P61" s="1">
        <f>SUM(OSRRefP22_12x_0)</f>
        <v>1886.73</v>
      </c>
      <c r="Q61" s="1"/>
      <c r="R61" s="5">
        <f t="shared" ref="R61:R64" si="48">IF(P$12=0,0,P61/P$12)</f>
        <v>3.6480685865433325E-3</v>
      </c>
      <c r="S61" s="1"/>
      <c r="T61" s="1">
        <f>SUM(OSRRefT22_12x_0)</f>
        <v>2097.5500000000002</v>
      </c>
      <c r="U61" s="1"/>
      <c r="V61" s="5">
        <f t="shared" ref="V61:V64" si="49">IF(T$12=0,0,T61/T$12)</f>
        <v>4.8859771721406946E-3</v>
      </c>
      <c r="W61" s="1"/>
      <c r="X61" s="1">
        <f t="shared" ref="X61:X64" si="50">+P61-T61</f>
        <v>-210.82000000000016</v>
      </c>
      <c r="Y61" s="1"/>
      <c r="Z61" s="5">
        <f t="shared" ref="Z61:Z64" si="51">IF(T61=0,0,X61/T61)</f>
        <v>-0.10050773521489363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87.8</v>
      </c>
      <c r="E62" s="2"/>
      <c r="F62" s="7">
        <f t="shared" si="44"/>
        <v>2.2153256124946381E-3</v>
      </c>
      <c r="G62" s="2"/>
      <c r="H62" s="6">
        <v>203.95</v>
      </c>
      <c r="I62" s="2"/>
      <c r="J62" s="7">
        <f t="shared" si="45"/>
        <v>8.3544977879731266E-3</v>
      </c>
      <c r="K62" s="2"/>
      <c r="L62" s="6">
        <f t="shared" si="46"/>
        <v>-116.14999999999999</v>
      </c>
      <c r="M62" s="2"/>
      <c r="N62" s="7">
        <f t="shared" si="47"/>
        <v>-0.56950232900220643</v>
      </c>
      <c r="O62" s="10"/>
      <c r="P62" s="6">
        <v>1886.73</v>
      </c>
      <c r="Q62" s="2"/>
      <c r="R62" s="7">
        <f t="shared" si="48"/>
        <v>3.6480685865433325E-3</v>
      </c>
      <c r="S62" s="2"/>
      <c r="T62" s="6">
        <v>2097.5500000000002</v>
      </c>
      <c r="U62" s="2"/>
      <c r="V62" s="7">
        <f t="shared" si="49"/>
        <v>4.8859771721406946E-3</v>
      </c>
      <c r="W62" s="2"/>
      <c r="X62" s="6">
        <f t="shared" si="50"/>
        <v>-210.82000000000016</v>
      </c>
      <c r="Y62" s="2"/>
      <c r="Z62" s="7">
        <f t="shared" si="51"/>
        <v>-0.10050773521489363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7.4219426974143953E-3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7.4219426974143953E-3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57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9" t="s">
        <v>292</v>
      </c>
      <c r="C66" s="11"/>
      <c r="D66" s="4">
        <f>SUM(OSRRefD25x_0)</f>
        <v>338.23</v>
      </c>
      <c r="E66" s="4"/>
      <c r="F66" s="13">
        <f t="shared" ref="F66:F67" si="52">IF(D$12=0,0,D66/D$12)</f>
        <v>8.5340499079050291E-3</v>
      </c>
      <c r="G66" s="4"/>
      <c r="H66" s="4">
        <f>SUM(OSRRefH25x_0)</f>
        <v>152.96</v>
      </c>
      <c r="I66" s="4"/>
      <c r="J66" s="13">
        <f t="shared" ref="J66:J67" si="53">IF(H$12=0,0,H66/H$12)</f>
        <v>6.2657709323283633E-3</v>
      </c>
      <c r="K66" s="4"/>
      <c r="L66" s="4">
        <f t="shared" ref="L66:L67" si="54">+D66-H66</f>
        <v>185.27</v>
      </c>
      <c r="M66" s="4"/>
      <c r="N66" s="13">
        <f t="shared" ref="N66:N67" si="55">IF(H66=0,0,L66/H66)</f>
        <v>1.2112316945606694</v>
      </c>
      <c r="O66" s="11"/>
      <c r="P66" s="4">
        <f>SUM(OSRRefP25x_0)</f>
        <v>2498.35</v>
      </c>
      <c r="Q66" s="4"/>
      <c r="R66" s="13">
        <f t="shared" ref="R66:R67" si="56">IF(P$12=0,0,P66/P$12)</f>
        <v>4.8306605360547272E-3</v>
      </c>
      <c r="S66" s="4"/>
      <c r="T66" s="4">
        <f>SUM(OSRRefT25x_0)</f>
        <v>20670.71</v>
      </c>
      <c r="U66" s="4"/>
      <c r="V66" s="13">
        <f t="shared" ref="V66:V67" si="57">IF(T$12=0,0,T66/T$12)</f>
        <v>4.8149802003261119E-2</v>
      </c>
      <c r="W66" s="4"/>
      <c r="X66" s="4">
        <f t="shared" ref="X66:X67" si="58">+P66-T66</f>
        <v>-18172.36</v>
      </c>
      <c r="Y66" s="4"/>
      <c r="Z66" s="13">
        <f t="shared" ref="Z66:Z67" si="59">IF(T66=0,0,X66/T66)</f>
        <v>-0.87913574328119359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--338.23</f>
        <v>338.23</v>
      </c>
      <c r="E67" s="2"/>
      <c r="F67" s="19">
        <f t="shared" si="52"/>
        <v>8.5340499079050291E-3</v>
      </c>
      <c r="G67" s="2"/>
      <c r="H67" s="2">
        <f>--152.96</f>
        <v>152.96</v>
      </c>
      <c r="I67" s="2"/>
      <c r="J67" s="19">
        <f t="shared" si="53"/>
        <v>6.2657709323283633E-3</v>
      </c>
      <c r="K67" s="2"/>
      <c r="L67" s="2">
        <f t="shared" si="54"/>
        <v>185.27</v>
      </c>
      <c r="M67" s="2"/>
      <c r="N67" s="19">
        <f t="shared" si="55"/>
        <v>1.2112316945606694</v>
      </c>
      <c r="O67" s="10"/>
      <c r="P67" s="2">
        <f>--2498.35</f>
        <v>2498.35</v>
      </c>
      <c r="Q67" s="2"/>
      <c r="R67" s="19">
        <f t="shared" si="56"/>
        <v>4.8306605360547272E-3</v>
      </c>
      <c r="S67" s="2"/>
      <c r="T67" s="2">
        <f>--20670.71</f>
        <v>20670.71</v>
      </c>
      <c r="U67" s="2"/>
      <c r="V67" s="19">
        <f t="shared" si="57"/>
        <v>4.8149802003261119E-2</v>
      </c>
      <c r="W67" s="2"/>
      <c r="X67" s="2">
        <f t="shared" si="58"/>
        <v>-18172.36</v>
      </c>
      <c r="Y67" s="2"/>
      <c r="Z67" s="19">
        <f t="shared" si="59"/>
        <v>-0.87913574328119359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8" t="s">
        <v>276</v>
      </c>
      <c r="C69" s="28"/>
      <c r="D69" s="20">
        <f>+D17-D19+D66</f>
        <v>8426.4399999999987</v>
      </c>
      <c r="E69" s="14"/>
      <c r="F69" s="21">
        <f>IF(D$12=0,0,D69/D$12)</f>
        <v>0.21261171246183733</v>
      </c>
      <c r="G69" s="14"/>
      <c r="H69" s="20">
        <f>+H17-H19+H66</f>
        <v>5307.5900000000047</v>
      </c>
      <c r="I69" s="14"/>
      <c r="J69" s="21">
        <f>IF(H$12=0,0,H69/H$12)</f>
        <v>0.21741725380960203</v>
      </c>
      <c r="K69" s="15"/>
      <c r="L69" s="20">
        <f>+D69-H69</f>
        <v>3118.849999999994</v>
      </c>
      <c r="M69" s="15"/>
      <c r="N69" s="21">
        <f>IF(H69=0,0,L69/H69)</f>
        <v>0.58762074689265587</v>
      </c>
      <c r="O69" s="29"/>
      <c r="P69" s="20">
        <f>+P17-P19+P66</f>
        <v>99906.260000000038</v>
      </c>
      <c r="Q69" s="14"/>
      <c r="R69" s="21">
        <f>IF(P$12=0,0,P69/P$12)</f>
        <v>0.19317278503285093</v>
      </c>
      <c r="S69" s="14"/>
      <c r="T69" s="20">
        <f>+T17-T19+T66</f>
        <v>45972.21999999995</v>
      </c>
      <c r="U69" s="14"/>
      <c r="V69" s="21">
        <f>IF(T$12=0,0,T69/T$12)</f>
        <v>0.10708646634055427</v>
      </c>
      <c r="W69" s="15"/>
      <c r="X69" s="20">
        <f>+P69-T69</f>
        <v>53934.040000000088</v>
      </c>
      <c r="Y69" s="15"/>
      <c r="Z69" s="21">
        <f>IF(T69=0,0,X69/T69)</f>
        <v>1.1731876337492544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10611.71</v>
      </c>
      <c r="E71" s="4"/>
      <c r="F71" s="13">
        <f>IF(D$12=0,0,D71/D$12)</f>
        <v>0.26774935028890062</v>
      </c>
      <c r="G71" s="4"/>
      <c r="H71" s="4">
        <v>4865.82</v>
      </c>
      <c r="I71" s="4"/>
      <c r="J71" s="13">
        <f>IF(H$12=0,0,H71/H$12)</f>
        <v>0.19932082582336555</v>
      </c>
      <c r="K71" s="4"/>
      <c r="L71" s="4">
        <f>+D71-H71</f>
        <v>5745.8899999999994</v>
      </c>
      <c r="M71" s="4"/>
      <c r="N71" s="13">
        <f>IF(H71=0,0,L71/H71)</f>
        <v>1.1808677674061103</v>
      </c>
      <c r="O71" s="11"/>
      <c r="P71" s="4">
        <v>110517.74</v>
      </c>
      <c r="Q71" s="4"/>
      <c r="R71" s="13">
        <f>IF(P$12=0,0,P71/P$12)</f>
        <v>0.21369050979724896</v>
      </c>
      <c r="S71" s="4"/>
      <c r="T71" s="4">
        <v>50837.95</v>
      </c>
      <c r="U71" s="4"/>
      <c r="V71" s="13">
        <f>IF(T$12=0,0,T71/T$12)</f>
        <v>0.11842056836710924</v>
      </c>
      <c r="W71" s="4"/>
      <c r="X71" s="4">
        <f>+P71-T71</f>
        <v>59679.790000000008</v>
      </c>
      <c r="Y71" s="4"/>
      <c r="Z71" s="13">
        <f>IF(T71=0,0,X71/T71)</f>
        <v>1.1739220405228774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8" t="s">
        <v>125</v>
      </c>
      <c r="C73" s="28"/>
      <c r="D73" s="35">
        <f>+D69-D71</f>
        <v>-2185.2700000000004</v>
      </c>
      <c r="E73" s="14"/>
      <c r="F73" s="36">
        <f>IF(D$12=0,0,D73/D$12)</f>
        <v>-5.5137637827063317E-2</v>
      </c>
      <c r="G73" s="14"/>
      <c r="H73" s="35">
        <f>+H69-H71</f>
        <v>441.77000000000498</v>
      </c>
      <c r="I73" s="14"/>
      <c r="J73" s="36">
        <f>IF(H$12=0,0,H73/H$12)</f>
        <v>1.8096427986236483E-2</v>
      </c>
      <c r="K73" s="15"/>
      <c r="L73" s="35">
        <f>D73-H73</f>
        <v>-2627.0400000000054</v>
      </c>
      <c r="M73" s="15"/>
      <c r="N73" s="36">
        <f>IF(H73=0,0,L73/H73)</f>
        <v>-5.946623808769214</v>
      </c>
      <c r="O73" s="29"/>
      <c r="P73" s="35">
        <f>+P69-P71</f>
        <v>-10611.479999999967</v>
      </c>
      <c r="Q73" s="14"/>
      <c r="R73" s="36">
        <f>IF(P$12=0,0,P73/P$12)</f>
        <v>-2.0517724764398042E-2</v>
      </c>
      <c r="S73" s="14"/>
      <c r="T73" s="35">
        <f>+T69-T71</f>
        <v>-4865.7300000000469</v>
      </c>
      <c r="U73" s="14"/>
      <c r="V73" s="36">
        <f>IF(T$12=0,0,T73/T$12)</f>
        <v>-1.1334102026554965E-2</v>
      </c>
      <c r="W73" s="15"/>
      <c r="X73" s="35">
        <f>P73-T73</f>
        <v>-5745.74999999992</v>
      </c>
      <c r="Y73" s="15"/>
      <c r="Z73" s="36">
        <f>IF(T73=0,0,X73/T73)</f>
        <v>1.1808608369144742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8" t="s">
        <v>293</v>
      </c>
      <c r="C76" s="28"/>
      <c r="D76" s="30">
        <f>SUM(D73:D75)</f>
        <v>-2185.2700000000004</v>
      </c>
      <c r="E76" s="14"/>
      <c r="F76" s="31">
        <f>IF(D$12=0,0,D76/D$12)</f>
        <v>-5.5137637827063317E-2</v>
      </c>
      <c r="G76" s="14"/>
      <c r="H76" s="30">
        <f>SUM(H73:H75)</f>
        <v>441.77000000000498</v>
      </c>
      <c r="I76" s="14"/>
      <c r="J76" s="31">
        <f>IF(H$12=0,0,H76/H$12)</f>
        <v>1.8096427986236483E-2</v>
      </c>
      <c r="K76" s="15"/>
      <c r="L76" s="30">
        <f>+D76-H76</f>
        <v>-2627.0400000000054</v>
      </c>
      <c r="M76" s="15"/>
      <c r="N76" s="31">
        <f>IF(H76=0,0,L76/H76)</f>
        <v>-5.946623808769214</v>
      </c>
      <c r="O76" s="29"/>
      <c r="P76" s="30">
        <f>SUM(P73:P75)</f>
        <v>-10611.479999999967</v>
      </c>
      <c r="Q76" s="14"/>
      <c r="R76" s="31">
        <f>IF(P$12=0,0,P76/P$12)</f>
        <v>-2.0517724764398042E-2</v>
      </c>
      <c r="S76" s="14"/>
      <c r="T76" s="30">
        <f>SUM(T73:T75)</f>
        <v>-4865.7300000000469</v>
      </c>
      <c r="U76" s="14"/>
      <c r="V76" s="31">
        <f>IF(T$12=0,0,T76/T$12)</f>
        <v>-1.1334102026554965E-2</v>
      </c>
      <c r="W76" s="15"/>
      <c r="X76" s="30">
        <f>+P76-T76</f>
        <v>-5745.74999999992</v>
      </c>
      <c r="Y76" s="15"/>
      <c r="Z76" s="31">
        <f>IF(T76=0,0,X76/T76)</f>
        <v>1.1808608369144742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>
        <v>44356.893317974536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2" t="s">
        <v>56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4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str">
        <f>CONCATENATE("Period ",RIGHT(202111,2),", ",2021)</f>
        <v>Period 11, 2021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3">
        <v>44345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39633</v>
      </c>
      <c r="E12" s="4"/>
      <c r="F12" s="13"/>
      <c r="G12" s="4"/>
      <c r="H12" s="4">
        <f>SUM(OSRRefH13x_0)</f>
        <v>24412</v>
      </c>
      <c r="I12" s="4"/>
      <c r="J12" s="13"/>
      <c r="K12" s="4"/>
      <c r="L12" s="4">
        <f t="shared" ref="L12:L13" si="0">+D12-H12</f>
        <v>15221</v>
      </c>
      <c r="M12" s="4"/>
      <c r="N12" s="13">
        <f t="shared" ref="N12:N13" si="1">IF(H12=0,0,L12/H12)</f>
        <v>0.62350483368834997</v>
      </c>
      <c r="O12" s="11"/>
      <c r="P12" s="4">
        <f>SUM(OSRRefP13x_0)</f>
        <v>517186</v>
      </c>
      <c r="Q12" s="4"/>
      <c r="R12" s="13"/>
      <c r="S12" s="4"/>
      <c r="T12" s="4">
        <f>SUM(OSRRefT13x_0)</f>
        <v>429300</v>
      </c>
      <c r="U12" s="4"/>
      <c r="V12" s="13"/>
      <c r="W12" s="4"/>
      <c r="X12" s="4">
        <f t="shared" ref="X12:X13" si="2">+P12-T12</f>
        <v>87886</v>
      </c>
      <c r="Y12" s="4"/>
      <c r="Z12" s="13">
        <f t="shared" ref="Z12:Z13" si="3">IF(T12=0,0,X12/T12)</f>
        <v>0.20471931050547404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--39633</f>
        <v>39633</v>
      </c>
      <c r="E13" s="2"/>
      <c r="F13" s="19"/>
      <c r="G13" s="2"/>
      <c r="H13" s="2">
        <f>--24412</f>
        <v>24412</v>
      </c>
      <c r="I13" s="2"/>
      <c r="J13" s="19"/>
      <c r="K13" s="2"/>
      <c r="L13" s="2">
        <f t="shared" si="0"/>
        <v>15221</v>
      </c>
      <c r="M13" s="2"/>
      <c r="N13" s="19">
        <f t="shared" si="1"/>
        <v>0.62350483368834997</v>
      </c>
      <c r="O13" s="10"/>
      <c r="P13" s="2">
        <f>--517186</f>
        <v>517186</v>
      </c>
      <c r="Q13" s="2"/>
      <c r="R13" s="19"/>
      <c r="S13" s="2"/>
      <c r="T13" s="2">
        <f>--429300</f>
        <v>429300</v>
      </c>
      <c r="U13" s="2"/>
      <c r="V13" s="19"/>
      <c r="W13" s="2"/>
      <c r="X13" s="2">
        <f t="shared" si="2"/>
        <v>87886</v>
      </c>
      <c r="Y13" s="2"/>
      <c r="Z13" s="19">
        <f t="shared" si="3"/>
        <v>0.20471931050547404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9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0">
        <f>D12-D15</f>
        <v>39633</v>
      </c>
      <c r="E17" s="14"/>
      <c r="F17" s="21">
        <f>IF(D$12=0,0,D17/D$12)</f>
        <v>1</v>
      </c>
      <c r="G17" s="14"/>
      <c r="H17" s="20">
        <f>H12-H15</f>
        <v>24412</v>
      </c>
      <c r="I17" s="14"/>
      <c r="J17" s="21">
        <f>IF(H$12=0,0,H17/H$12)</f>
        <v>1</v>
      </c>
      <c r="K17" s="15"/>
      <c r="L17" s="20">
        <f>+D17-H17</f>
        <v>15221</v>
      </c>
      <c r="M17" s="15"/>
      <c r="N17" s="21">
        <f>IF(H17=0,0,L17/H17)</f>
        <v>0.62350483368834997</v>
      </c>
      <c r="O17" s="29"/>
      <c r="P17" s="20">
        <f>P12-P15</f>
        <v>517186</v>
      </c>
      <c r="Q17" s="14"/>
      <c r="R17" s="21">
        <f>IF(P$12=0,0,P17/P$12)</f>
        <v>1</v>
      </c>
      <c r="S17" s="14"/>
      <c r="T17" s="20">
        <f>T12-T15</f>
        <v>429300</v>
      </c>
      <c r="U17" s="14"/>
      <c r="V17" s="21">
        <f>IF(T$12=0,0,T17/T$12)</f>
        <v>1</v>
      </c>
      <c r="W17" s="15"/>
      <c r="X17" s="20">
        <f>+P17-T17</f>
        <v>87886</v>
      </c>
      <c r="Y17" s="15"/>
      <c r="Z17" s="21">
        <f>IF(T17=0,0,X17/T17)</f>
        <v>0.20471931050547404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2">
        <f>SUM(OSRRefD22x_0)</f>
        <v>31544.79</v>
      </c>
      <c r="E19" s="22"/>
      <c r="F19" s="32">
        <f t="shared" ref="F19:F29" si="4">IF(D$12=0,0,D19/D$12)</f>
        <v>0.79592233744606766</v>
      </c>
      <c r="G19" s="22"/>
      <c r="H19" s="22">
        <f>SUM(OSRRefH22x_0)</f>
        <v>19257.369999999995</v>
      </c>
      <c r="I19" s="22"/>
      <c r="J19" s="32">
        <f t="shared" ref="J19:J29" si="5">IF(H$12=0,0,H19/H$12)</f>
        <v>0.7888485171227263</v>
      </c>
      <c r="K19" s="4"/>
      <c r="L19" s="22">
        <f t="shared" ref="L19:L29" si="6">+D19-H19</f>
        <v>12287.420000000006</v>
      </c>
      <c r="M19" s="4"/>
      <c r="N19" s="32">
        <f t="shared" ref="N19:N29" si="7">IF(H19=0,0,L19/H19)</f>
        <v>0.63806324539643833</v>
      </c>
      <c r="O19" s="11"/>
      <c r="P19" s="22">
        <f>SUM(OSRRefP22x_0)</f>
        <v>419778.08999999997</v>
      </c>
      <c r="Q19" s="22"/>
      <c r="R19" s="32">
        <f t="shared" ref="R19:R29" si="8">IF(P$12=0,0,P19/P$12)</f>
        <v>0.81165787550320379</v>
      </c>
      <c r="S19" s="22"/>
      <c r="T19" s="22">
        <f>SUM(OSRRefT22x_0)</f>
        <v>403998.49000000005</v>
      </c>
      <c r="U19" s="22"/>
      <c r="V19" s="32">
        <f t="shared" ref="V19:V29" si="9">IF(T$12=0,0,T19/T$12)</f>
        <v>0.94106333566270683</v>
      </c>
      <c r="W19" s="4"/>
      <c r="X19" s="22">
        <f t="shared" ref="X19:X29" si="10">+P19-T19</f>
        <v>15779.599999999919</v>
      </c>
      <c r="Y19" s="4"/>
      <c r="Z19" s="32">
        <f t="shared" ref="Z19:Z29" si="11">IF(T19=0,0,X19/T19)</f>
        <v>3.9058561827792763E-2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3822.8999999999996</v>
      </c>
      <c r="E20" s="1"/>
      <c r="F20" s="5">
        <f t="shared" si="4"/>
        <v>9.6457497539928841E-2</v>
      </c>
      <c r="G20" s="1"/>
      <c r="H20" s="1">
        <f>SUM(OSRRefH22_0x_0)</f>
        <v>3729.01</v>
      </c>
      <c r="I20" s="1"/>
      <c r="J20" s="5">
        <f t="shared" si="5"/>
        <v>0.15275315418646568</v>
      </c>
      <c r="K20" s="1"/>
      <c r="L20" s="1">
        <f t="shared" si="6"/>
        <v>93.889999999999418</v>
      </c>
      <c r="M20" s="1"/>
      <c r="N20" s="5">
        <f t="shared" si="7"/>
        <v>2.5178264472339687E-2</v>
      </c>
      <c r="O20" s="12"/>
      <c r="P20" s="1">
        <f>SUM(OSRRefP22_0x_0)</f>
        <v>46768.679999999993</v>
      </c>
      <c r="Q20" s="1"/>
      <c r="R20" s="5">
        <f t="shared" si="8"/>
        <v>9.0429129945512818E-2</v>
      </c>
      <c r="S20" s="1"/>
      <c r="T20" s="1">
        <f>SUM(OSRRefT22_0x_0)</f>
        <v>48770.64</v>
      </c>
      <c r="U20" s="1"/>
      <c r="V20" s="5">
        <f t="shared" si="9"/>
        <v>0.11360503144654088</v>
      </c>
      <c r="W20" s="1"/>
      <c r="X20" s="1">
        <f t="shared" si="10"/>
        <v>-2001.9600000000064</v>
      </c>
      <c r="Y20" s="1"/>
      <c r="Z20" s="5">
        <f t="shared" si="11"/>
        <v>-4.1048466864490735E-2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899.48</v>
      </c>
      <c r="E21" s="2"/>
      <c r="F21" s="7">
        <f t="shared" si="4"/>
        <v>2.2695228723538467E-2</v>
      </c>
      <c r="G21" s="2"/>
      <c r="H21" s="6">
        <v>918.68</v>
      </c>
      <c r="I21" s="2"/>
      <c r="J21" s="7">
        <f t="shared" si="5"/>
        <v>3.7632311977715875E-2</v>
      </c>
      <c r="K21" s="2"/>
      <c r="L21" s="6">
        <f t="shared" si="6"/>
        <v>-19.199999999999932</v>
      </c>
      <c r="M21" s="2"/>
      <c r="N21" s="7">
        <f t="shared" si="7"/>
        <v>-2.089955153045667E-2</v>
      </c>
      <c r="O21" s="10"/>
      <c r="P21" s="6">
        <v>11246.77</v>
      </c>
      <c r="Q21" s="2"/>
      <c r="R21" s="7">
        <f t="shared" si="8"/>
        <v>2.1746083614018943E-2</v>
      </c>
      <c r="S21" s="2"/>
      <c r="T21" s="6">
        <v>12066.38</v>
      </c>
      <c r="U21" s="2"/>
      <c r="V21" s="7">
        <f t="shared" si="9"/>
        <v>2.8107104588865593E-2</v>
      </c>
      <c r="W21" s="2"/>
      <c r="X21" s="6">
        <f t="shared" si="10"/>
        <v>-819.60999999999876</v>
      </c>
      <c r="Y21" s="2"/>
      <c r="Z21" s="7">
        <f t="shared" si="11"/>
        <v>-6.7925094353070162E-2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111.42</v>
      </c>
      <c r="E22" s="2"/>
      <c r="F22" s="7">
        <f t="shared" si="4"/>
        <v>2.8112936189539019E-3</v>
      </c>
      <c r="G22" s="2"/>
      <c r="H22" s="6">
        <v>113.76</v>
      </c>
      <c r="I22" s="2"/>
      <c r="J22" s="7">
        <f t="shared" si="5"/>
        <v>4.6600032770768478E-3</v>
      </c>
      <c r="K22" s="2"/>
      <c r="L22" s="6">
        <f t="shared" si="6"/>
        <v>-2.3400000000000034</v>
      </c>
      <c r="M22" s="2"/>
      <c r="N22" s="7">
        <f t="shared" si="7"/>
        <v>-2.0569620253164587E-2</v>
      </c>
      <c r="O22" s="10"/>
      <c r="P22" s="6">
        <v>893.64</v>
      </c>
      <c r="Q22" s="2"/>
      <c r="R22" s="7">
        <f t="shared" si="8"/>
        <v>1.7278889993155267E-3</v>
      </c>
      <c r="S22" s="2"/>
      <c r="T22" s="6">
        <v>662.29</v>
      </c>
      <c r="U22" s="2"/>
      <c r="V22" s="7">
        <f t="shared" si="9"/>
        <v>1.5427207081295132E-3</v>
      </c>
      <c r="W22" s="2"/>
      <c r="X22" s="6">
        <f t="shared" si="10"/>
        <v>231.35000000000002</v>
      </c>
      <c r="Y22" s="2"/>
      <c r="Z22" s="7">
        <f t="shared" si="11"/>
        <v>0.34931827447190811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3.0478389221103627E-2</v>
      </c>
      <c r="G23" s="2"/>
      <c r="H23" s="6">
        <v>1285.8599999999999</v>
      </c>
      <c r="I23" s="2"/>
      <c r="J23" s="7">
        <f t="shared" si="5"/>
        <v>5.2673275438309027E-2</v>
      </c>
      <c r="K23" s="2"/>
      <c r="L23" s="6">
        <f t="shared" si="6"/>
        <v>-77.909999999999854</v>
      </c>
      <c r="M23" s="2"/>
      <c r="N23" s="7">
        <f t="shared" si="7"/>
        <v>-6.0589799822686655E-2</v>
      </c>
      <c r="O23" s="10"/>
      <c r="P23" s="6">
        <v>13442.75</v>
      </c>
      <c r="Q23" s="2"/>
      <c r="R23" s="7">
        <f t="shared" si="8"/>
        <v>2.5992099554125594E-2</v>
      </c>
      <c r="S23" s="2"/>
      <c r="T23" s="6">
        <v>13927.73</v>
      </c>
      <c r="U23" s="2"/>
      <c r="V23" s="7">
        <f t="shared" si="9"/>
        <v>3.2442883764267412E-2</v>
      </c>
      <c r="W23" s="2"/>
      <c r="X23" s="6">
        <f t="shared" si="10"/>
        <v>-484.97999999999956</v>
      </c>
      <c r="Y23" s="2"/>
      <c r="Z23" s="7">
        <f t="shared" si="11"/>
        <v>-3.4821180479518168E-2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46.16</v>
      </c>
      <c r="E24" s="2"/>
      <c r="F24" s="7">
        <f t="shared" si="4"/>
        <v>1.1646859939949033E-3</v>
      </c>
      <c r="G24" s="2"/>
      <c r="H24" s="6">
        <v>46.17</v>
      </c>
      <c r="I24" s="2"/>
      <c r="J24" s="7">
        <f t="shared" si="5"/>
        <v>1.8912829755857775E-3</v>
      </c>
      <c r="K24" s="2"/>
      <c r="L24" s="6">
        <f t="shared" si="6"/>
        <v>-1.0000000000005116E-2</v>
      </c>
      <c r="M24" s="2"/>
      <c r="N24" s="7">
        <f t="shared" si="7"/>
        <v>-2.1659085986582447E-4</v>
      </c>
      <c r="O24" s="10"/>
      <c r="P24" s="6">
        <v>404.28</v>
      </c>
      <c r="Q24" s="2"/>
      <c r="R24" s="7">
        <f t="shared" si="8"/>
        <v>7.8169169312394371E-4</v>
      </c>
      <c r="S24" s="2"/>
      <c r="T24" s="6">
        <v>495.12</v>
      </c>
      <c r="U24" s="2"/>
      <c r="V24" s="7">
        <f t="shared" si="9"/>
        <v>1.1533193570929421E-3</v>
      </c>
      <c r="W24" s="2"/>
      <c r="X24" s="6">
        <f t="shared" si="10"/>
        <v>-90.840000000000032</v>
      </c>
      <c r="Y24" s="2"/>
      <c r="Z24" s="7">
        <f t="shared" si="11"/>
        <v>-0.18347067377605436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1.6156990386798881E-2</v>
      </c>
      <c r="G25" s="2"/>
      <c r="H25" s="6">
        <v>550.21</v>
      </c>
      <c r="I25" s="2"/>
      <c r="J25" s="7">
        <f t="shared" si="5"/>
        <v>2.2538505652957563E-2</v>
      </c>
      <c r="K25" s="2"/>
      <c r="L25" s="6">
        <f t="shared" si="6"/>
        <v>90.139999999999986</v>
      </c>
      <c r="M25" s="2"/>
      <c r="N25" s="7">
        <f t="shared" si="7"/>
        <v>0.16382835644572069</v>
      </c>
      <c r="O25" s="10"/>
      <c r="P25" s="6">
        <v>8341.6299999999992</v>
      </c>
      <c r="Q25" s="2"/>
      <c r="R25" s="7">
        <f t="shared" si="8"/>
        <v>1.6128878198559123E-2</v>
      </c>
      <c r="S25" s="2"/>
      <c r="T25" s="6">
        <v>7759.08</v>
      </c>
      <c r="U25" s="2"/>
      <c r="V25" s="7">
        <f t="shared" si="9"/>
        <v>1.8073794549266248E-2</v>
      </c>
      <c r="W25" s="2"/>
      <c r="X25" s="6">
        <f t="shared" si="10"/>
        <v>582.54999999999927</v>
      </c>
      <c r="Y25" s="2"/>
      <c r="Z25" s="7">
        <f t="shared" si="11"/>
        <v>7.5079777499394165E-2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98.26</v>
      </c>
      <c r="E26" s="2"/>
      <c r="F26" s="7">
        <f t="shared" si="4"/>
        <v>2.4792470920697398E-3</v>
      </c>
      <c r="G26" s="2"/>
      <c r="H26" s="6"/>
      <c r="I26" s="2"/>
      <c r="J26" s="7">
        <f t="shared" si="5"/>
        <v>0</v>
      </c>
      <c r="K26" s="2"/>
      <c r="L26" s="6">
        <f t="shared" si="6"/>
        <v>98.26</v>
      </c>
      <c r="M26" s="2"/>
      <c r="N26" s="7">
        <f t="shared" si="7"/>
        <v>0</v>
      </c>
      <c r="O26" s="10"/>
      <c r="P26" s="6">
        <v>987.71</v>
      </c>
      <c r="Q26" s="2"/>
      <c r="R26" s="7">
        <f t="shared" si="8"/>
        <v>1.9097771401391376E-3</v>
      </c>
      <c r="S26" s="2"/>
      <c r="T26" s="6"/>
      <c r="U26" s="2"/>
      <c r="V26" s="7">
        <f t="shared" si="9"/>
        <v>0</v>
      </c>
      <c r="W26" s="2"/>
      <c r="X26" s="6">
        <f t="shared" si="10"/>
        <v>987.71</v>
      </c>
      <c r="Y26" s="2"/>
      <c r="Z26" s="7">
        <f t="shared" si="11"/>
        <v>0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520.02</v>
      </c>
      <c r="E27" s="2"/>
      <c r="F27" s="7">
        <f t="shared" si="4"/>
        <v>1.3120884111725076E-2</v>
      </c>
      <c r="G27" s="2"/>
      <c r="H27" s="6">
        <v>484.71</v>
      </c>
      <c r="I27" s="2"/>
      <c r="J27" s="7">
        <f t="shared" si="5"/>
        <v>1.9855398984106175E-2</v>
      </c>
      <c r="K27" s="2"/>
      <c r="L27" s="6">
        <f t="shared" si="6"/>
        <v>35.31</v>
      </c>
      <c r="M27" s="2"/>
      <c r="N27" s="7">
        <f t="shared" si="7"/>
        <v>7.2847682119205309E-2</v>
      </c>
      <c r="O27" s="10"/>
      <c r="P27" s="6">
        <v>6240.24</v>
      </c>
      <c r="Q27" s="2"/>
      <c r="R27" s="7">
        <f t="shared" si="8"/>
        <v>1.2065755840258629E-2</v>
      </c>
      <c r="S27" s="2"/>
      <c r="T27" s="6">
        <v>7948.51</v>
      </c>
      <c r="U27" s="2"/>
      <c r="V27" s="7">
        <f t="shared" si="9"/>
        <v>1.8515047752154672E-2</v>
      </c>
      <c r="W27" s="2"/>
      <c r="X27" s="6">
        <f t="shared" si="10"/>
        <v>-1708.2700000000004</v>
      </c>
      <c r="Y27" s="2"/>
      <c r="Z27" s="7">
        <f t="shared" si="11"/>
        <v>-0.21491700960305773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299.26</v>
      </c>
      <c r="E28" s="2"/>
      <c r="F28" s="7">
        <f t="shared" si="4"/>
        <v>7.5507783917442535E-3</v>
      </c>
      <c r="G28" s="2"/>
      <c r="H28" s="6">
        <v>281.62</v>
      </c>
      <c r="I28" s="2"/>
      <c r="J28" s="7">
        <f t="shared" si="5"/>
        <v>1.1536129772243159E-2</v>
      </c>
      <c r="K28" s="2"/>
      <c r="L28" s="6">
        <f t="shared" si="6"/>
        <v>17.639999999999986</v>
      </c>
      <c r="M28" s="2"/>
      <c r="N28" s="7">
        <f t="shared" si="7"/>
        <v>6.2637596761593584E-2</v>
      </c>
      <c r="O28" s="10"/>
      <c r="P28" s="6">
        <v>3591.13</v>
      </c>
      <c r="Q28" s="2"/>
      <c r="R28" s="7">
        <f t="shared" si="8"/>
        <v>6.9435947608790646E-3</v>
      </c>
      <c r="S28" s="2"/>
      <c r="T28" s="6">
        <v>4542.84</v>
      </c>
      <c r="U28" s="2"/>
      <c r="V28" s="7">
        <f t="shared" si="9"/>
        <v>1.0581970649895179E-2</v>
      </c>
      <c r="W28" s="2"/>
      <c r="X28" s="6">
        <f t="shared" si="10"/>
        <v>-951.71</v>
      </c>
      <c r="Y28" s="2"/>
      <c r="Z28" s="7">
        <f t="shared" si="11"/>
        <v>-0.2094967025032799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48</v>
      </c>
      <c r="I29" s="2"/>
      <c r="J29" s="7">
        <f t="shared" si="5"/>
        <v>1.9662461084712438E-3</v>
      </c>
      <c r="K29" s="2"/>
      <c r="L29" s="6">
        <f t="shared" si="6"/>
        <v>-48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3.1333601450928678E-3</v>
      </c>
      <c r="S29" s="2"/>
      <c r="T29" s="6">
        <v>1368.69</v>
      </c>
      <c r="U29" s="2"/>
      <c r="V29" s="7">
        <f t="shared" si="9"/>
        <v>3.1881900768693221E-3</v>
      </c>
      <c r="W29" s="2"/>
      <c r="X29" s="6">
        <f t="shared" si="10"/>
        <v>251.83999999999992</v>
      </c>
      <c r="Y29" s="2"/>
      <c r="Z29" s="7">
        <f t="shared" si="11"/>
        <v>0.18400075985066006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11834.07</v>
      </c>
      <c r="E30" s="1"/>
      <c r="F30" s="5">
        <f t="shared" ref="F30:F35" si="12">IF(D$12=0,0,D30/D$12)</f>
        <v>0.29859132541064265</v>
      </c>
      <c r="G30" s="1"/>
      <c r="H30" s="1">
        <f>SUM(OSRRefH22_1x_0)</f>
        <v>11619.55</v>
      </c>
      <c r="I30" s="1"/>
      <c r="J30" s="5">
        <f t="shared" ref="J30:J35" si="13">IF(H$12=0,0,H30/H$12)</f>
        <v>0.47597697853514664</v>
      </c>
      <c r="K30" s="1"/>
      <c r="L30" s="1">
        <f t="shared" ref="L30:L35" si="14">+D30-H30</f>
        <v>214.52000000000044</v>
      </c>
      <c r="M30" s="1"/>
      <c r="N30" s="5">
        <f t="shared" ref="N30:N35" si="15">IF(H30=0,0,L30/H30)</f>
        <v>1.8461988631229304E-2</v>
      </c>
      <c r="O30" s="12"/>
      <c r="P30" s="1">
        <f>SUM(OSRRefP22_1x_0)</f>
        <v>152168.48000000001</v>
      </c>
      <c r="Q30" s="1"/>
      <c r="R30" s="5">
        <f t="shared" ref="R30:R35" si="16">IF(P$12=0,0,P30/P$12)</f>
        <v>0.2942238962384906</v>
      </c>
      <c r="S30" s="1"/>
      <c r="T30" s="1">
        <f>SUM(OSRRefT22_1x_0)</f>
        <v>177189.44999999998</v>
      </c>
      <c r="U30" s="1"/>
      <c r="V30" s="5">
        <f t="shared" ref="V30:V35" si="17">IF(T$12=0,0,T30/T$12)</f>
        <v>0.41274039133473089</v>
      </c>
      <c r="W30" s="1"/>
      <c r="X30" s="1">
        <f t="shared" ref="X30:X35" si="18">+P30-T30</f>
        <v>-25020.969999999972</v>
      </c>
      <c r="Y30" s="1"/>
      <c r="Z30" s="5">
        <f t="shared" ref="Z30:Z35" si="19">IF(T30=0,0,X30/T30)</f>
        <v>-0.14121026957304725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4205.72</v>
      </c>
      <c r="E31" s="2"/>
      <c r="F31" s="7">
        <f t="shared" si="12"/>
        <v>0.10611661998839352</v>
      </c>
      <c r="G31" s="2"/>
      <c r="H31" s="6"/>
      <c r="I31" s="2"/>
      <c r="J31" s="7">
        <f t="shared" si="13"/>
        <v>0</v>
      </c>
      <c r="K31" s="2"/>
      <c r="L31" s="6">
        <f t="shared" si="14"/>
        <v>4205.72</v>
      </c>
      <c r="M31" s="2"/>
      <c r="N31" s="7">
        <f t="shared" si="15"/>
        <v>0</v>
      </c>
      <c r="O31" s="10"/>
      <c r="P31" s="6">
        <v>47945.16</v>
      </c>
      <c r="Q31" s="2"/>
      <c r="R31" s="7">
        <f t="shared" si="16"/>
        <v>9.2703901497720356E-2</v>
      </c>
      <c r="S31" s="2"/>
      <c r="T31" s="6"/>
      <c r="U31" s="2"/>
      <c r="V31" s="7">
        <f t="shared" si="17"/>
        <v>0</v>
      </c>
      <c r="W31" s="2"/>
      <c r="X31" s="6">
        <f t="shared" si="18"/>
        <v>47945.16</v>
      </c>
      <c r="Y31" s="2"/>
      <c r="Z31" s="7">
        <f t="shared" si="19"/>
        <v>0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>
        <v>2282.3000000000002</v>
      </c>
      <c r="E32" s="2"/>
      <c r="F32" s="7">
        <f t="shared" si="12"/>
        <v>5.7585850175358923E-2</v>
      </c>
      <c r="G32" s="2"/>
      <c r="H32" s="6">
        <v>5649.22</v>
      </c>
      <c r="I32" s="2"/>
      <c r="J32" s="7">
        <f t="shared" si="13"/>
        <v>0.23141160085203999</v>
      </c>
      <c r="K32" s="2"/>
      <c r="L32" s="6">
        <f t="shared" si="14"/>
        <v>-3366.92</v>
      </c>
      <c r="M32" s="2"/>
      <c r="N32" s="7">
        <f t="shared" si="15"/>
        <v>-0.59599732352430956</v>
      </c>
      <c r="O32" s="10"/>
      <c r="P32" s="6">
        <v>25789.98</v>
      </c>
      <c r="Q32" s="2"/>
      <c r="R32" s="7">
        <f t="shared" si="16"/>
        <v>4.9865966982864968E-2</v>
      </c>
      <c r="S32" s="2"/>
      <c r="T32" s="6">
        <v>64280.81</v>
      </c>
      <c r="U32" s="2"/>
      <c r="V32" s="7">
        <f t="shared" si="17"/>
        <v>0.14973400885161892</v>
      </c>
      <c r="W32" s="2"/>
      <c r="X32" s="6">
        <f t="shared" si="18"/>
        <v>-38490.83</v>
      </c>
      <c r="Y32" s="2"/>
      <c r="Z32" s="7">
        <f t="shared" si="19"/>
        <v>-0.59879192561512529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>
        <v>5346.05</v>
      </c>
      <c r="E33" s="2"/>
      <c r="F33" s="7">
        <f t="shared" si="12"/>
        <v>0.13488885524689023</v>
      </c>
      <c r="G33" s="2"/>
      <c r="H33" s="6">
        <v>5970.33</v>
      </c>
      <c r="I33" s="2"/>
      <c r="J33" s="7">
        <f t="shared" si="13"/>
        <v>0.24456537768310666</v>
      </c>
      <c r="K33" s="2"/>
      <c r="L33" s="6">
        <f t="shared" si="14"/>
        <v>-624.27999999999975</v>
      </c>
      <c r="M33" s="2"/>
      <c r="N33" s="7">
        <f t="shared" si="15"/>
        <v>-0.10456373433294303</v>
      </c>
      <c r="O33" s="10"/>
      <c r="P33" s="6">
        <v>70243.679999999993</v>
      </c>
      <c r="Q33" s="2"/>
      <c r="R33" s="7">
        <f t="shared" si="16"/>
        <v>0.13581898968649575</v>
      </c>
      <c r="S33" s="2"/>
      <c r="T33" s="6">
        <v>81200.490000000005</v>
      </c>
      <c r="U33" s="2"/>
      <c r="V33" s="7">
        <f t="shared" si="17"/>
        <v>0.18914626135569532</v>
      </c>
      <c r="W33" s="2"/>
      <c r="X33" s="6">
        <f t="shared" si="18"/>
        <v>-10956.810000000012</v>
      </c>
      <c r="Y33" s="2"/>
      <c r="Z33" s="7">
        <f t="shared" si="19"/>
        <v>-0.1349352694792853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0"/>
      <c r="P34" s="6">
        <v>4277.78</v>
      </c>
      <c r="Q34" s="2"/>
      <c r="R34" s="7">
        <f t="shared" si="16"/>
        <v>8.2712602429300085E-3</v>
      </c>
      <c r="S34" s="2"/>
      <c r="T34" s="6">
        <v>25787.41</v>
      </c>
      <c r="U34" s="2"/>
      <c r="V34" s="7">
        <f t="shared" si="17"/>
        <v>6.0068506871651522E-2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7.5637778284795027E-3</v>
      </c>
      <c r="S35" s="2"/>
      <c r="T35" s="6">
        <v>5920.74</v>
      </c>
      <c r="U35" s="2"/>
      <c r="V35" s="7">
        <f t="shared" si="17"/>
        <v>1.3791614255765198E-2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1911.81</v>
      </c>
      <c r="I36" s="1"/>
      <c r="J36" s="5">
        <f t="shared" ref="J36:J44" si="21">IF(H$12=0,0,H36/H$12)</f>
        <v>7.8314353596591835E-2</v>
      </c>
      <c r="K36" s="1"/>
      <c r="L36" s="1">
        <f t="shared" ref="L36:L44" si="22">+D36-H36</f>
        <v>-1911.81</v>
      </c>
      <c r="M36" s="1"/>
      <c r="N36" s="5">
        <f t="shared" ref="N36:N44" si="23">IF(H36=0,0,L36/H36)</f>
        <v>-1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2066.92</v>
      </c>
      <c r="U36" s="1"/>
      <c r="V36" s="5">
        <f t="shared" ref="V36:V44" si="25">IF(T$12=0,0,T36/T$12)</f>
        <v>4.8146284649429301E-3</v>
      </c>
      <c r="W36" s="1"/>
      <c r="X36" s="1">
        <f t="shared" ref="X36:X44" si="26">+P36-T36</f>
        <v>-2066.92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>
        <v>1911.81</v>
      </c>
      <c r="I37" s="2"/>
      <c r="J37" s="7">
        <f t="shared" si="21"/>
        <v>7.8314353596591835E-2</v>
      </c>
      <c r="K37" s="2"/>
      <c r="L37" s="6">
        <f t="shared" si="22"/>
        <v>-1911.81</v>
      </c>
      <c r="M37" s="2"/>
      <c r="N37" s="7">
        <f t="shared" si="23"/>
        <v>-1</v>
      </c>
      <c r="O37" s="10"/>
      <c r="P37" s="6"/>
      <c r="Q37" s="2"/>
      <c r="R37" s="7">
        <f t="shared" si="24"/>
        <v>0</v>
      </c>
      <c r="S37" s="2"/>
      <c r="T37" s="6">
        <v>2066.92</v>
      </c>
      <c r="U37" s="2"/>
      <c r="V37" s="7">
        <f t="shared" si="25"/>
        <v>4.8146284649429301E-3</v>
      </c>
      <c r="W37" s="2"/>
      <c r="X37" s="6">
        <f t="shared" si="26"/>
        <v>-2066.92</v>
      </c>
      <c r="Y37" s="2"/>
      <c r="Z37" s="7">
        <f t="shared" si="27"/>
        <v>-1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5257.31</v>
      </c>
      <c r="E38" s="1"/>
      <c r="F38" s="5">
        <f t="shared" si="20"/>
        <v>0.13264981202533244</v>
      </c>
      <c r="G38" s="1"/>
      <c r="H38" s="1">
        <f>SUM(OSRRefH22_3x_0)</f>
        <v>43.26</v>
      </c>
      <c r="I38" s="1"/>
      <c r="J38" s="5">
        <f t="shared" si="21"/>
        <v>1.7720793052597083E-3</v>
      </c>
      <c r="K38" s="1"/>
      <c r="L38" s="1">
        <f t="shared" si="22"/>
        <v>5214.05</v>
      </c>
      <c r="M38" s="1"/>
      <c r="N38" s="5">
        <f t="shared" si="23"/>
        <v>120.5282015718909</v>
      </c>
      <c r="O38" s="12"/>
      <c r="P38" s="1">
        <f>SUM(OSRRefP22_3x_0)</f>
        <v>6061.25</v>
      </c>
      <c r="Q38" s="1"/>
      <c r="R38" s="5">
        <f t="shared" si="24"/>
        <v>1.1719671452823549E-2</v>
      </c>
      <c r="S38" s="1"/>
      <c r="T38" s="1">
        <f>SUM(OSRRefT22_3x_0)</f>
        <v>17833.88</v>
      </c>
      <c r="U38" s="1"/>
      <c r="V38" s="5">
        <f t="shared" si="25"/>
        <v>4.1541765665036111E-2</v>
      </c>
      <c r="W38" s="1"/>
      <c r="X38" s="1">
        <f t="shared" si="26"/>
        <v>-11772.630000000001</v>
      </c>
      <c r="Y38" s="1"/>
      <c r="Z38" s="5">
        <f t="shared" si="27"/>
        <v>-0.66012724095934261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5257.31</v>
      </c>
      <c r="E39" s="2"/>
      <c r="F39" s="7">
        <f t="shared" si="20"/>
        <v>0.13264981202533244</v>
      </c>
      <c r="G39" s="2"/>
      <c r="H39" s="6">
        <v>43.26</v>
      </c>
      <c r="I39" s="2"/>
      <c r="J39" s="7">
        <f t="shared" si="21"/>
        <v>1.7720793052597083E-3</v>
      </c>
      <c r="K39" s="2"/>
      <c r="L39" s="6">
        <f t="shared" si="22"/>
        <v>5214.05</v>
      </c>
      <c r="M39" s="2"/>
      <c r="N39" s="7">
        <f t="shared" si="23"/>
        <v>120.5282015718909</v>
      </c>
      <c r="O39" s="10"/>
      <c r="P39" s="6">
        <v>6061.25</v>
      </c>
      <c r="Q39" s="2"/>
      <c r="R39" s="7">
        <f t="shared" si="24"/>
        <v>1.1719671452823549E-2</v>
      </c>
      <c r="S39" s="2"/>
      <c r="T39" s="6">
        <v>17833.88</v>
      </c>
      <c r="U39" s="2"/>
      <c r="V39" s="7">
        <f t="shared" si="25"/>
        <v>4.1541765665036111E-2</v>
      </c>
      <c r="W39" s="2"/>
      <c r="X39" s="6">
        <f t="shared" si="26"/>
        <v>-11772.630000000001</v>
      </c>
      <c r="Y39" s="2"/>
      <c r="Z39" s="7">
        <f t="shared" si="27"/>
        <v>-0.66012724095934261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1.4963894712322385E-4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1.4963894712322385E-4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4.0991055442336024E-6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3.1323353687068096E-6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9.66770175526793E-7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1.1027253668763104E-4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7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1.1027253668763104E-4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5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7.3196578608735146E-4</v>
      </c>
      <c r="G47" s="1"/>
      <c r="H47" s="1">
        <f>SUM(OSRRefH22_7x_0)</f>
        <v>29.01</v>
      </c>
      <c r="I47" s="1"/>
      <c r="J47" s="5">
        <f t="shared" si="29"/>
        <v>1.1883499918073079E-3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319.11</v>
      </c>
      <c r="Q47" s="1"/>
      <c r="R47" s="5">
        <f t="shared" si="32"/>
        <v>6.1701206142470994E-4</v>
      </c>
      <c r="S47" s="1"/>
      <c r="T47" s="1">
        <f>SUM(OSRRefT22_7x_0)</f>
        <v>319.11</v>
      </c>
      <c r="U47" s="1"/>
      <c r="V47" s="5">
        <f t="shared" si="33"/>
        <v>7.4332634521313769E-4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7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7.3196578608735146E-4</v>
      </c>
      <c r="G48" s="2"/>
      <c r="H48" s="6">
        <v>29.01</v>
      </c>
      <c r="I48" s="2"/>
      <c r="J48" s="7">
        <f t="shared" si="29"/>
        <v>1.1883499918073079E-3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319.11</v>
      </c>
      <c r="Q48" s="2"/>
      <c r="R48" s="7">
        <f t="shared" si="32"/>
        <v>6.1701206142470994E-4</v>
      </c>
      <c r="S48" s="2"/>
      <c r="T48" s="6">
        <v>319.11</v>
      </c>
      <c r="U48" s="2"/>
      <c r="V48" s="7">
        <f t="shared" si="33"/>
        <v>7.4332634521313769E-4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2.018519920268463E-2</v>
      </c>
      <c r="G49" s="1"/>
      <c r="H49" s="1">
        <f>SUM(OSRRefH22_8x_0)</f>
        <v>800</v>
      </c>
      <c r="I49" s="1"/>
      <c r="J49" s="5">
        <f t="shared" si="29"/>
        <v>3.2770768474520727E-2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8800</v>
      </c>
      <c r="Q49" s="1"/>
      <c r="R49" s="5">
        <f t="shared" si="32"/>
        <v>1.7015155089271559E-2</v>
      </c>
      <c r="S49" s="1"/>
      <c r="T49" s="1">
        <f>SUM(OSRRefT22_8x_0)</f>
        <v>7200</v>
      </c>
      <c r="U49" s="1"/>
      <c r="V49" s="5">
        <f t="shared" si="33"/>
        <v>1.6771488469601678E-2</v>
      </c>
      <c r="W49" s="1"/>
      <c r="X49" s="1">
        <f t="shared" si="34"/>
        <v>1600</v>
      </c>
      <c r="Y49" s="1"/>
      <c r="Z49" s="5">
        <f t="shared" si="35"/>
        <v>0.22222222222222221</v>
      </c>
    </row>
    <row r="50" spans="1:26" s="23" customFormat="1" hidden="1" outlineLevel="2" x14ac:dyDescent="0.25">
      <c r="A50" s="27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2.018519920268463E-2</v>
      </c>
      <c r="G50" s="2"/>
      <c r="H50" s="6">
        <v>800</v>
      </c>
      <c r="I50" s="2"/>
      <c r="J50" s="7">
        <f t="shared" si="29"/>
        <v>3.2770768474520727E-2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8800</v>
      </c>
      <c r="Q50" s="2"/>
      <c r="R50" s="7">
        <f t="shared" si="32"/>
        <v>1.7015155089271559E-2</v>
      </c>
      <c r="S50" s="2"/>
      <c r="T50" s="6">
        <v>7200</v>
      </c>
      <c r="U50" s="2"/>
      <c r="V50" s="7">
        <f t="shared" si="33"/>
        <v>1.6771488469601678E-2</v>
      </c>
      <c r="W50" s="2"/>
      <c r="X50" s="6">
        <f t="shared" si="34"/>
        <v>1600</v>
      </c>
      <c r="Y50" s="2"/>
      <c r="Z50" s="7">
        <f t="shared" si="35"/>
        <v>0.22222222222222221</v>
      </c>
    </row>
    <row r="51" spans="1:26" s="26" customFormat="1" outlineLevel="1" collapsed="1" x14ac:dyDescent="0.25">
      <c r="A51" s="25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5436</v>
      </c>
      <c r="E51" s="1"/>
      <c r="F51" s="5">
        <f t="shared" si="28"/>
        <v>0.13715842858224206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5436</v>
      </c>
      <c r="M51" s="1"/>
      <c r="N51" s="5">
        <f t="shared" si="31"/>
        <v>0</v>
      </c>
      <c r="O51" s="12"/>
      <c r="P51" s="1">
        <f>SUM(OSRRefP22_9x_0)</f>
        <v>154932.13</v>
      </c>
      <c r="Q51" s="1"/>
      <c r="R51" s="5">
        <f t="shared" si="32"/>
        <v>0.29956752502967987</v>
      </c>
      <c r="S51" s="1"/>
      <c r="T51" s="1">
        <f>SUM(OSRRefT22_9x_0)</f>
        <v>118520.76</v>
      </c>
      <c r="U51" s="1"/>
      <c r="V51" s="5">
        <f t="shared" si="33"/>
        <v>0.27607910552061493</v>
      </c>
      <c r="W51" s="1"/>
      <c r="X51" s="1">
        <f t="shared" si="34"/>
        <v>36411.37000000001</v>
      </c>
      <c r="Y51" s="1"/>
      <c r="Z51" s="5">
        <f t="shared" si="35"/>
        <v>0.30721512416896424</v>
      </c>
    </row>
    <row r="52" spans="1:26" s="23" customFormat="1" hidden="1" outlineLevel="2" x14ac:dyDescent="0.25">
      <c r="A52" s="27"/>
      <c r="B52" s="10" t="str">
        <f>CONCATENATE("          ", "6371", " - ", "COMPUTER SOFTWARE MAINTENANCE")</f>
        <v xml:space="preserve">          6371 - COMPUTER SOFTWARE MAINTENANCE</v>
      </c>
      <c r="C52" s="10"/>
      <c r="D52" s="6">
        <v>5436</v>
      </c>
      <c r="E52" s="2"/>
      <c r="F52" s="7">
        <f t="shared" si="28"/>
        <v>0.13715842858224206</v>
      </c>
      <c r="G52" s="2"/>
      <c r="H52" s="6"/>
      <c r="I52" s="2"/>
      <c r="J52" s="7">
        <f t="shared" si="29"/>
        <v>0</v>
      </c>
      <c r="K52" s="2"/>
      <c r="L52" s="6">
        <f t="shared" si="30"/>
        <v>5436</v>
      </c>
      <c r="M52" s="2"/>
      <c r="N52" s="7">
        <f t="shared" si="31"/>
        <v>0</v>
      </c>
      <c r="O52" s="10"/>
      <c r="P52" s="6">
        <v>5436</v>
      </c>
      <c r="Q52" s="2"/>
      <c r="R52" s="7">
        <f t="shared" si="32"/>
        <v>1.0510725348327294E-2</v>
      </c>
      <c r="S52" s="2"/>
      <c r="T52" s="6">
        <v>437.31</v>
      </c>
      <c r="U52" s="2"/>
      <c r="V52" s="7">
        <f t="shared" si="33"/>
        <v>1.0186582809224318E-3</v>
      </c>
      <c r="W52" s="2"/>
      <c r="X52" s="6">
        <f t="shared" si="34"/>
        <v>4998.6899999999996</v>
      </c>
      <c r="Y52" s="2"/>
      <c r="Z52" s="7">
        <f t="shared" si="35"/>
        <v>11.430541263634492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0.27636890789773894</v>
      </c>
      <c r="S53" s="2"/>
      <c r="T53" s="6">
        <v>117094</v>
      </c>
      <c r="U53" s="2"/>
      <c r="V53" s="7">
        <f t="shared" si="33"/>
        <v>0.27275564873049152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>
        <v>6562</v>
      </c>
      <c r="Q54" s="2"/>
      <c r="R54" s="7">
        <f t="shared" si="32"/>
        <v>1.2687891783613632E-2</v>
      </c>
      <c r="S54" s="2"/>
      <c r="T54" s="6">
        <v>989.45</v>
      </c>
      <c r="U54" s="2"/>
      <c r="V54" s="7">
        <f t="shared" si="33"/>
        <v>2.3047985092010249E-3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915</v>
      </c>
      <c r="I55" s="1"/>
      <c r="J55" s="5">
        <f t="shared" ref="J55:J60" si="37">IF(H$12=0,0,H55/H$12)</f>
        <v>3.748156644273308E-2</v>
      </c>
      <c r="K55" s="1"/>
      <c r="L55" s="1">
        <f t="shared" ref="L55:L60" si="38">+D55-H55</f>
        <v>-915</v>
      </c>
      <c r="M55" s="1"/>
      <c r="N55" s="5">
        <f t="shared" ref="N55:N60" si="39">IF(H55=0,0,L55/H55)</f>
        <v>-1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1740</v>
      </c>
      <c r="U55" s="1"/>
      <c r="V55" s="5">
        <f t="shared" ref="V55:V60" si="41">IF(T$12=0,0,T55/T$12)</f>
        <v>4.0531097134870716E-3</v>
      </c>
      <c r="W55" s="1"/>
      <c r="X55" s="1">
        <f t="shared" ref="X55:X60" si="42">+P55-T55</f>
        <v>-1740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>
        <v>915</v>
      </c>
      <c r="I56" s="2"/>
      <c r="J56" s="7">
        <f t="shared" si="37"/>
        <v>3.748156644273308E-2</v>
      </c>
      <c r="K56" s="2"/>
      <c r="L56" s="6">
        <f t="shared" si="38"/>
        <v>-915</v>
      </c>
      <c r="M56" s="2"/>
      <c r="N56" s="7">
        <f t="shared" si="39"/>
        <v>-1</v>
      </c>
      <c r="O56" s="10"/>
      <c r="P56" s="6"/>
      <c r="Q56" s="2"/>
      <c r="R56" s="7">
        <f t="shared" si="40"/>
        <v>0</v>
      </c>
      <c r="S56" s="2"/>
      <c r="T56" s="6">
        <v>1740</v>
      </c>
      <c r="U56" s="2"/>
      <c r="V56" s="7">
        <f t="shared" si="41"/>
        <v>4.0531097134870716E-3</v>
      </c>
      <c r="W56" s="2"/>
      <c r="X56" s="6">
        <f t="shared" si="42"/>
        <v>-1740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4277.7</v>
      </c>
      <c r="E57" s="1"/>
      <c r="F57" s="5">
        <f t="shared" si="36"/>
        <v>0.10793278328665505</v>
      </c>
      <c r="G57" s="1"/>
      <c r="H57" s="1">
        <f>SUM(OSRRefH22_11x_0)</f>
        <v>5.78</v>
      </c>
      <c r="I57" s="1"/>
      <c r="J57" s="5">
        <f t="shared" si="37"/>
        <v>2.3676880222841227E-4</v>
      </c>
      <c r="K57" s="1"/>
      <c r="L57" s="1">
        <f t="shared" si="38"/>
        <v>4271.92</v>
      </c>
      <c r="M57" s="1"/>
      <c r="N57" s="5">
        <f t="shared" si="39"/>
        <v>739.08650519031141</v>
      </c>
      <c r="O57" s="12"/>
      <c r="P57" s="1">
        <f>SUM(OSRRefP22_11x_0)</f>
        <v>48839.59</v>
      </c>
      <c r="Q57" s="1"/>
      <c r="R57" s="5">
        <f t="shared" si="40"/>
        <v>9.4433317993913204E-2</v>
      </c>
      <c r="S57" s="1"/>
      <c r="T57" s="1">
        <f>SUM(OSRRefT22_11x_0)</f>
        <v>24962.36</v>
      </c>
      <c r="U57" s="1"/>
      <c r="V57" s="5">
        <f t="shared" si="41"/>
        <v>5.8146657349173077E-2</v>
      </c>
      <c r="W57" s="1"/>
      <c r="X57" s="1">
        <f t="shared" si="42"/>
        <v>23877.229999999996</v>
      </c>
      <c r="Y57" s="1"/>
      <c r="Z57" s="5">
        <f t="shared" si="43"/>
        <v>0.95652935059024846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9.6266014442115066E-4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4277.7</v>
      </c>
      <c r="E59" s="2"/>
      <c r="F59" s="7">
        <f t="shared" si="36"/>
        <v>0.10793278328665505</v>
      </c>
      <c r="G59" s="2"/>
      <c r="H59" s="6">
        <v>5.78</v>
      </c>
      <c r="I59" s="2"/>
      <c r="J59" s="7">
        <f t="shared" si="37"/>
        <v>2.3676880222841227E-4</v>
      </c>
      <c r="K59" s="2"/>
      <c r="L59" s="6">
        <f t="shared" si="38"/>
        <v>4271.92</v>
      </c>
      <c r="M59" s="2"/>
      <c r="N59" s="7">
        <f t="shared" si="39"/>
        <v>739.08650519031141</v>
      </c>
      <c r="O59" s="10"/>
      <c r="P59" s="6">
        <v>48839.59</v>
      </c>
      <c r="Q59" s="2"/>
      <c r="R59" s="7">
        <f t="shared" si="40"/>
        <v>9.4433317993913204E-2</v>
      </c>
      <c r="S59" s="2"/>
      <c r="T59" s="6">
        <v>24345.57</v>
      </c>
      <c r="U59" s="2"/>
      <c r="V59" s="7">
        <f t="shared" si="41"/>
        <v>5.6709923130677846E-2</v>
      </c>
      <c r="W59" s="2"/>
      <c r="X59" s="6">
        <f t="shared" si="42"/>
        <v>24494.019999999997</v>
      </c>
      <c r="Y59" s="2"/>
      <c r="Z59" s="7">
        <f t="shared" si="43"/>
        <v>1.0060976185811217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4.7407407407407408E-4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87.8</v>
      </c>
      <c r="E61" s="1"/>
      <c r="F61" s="5">
        <f t="shared" ref="F61:F64" si="44">IF(D$12=0,0,D61/D$12)</f>
        <v>2.2153256124946381E-3</v>
      </c>
      <c r="G61" s="1"/>
      <c r="H61" s="1">
        <f>SUM(OSRRefH22_12x_0)</f>
        <v>203.95</v>
      </c>
      <c r="I61" s="1"/>
      <c r="J61" s="5">
        <f t="shared" ref="J61:J64" si="45">IF(H$12=0,0,H61/H$12)</f>
        <v>8.3544977879731266E-3</v>
      </c>
      <c r="K61" s="1"/>
      <c r="L61" s="1">
        <f t="shared" ref="L61:L64" si="46">+D61-H61</f>
        <v>-116.14999999999999</v>
      </c>
      <c r="M61" s="1"/>
      <c r="N61" s="5">
        <f t="shared" ref="N61:N64" si="47">IF(H61=0,0,L61/H61)</f>
        <v>-0.56950232900220643</v>
      </c>
      <c r="O61" s="12"/>
      <c r="P61" s="1">
        <f>SUM(OSRRefP22_12x_0)</f>
        <v>1886.73</v>
      </c>
      <c r="Q61" s="1"/>
      <c r="R61" s="5">
        <f t="shared" ref="R61:R64" si="48">IF(P$12=0,0,P61/P$12)</f>
        <v>3.6480685865433325E-3</v>
      </c>
      <c r="S61" s="1"/>
      <c r="T61" s="1">
        <f>SUM(OSRRefT22_12x_0)</f>
        <v>2097.5500000000002</v>
      </c>
      <c r="U61" s="1"/>
      <c r="V61" s="5">
        <f t="shared" ref="V61:V64" si="49">IF(T$12=0,0,T61/T$12)</f>
        <v>4.8859771721406946E-3</v>
      </c>
      <c r="W61" s="1"/>
      <c r="X61" s="1">
        <f t="shared" ref="X61:X64" si="50">+P61-T61</f>
        <v>-210.82000000000016</v>
      </c>
      <c r="Y61" s="1"/>
      <c r="Z61" s="5">
        <f t="shared" ref="Z61:Z64" si="51">IF(T61=0,0,X61/T61)</f>
        <v>-0.10050773521489363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87.8</v>
      </c>
      <c r="E62" s="2"/>
      <c r="F62" s="7">
        <f t="shared" si="44"/>
        <v>2.2153256124946381E-3</v>
      </c>
      <c r="G62" s="2"/>
      <c r="H62" s="6">
        <v>203.95</v>
      </c>
      <c r="I62" s="2"/>
      <c r="J62" s="7">
        <f t="shared" si="45"/>
        <v>8.3544977879731266E-3</v>
      </c>
      <c r="K62" s="2"/>
      <c r="L62" s="6">
        <f t="shared" si="46"/>
        <v>-116.14999999999999</v>
      </c>
      <c r="M62" s="2"/>
      <c r="N62" s="7">
        <f t="shared" si="47"/>
        <v>-0.56950232900220643</v>
      </c>
      <c r="O62" s="10"/>
      <c r="P62" s="6">
        <v>1886.73</v>
      </c>
      <c r="Q62" s="2"/>
      <c r="R62" s="7">
        <f t="shared" si="48"/>
        <v>3.6480685865433325E-3</v>
      </c>
      <c r="S62" s="2"/>
      <c r="T62" s="6">
        <v>2097.5500000000002</v>
      </c>
      <c r="U62" s="2"/>
      <c r="V62" s="7">
        <f t="shared" si="49"/>
        <v>4.8859771721406946E-3</v>
      </c>
      <c r="W62" s="2"/>
      <c r="X62" s="6">
        <f t="shared" si="50"/>
        <v>-210.82000000000016</v>
      </c>
      <c r="Y62" s="2"/>
      <c r="Z62" s="7">
        <f t="shared" si="51"/>
        <v>-0.10050773521489363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7.4219426974143953E-3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7.4219426974143953E-3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57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9" t="s">
        <v>292</v>
      </c>
      <c r="C66" s="11"/>
      <c r="D66" s="4">
        <f>SUM(OSRRefD25x_0)</f>
        <v>338.23</v>
      </c>
      <c r="E66" s="4"/>
      <c r="F66" s="13">
        <f t="shared" ref="F66:F67" si="52">IF(D$12=0,0,D66/D$12)</f>
        <v>8.5340499079050291E-3</v>
      </c>
      <c r="G66" s="4"/>
      <c r="H66" s="4">
        <f>SUM(OSRRefH25x_0)</f>
        <v>152.96</v>
      </c>
      <c r="I66" s="4"/>
      <c r="J66" s="13">
        <f t="shared" ref="J66:J67" si="53">IF(H$12=0,0,H66/H$12)</f>
        <v>6.2657709323283633E-3</v>
      </c>
      <c r="K66" s="4"/>
      <c r="L66" s="4">
        <f t="shared" ref="L66:L67" si="54">+D66-H66</f>
        <v>185.27</v>
      </c>
      <c r="M66" s="4"/>
      <c r="N66" s="13">
        <f t="shared" ref="N66:N67" si="55">IF(H66=0,0,L66/H66)</f>
        <v>1.2112316945606694</v>
      </c>
      <c r="O66" s="11"/>
      <c r="P66" s="4">
        <f>SUM(OSRRefP25x_0)</f>
        <v>2498.35</v>
      </c>
      <c r="Q66" s="4"/>
      <c r="R66" s="13">
        <f t="shared" ref="R66:R67" si="56">IF(P$12=0,0,P66/P$12)</f>
        <v>4.8306605360547272E-3</v>
      </c>
      <c r="S66" s="4"/>
      <c r="T66" s="4">
        <f>SUM(OSRRefT25x_0)</f>
        <v>20670.71</v>
      </c>
      <c r="U66" s="4"/>
      <c r="V66" s="13">
        <f t="shared" ref="V66:V67" si="57">IF(T$12=0,0,T66/T$12)</f>
        <v>4.8149802003261119E-2</v>
      </c>
      <c r="W66" s="4"/>
      <c r="X66" s="4">
        <f t="shared" ref="X66:X67" si="58">+P66-T66</f>
        <v>-18172.36</v>
      </c>
      <c r="Y66" s="4"/>
      <c r="Z66" s="13">
        <f t="shared" ref="Z66:Z67" si="59">IF(T66=0,0,X66/T66)</f>
        <v>-0.87913574328119359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--338.23</f>
        <v>338.23</v>
      </c>
      <c r="E67" s="2"/>
      <c r="F67" s="19">
        <f t="shared" si="52"/>
        <v>8.5340499079050291E-3</v>
      </c>
      <c r="G67" s="2"/>
      <c r="H67" s="2">
        <f>--152.96</f>
        <v>152.96</v>
      </c>
      <c r="I67" s="2"/>
      <c r="J67" s="19">
        <f t="shared" si="53"/>
        <v>6.2657709323283633E-3</v>
      </c>
      <c r="K67" s="2"/>
      <c r="L67" s="2">
        <f t="shared" si="54"/>
        <v>185.27</v>
      </c>
      <c r="M67" s="2"/>
      <c r="N67" s="19">
        <f t="shared" si="55"/>
        <v>1.2112316945606694</v>
      </c>
      <c r="O67" s="10"/>
      <c r="P67" s="2">
        <f>--2498.35</f>
        <v>2498.35</v>
      </c>
      <c r="Q67" s="2"/>
      <c r="R67" s="19">
        <f t="shared" si="56"/>
        <v>4.8306605360547272E-3</v>
      </c>
      <c r="S67" s="2"/>
      <c r="T67" s="2">
        <f>--20670.71</f>
        <v>20670.71</v>
      </c>
      <c r="U67" s="2"/>
      <c r="V67" s="19">
        <f t="shared" si="57"/>
        <v>4.8149802003261119E-2</v>
      </c>
      <c r="W67" s="2"/>
      <c r="X67" s="2">
        <f t="shared" si="58"/>
        <v>-18172.36</v>
      </c>
      <c r="Y67" s="2"/>
      <c r="Z67" s="19">
        <f t="shared" si="59"/>
        <v>-0.87913574328119359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8" t="s">
        <v>276</v>
      </c>
      <c r="C69" s="28"/>
      <c r="D69" s="20">
        <f>+D17-D19+D66</f>
        <v>8426.4399999999987</v>
      </c>
      <c r="E69" s="14"/>
      <c r="F69" s="21">
        <f>IF(D$12=0,0,D69/D$12)</f>
        <v>0.21261171246183733</v>
      </c>
      <c r="G69" s="14"/>
      <c r="H69" s="20">
        <f>+H17-H19+H66</f>
        <v>5307.5900000000047</v>
      </c>
      <c r="I69" s="14"/>
      <c r="J69" s="21">
        <f>IF(H$12=0,0,H69/H$12)</f>
        <v>0.21741725380960203</v>
      </c>
      <c r="K69" s="15"/>
      <c r="L69" s="20">
        <f>+D69-H69</f>
        <v>3118.849999999994</v>
      </c>
      <c r="M69" s="15"/>
      <c r="N69" s="21">
        <f>IF(H69=0,0,L69/H69)</f>
        <v>0.58762074689265587</v>
      </c>
      <c r="O69" s="29"/>
      <c r="P69" s="20">
        <f>+P17-P19+P66</f>
        <v>99906.260000000038</v>
      </c>
      <c r="Q69" s="14"/>
      <c r="R69" s="21">
        <f>IF(P$12=0,0,P69/P$12)</f>
        <v>0.19317278503285093</v>
      </c>
      <c r="S69" s="14"/>
      <c r="T69" s="20">
        <f>+T17-T19+T66</f>
        <v>45972.21999999995</v>
      </c>
      <c r="U69" s="14"/>
      <c r="V69" s="21">
        <f>IF(T$12=0,0,T69/T$12)</f>
        <v>0.10708646634055427</v>
      </c>
      <c r="W69" s="15"/>
      <c r="X69" s="20">
        <f>+P69-T69</f>
        <v>53934.040000000088</v>
      </c>
      <c r="Y69" s="15"/>
      <c r="Z69" s="21">
        <f>IF(T69=0,0,X69/T69)</f>
        <v>1.1731876337492544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10611.71</v>
      </c>
      <c r="E71" s="4"/>
      <c r="F71" s="13">
        <f>IF(D$12=0,0,D71/D$12)</f>
        <v>0.26774935028890062</v>
      </c>
      <c r="G71" s="4"/>
      <c r="H71" s="4">
        <v>4865.82</v>
      </c>
      <c r="I71" s="4"/>
      <c r="J71" s="13">
        <f>IF(H$12=0,0,H71/H$12)</f>
        <v>0.19932082582336555</v>
      </c>
      <c r="K71" s="4"/>
      <c r="L71" s="4">
        <f>+D71-H71</f>
        <v>5745.8899999999994</v>
      </c>
      <c r="M71" s="4"/>
      <c r="N71" s="13">
        <f>IF(H71=0,0,L71/H71)</f>
        <v>1.1808677674061103</v>
      </c>
      <c r="O71" s="11"/>
      <c r="P71" s="4">
        <v>110517.74</v>
      </c>
      <c r="Q71" s="4"/>
      <c r="R71" s="13">
        <f>IF(P$12=0,0,P71/P$12)</f>
        <v>0.21369050979724896</v>
      </c>
      <c r="S71" s="4"/>
      <c r="T71" s="4">
        <v>50837.95</v>
      </c>
      <c r="U71" s="4"/>
      <c r="V71" s="13">
        <f>IF(T$12=0,0,T71/T$12)</f>
        <v>0.11842056836710924</v>
      </c>
      <c r="W71" s="4"/>
      <c r="X71" s="4">
        <f>+P71-T71</f>
        <v>59679.790000000008</v>
      </c>
      <c r="Y71" s="4"/>
      <c r="Z71" s="13">
        <f>IF(T71=0,0,X71/T71)</f>
        <v>1.1739220405228774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8" t="s">
        <v>125</v>
      </c>
      <c r="C73" s="28"/>
      <c r="D73" s="35">
        <f>+D69-D71</f>
        <v>-2185.2700000000004</v>
      </c>
      <c r="E73" s="14"/>
      <c r="F73" s="36">
        <f>IF(D$12=0,0,D73/D$12)</f>
        <v>-5.5137637827063317E-2</v>
      </c>
      <c r="G73" s="14"/>
      <c r="H73" s="35">
        <f>+H69-H71</f>
        <v>441.77000000000498</v>
      </c>
      <c r="I73" s="14"/>
      <c r="J73" s="36">
        <f>IF(H$12=0,0,H73/H$12)</f>
        <v>1.8096427986236483E-2</v>
      </c>
      <c r="K73" s="15"/>
      <c r="L73" s="35">
        <f>D73-H73</f>
        <v>-2627.0400000000054</v>
      </c>
      <c r="M73" s="15"/>
      <c r="N73" s="36">
        <f>IF(H73=0,0,L73/H73)</f>
        <v>-5.946623808769214</v>
      </c>
      <c r="O73" s="29"/>
      <c r="P73" s="35">
        <f>+P69-P71</f>
        <v>-10611.479999999967</v>
      </c>
      <c r="Q73" s="14"/>
      <c r="R73" s="36">
        <f>IF(P$12=0,0,P73/P$12)</f>
        <v>-2.0517724764398042E-2</v>
      </c>
      <c r="S73" s="14"/>
      <c r="T73" s="35">
        <f>+T69-T71</f>
        <v>-4865.7300000000469</v>
      </c>
      <c r="U73" s="14"/>
      <c r="V73" s="36">
        <f>IF(T$12=0,0,T73/T$12)</f>
        <v>-1.1334102026554965E-2</v>
      </c>
      <c r="W73" s="15"/>
      <c r="X73" s="35">
        <f>P73-T73</f>
        <v>-5745.74999999992</v>
      </c>
      <c r="Y73" s="15"/>
      <c r="Z73" s="36">
        <f>IF(T73=0,0,X73/T73)</f>
        <v>1.1808608369144742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8" t="s">
        <v>293</v>
      </c>
      <c r="C76" s="28"/>
      <c r="D76" s="30">
        <f>SUM(D73:D75)</f>
        <v>-2185.2700000000004</v>
      </c>
      <c r="E76" s="14"/>
      <c r="F76" s="31">
        <f>IF(D$12=0,0,D76/D$12)</f>
        <v>-5.5137637827063317E-2</v>
      </c>
      <c r="G76" s="14"/>
      <c r="H76" s="30">
        <f>SUM(H73:H75)</f>
        <v>441.77000000000498</v>
      </c>
      <c r="I76" s="14"/>
      <c r="J76" s="31">
        <f>IF(H$12=0,0,H76/H$12)</f>
        <v>1.8096427986236483E-2</v>
      </c>
      <c r="K76" s="15"/>
      <c r="L76" s="30">
        <f>+D76-H76</f>
        <v>-2627.0400000000054</v>
      </c>
      <c r="M76" s="15"/>
      <c r="N76" s="31">
        <f>IF(H76=0,0,L76/H76)</f>
        <v>-5.946623808769214</v>
      </c>
      <c r="O76" s="29"/>
      <c r="P76" s="30">
        <f>SUM(P73:P75)</f>
        <v>-10611.479999999967</v>
      </c>
      <c r="Q76" s="14"/>
      <c r="R76" s="31">
        <f>IF(P$12=0,0,P76/P$12)</f>
        <v>-2.0517724764398042E-2</v>
      </c>
      <c r="S76" s="14"/>
      <c r="T76" s="30">
        <f>SUM(T73:T75)</f>
        <v>-4865.7300000000469</v>
      </c>
      <c r="U76" s="14"/>
      <c r="V76" s="31">
        <f>IF(T$12=0,0,T76/T$12)</f>
        <v>-1.1334102026554965E-2</v>
      </c>
      <c r="W76" s="15"/>
      <c r="X76" s="30">
        <f>+P76-T76</f>
        <v>-5745.74999999992</v>
      </c>
      <c r="Y76" s="15"/>
      <c r="Z76" s="31">
        <f>IF(T76=0,0,X76/T76)</f>
        <v>1.1808608369144742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>
        <v>44356.893348032405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2" t="s">
        <v>56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4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50"/>
      <c r="G3" s="17"/>
      <c r="H3" s="17"/>
      <c r="I3" s="17"/>
      <c r="J3" s="40"/>
      <c r="K3" s="17"/>
      <c r="L3" s="17"/>
      <c r="M3" s="17"/>
      <c r="N3" s="50"/>
      <c r="O3" s="60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40"/>
      <c r="K4" s="17"/>
      <c r="L4" s="17"/>
      <c r="M4" s="17"/>
      <c r="N4" s="50"/>
      <c r="O4" s="60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40"/>
      <c r="K5" s="17"/>
      <c r="L5" s="17"/>
      <c r="M5" s="17"/>
      <c r="N5" s="50"/>
      <c r="O5" s="60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4"/>
      <c r="B6" s="45"/>
      <c r="C6" s="45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40"/>
      <c r="K6" s="17"/>
      <c r="L6" s="17"/>
      <c r="M6" s="17"/>
      <c r="N6" s="50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6"/>
    </row>
    <row r="8" spans="1:26" x14ac:dyDescent="0.25">
      <c r="B8" s="56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8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8"/>
      <c r="W9" s="16"/>
      <c r="X9" s="16"/>
      <c r="Y9" s="16"/>
      <c r="Z9" s="39"/>
    </row>
    <row r="10" spans="1:26" x14ac:dyDescent="0.25">
      <c r="A10" s="11"/>
      <c r="B10" s="61"/>
      <c r="C10" s="11"/>
      <c r="D10" s="43" t="s">
        <v>57</v>
      </c>
      <c r="E10" s="34"/>
      <c r="F10" s="33" t="s">
        <v>40</v>
      </c>
      <c r="G10" s="34"/>
      <c r="H10" s="47" t="s">
        <v>237</v>
      </c>
      <c r="I10" s="34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53" t="s">
        <v>57</v>
      </c>
      <c r="Q10" s="34"/>
      <c r="R10" s="33" t="s">
        <v>40</v>
      </c>
      <c r="S10" s="34"/>
      <c r="T10" s="47" t="s">
        <v>237</v>
      </c>
      <c r="U10" s="34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7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5"/>
      <c r="L31" s="35" t="e">
        <f ca="1">D31-H31</f>
        <v>#NAME?</v>
      </c>
      <c r="M31" s="15"/>
      <c r="N31" s="36" t="e">
        <f ca="1">IF(H31=0,0,L31/H31)</f>
        <v>#NAME?</v>
      </c>
      <c r="O31" s="29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5"/>
      <c r="X31" s="35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0" t="e">
        <f ca="1">SUM(D31:D35)</f>
        <v>#NAME?</v>
      </c>
      <c r="E36" s="14"/>
      <c r="F36" s="31" t="e">
        <f ca="1">IF(D$12=0,0,D36/D$12)</f>
        <v>#NAME?</v>
      </c>
      <c r="G36" s="14"/>
      <c r="H36" s="30" t="e">
        <f ca="1">SUM(H31:H35)</f>
        <v>#NAME?</v>
      </c>
      <c r="I36" s="14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9"/>
      <c r="P36" s="30" t="e">
        <f ca="1">SUM(P31:P35)</f>
        <v>#NAME?</v>
      </c>
      <c r="Q36" s="14"/>
      <c r="R36" s="31" t="e">
        <f ca="1">IF(P$12=0,0,P36/P$12)</f>
        <v>#NAME?</v>
      </c>
      <c r="S36" s="14"/>
      <c r="T36" s="30" t="e">
        <f ca="1">SUM(T31:T35)</f>
        <v>#NAME?</v>
      </c>
      <c r="U36" s="14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030A92-66F5-473B-8DAC-6FBA3C199D21}">
  <ds:schemaRefs>
    <ds:schemaRef ds:uri="762caf36-b0c2-49b4-ab14-ff4bceb8c0a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9AD59A9-94DB-4FF7-826A-854D43EE89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B69D46-8EAF-4D08-BC7F-BEF740C051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4476</vt:i4>
      </vt:variant>
    </vt:vector>
  </HeadingPairs>
  <TitlesOfParts>
    <vt:vector size="4576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326</vt:lpstr>
      <vt:lpstr>324</vt:lpstr>
      <vt:lpstr>314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'317'!OSRRefD22_13x_0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'316'!OSRRefD22_14x_0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'332'!OSRRefD22_15x_0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'317'!OSRRefH22_13x_0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'316'!OSRRefH22_14x_0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'332'!OSRRefH22_15x_0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'317'!OSRRefP22_13x_0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'316'!OSRRefP22_14x_0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'332'!OSRRefP22_15x_0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'317'!OSRRefT22_13x_0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'316'!OSRRefT22_14x_0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'332'!OSRRefT22_15x_0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2021-06-09T22:03:16Z</dcterms:created>
  <dcterms:modified xsi:type="dcterms:W3CDTF">2021-06-11T20:46:54Z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